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i_Szervezes_meghajto\ESZTER_KATA\KT_KIVONATOK\2020\Rendeletek\"/>
    </mc:Choice>
  </mc:AlternateContent>
  <xr:revisionPtr revIDLastSave="0" documentId="8_{4B94D688-899A-4785-979F-61D851150272}" xr6:coauthVersionLast="45" xr6:coauthVersionMax="45" xr10:uidLastSave="{00000000-0000-0000-0000-000000000000}"/>
  <bookViews>
    <workbookView xWindow="-120" yWindow="-120" windowWidth="20730" windowHeight="11160" tabRatio="828" firstSheet="5" activeTab="8" xr2:uid="{00000000-000D-0000-FFFF-FFFF00000000}"/>
  </bookViews>
  <sheets>
    <sheet name="Egyenlegmutató" sheetId="22" state="hidden" r:id="rId1"/>
    <sheet name="0.Mérleg" sheetId="16" state="hidden" r:id="rId2"/>
    <sheet name="1A. Fő bev" sheetId="11" r:id="rId3"/>
    <sheet name="1B. Fő kiad" sheetId="24" r:id="rId4"/>
    <sheet name="1C Bev kiad fel" sheetId="30" r:id="rId5"/>
    <sheet name="2A Önk bev" sheetId="10" r:id="rId6"/>
    <sheet name="2B Önk kiad" sheetId="23" r:id="rId7"/>
    <sheet name="2C Önk bev kiad fel" sheetId="25" r:id="rId8"/>
    <sheet name="2D Céltartalék" sheetId="29" r:id="rId9"/>
    <sheet name="2E VÉA" sheetId="31" r:id="rId10"/>
    <sheet name="2F KVA" sheetId="35" r:id="rId11"/>
    <sheet name="3A PH" sheetId="20" r:id="rId12"/>
    <sheet name="3B PH fel" sheetId="21" r:id="rId13"/>
    <sheet name="4A Walla" sheetId="2" r:id="rId14"/>
    <sheet name="4B Nyitnikék" sheetId="5" r:id="rId15"/>
    <sheet name="4C Bóbita" sheetId="7" r:id="rId16"/>
    <sheet name="4D MMMH" sheetId="18" r:id="rId17"/>
    <sheet name="4E Könyvtár" sheetId="14" r:id="rId18"/>
    <sheet name="4F Segítő Kéz" sheetId="8" r:id="rId19"/>
    <sheet name="4G Szérüskert" sheetId="37" r:id="rId20"/>
    <sheet name="Walla" sheetId="1" state="hidden" r:id="rId21"/>
    <sheet name="4H VG bev kiad" sheetId="12" r:id="rId22"/>
    <sheet name="Könyvtár" sheetId="15" state="hidden" r:id="rId23"/>
    <sheet name="5 GSZNR fel" sheetId="3" r:id="rId24"/>
    <sheet name="6. létszámkeret" sheetId="36" r:id="rId25"/>
    <sheet name="Beruházás" sheetId="27" state="hidden" r:id="rId26"/>
    <sheet name="Felújítás" sheetId="28" state="hidden" r:id="rId27"/>
    <sheet name="7. projektek" sheetId="39" r:id="rId28"/>
    <sheet name="7. " sheetId="38" state="hidden" r:id="rId29"/>
    <sheet name="8. stab tv" sheetId="32" r:id="rId30"/>
    <sheet name="9. Uniós tám" sheetId="33" r:id="rId31"/>
    <sheet name="10. címrend" sheetId="34" r:id="rId32"/>
    <sheet name="ÖK kiad" sheetId="26" state="hidden" r:id="rId33"/>
    <sheet name="MMMH" sheetId="17" state="hidden" r:id="rId34"/>
    <sheet name="Nyitnikék" sheetId="4" state="hidden" r:id="rId35"/>
    <sheet name="Bóbita" sheetId="6" state="hidden" r:id="rId36"/>
    <sheet name="SKSZ" sheetId="9" state="hidden" r:id="rId37"/>
    <sheet name="PH" sheetId="19" state="hidden" r:id="rId38"/>
  </sheets>
  <externalReferences>
    <externalReference r:id="rId39"/>
    <externalReference r:id="rId40"/>
    <externalReference r:id="rId41"/>
    <externalReference r:id="rId42"/>
  </externalReferences>
  <definedNames>
    <definedName name="_1999._Évi_felhalmozási_és_felújítási_kiadások">"$#HIV!.$A$29:$E$29"</definedName>
    <definedName name="_xlnm._FilterDatabase" localSheetId="4" hidden="1">'1C Bev kiad fel'!$A$4:$F$93</definedName>
    <definedName name="_xlnm._FilterDatabase" localSheetId="7" hidden="1">'2C Önk bev kiad fel'!$A$5:$Z$207</definedName>
    <definedName name="_xlnm._FilterDatabase" localSheetId="12" hidden="1">'3B PH fel'!$A$5:$V$35</definedName>
    <definedName name="_xlnm._FilterDatabase" localSheetId="23" hidden="1">'5 GSZNR fel'!$A$6:$T$186</definedName>
    <definedName name="_xlnm._FilterDatabase" localSheetId="28" hidden="1">'7. '!$A$3:$F$38</definedName>
    <definedName name="_xlnm._FilterDatabase" localSheetId="27" hidden="1">'7. projektek'!$A$3:$W$134</definedName>
    <definedName name="_xlnm._FilterDatabase" localSheetId="25" hidden="1">Beruházás!$A$4:$Q$115</definedName>
    <definedName name="Excel_BuiltIn_Print_Area_1">"$#HIV!.$A$2:$C$155"</definedName>
    <definedName name="Excel_BuiltIn_Print_Area_10">"$#HIV!.$B$1:$G$95"</definedName>
    <definedName name="Excel_BuiltIn_Print_Area_11">"$#HIV!.$B$2:$H$40"</definedName>
    <definedName name="Excel_BuiltIn_Print_Area_12">"$#HIV!.$B$1:$E$25"</definedName>
    <definedName name="Excel_BuiltIn_Print_Area_13">"$#HIV!.$A$7:$E$53"</definedName>
    <definedName name="Excel_BuiltIn_Print_Area_14">"$#HIV!.$A$1:$M$59"</definedName>
    <definedName name="Excel_BuiltIn_Print_Area_15">"$#HIV!.$E$1:$F$98"</definedName>
    <definedName name="Excel_BuiltIn_Print_Area_16">"$#HIV!.$A$1:$D$139"</definedName>
    <definedName name="Excel_BuiltIn_Print_Area_2">"$#HIV!.$D$2:$H$55"</definedName>
    <definedName name="Excel_BuiltIn_Print_Area_3">"$#HIV!.$A$1:$F$131"</definedName>
    <definedName name="Excel_BuiltIn_Print_Area_4">"$#HIV!.$A$1:$F$115"</definedName>
    <definedName name="Excel_BuiltIn_Print_Area_5">"$#HIV!.$A$2:$B$22"</definedName>
    <definedName name="Excel_BuiltIn_Print_Area_6">"$#HIV!.$A$2:$C$143"</definedName>
    <definedName name="Excel_BuiltIn_Print_Area_7">"$#HIV!.$A$2:$C$143"</definedName>
    <definedName name="Excel_BuiltIn_Print_Area_8">"$#HIV!.$A$1:$I$144"</definedName>
    <definedName name="Excel_BuiltIn_Print_Area_9">"$#HIV!.$A$1:$H$98"</definedName>
    <definedName name="Excel_BuiltIn_Print_Titles_1">"$#HIV!.$A$2:$IQ$2"</definedName>
    <definedName name="Excel_BuiltIn_Print_Titles_10">"$#HIV!.$A$1:$IT$2"</definedName>
    <definedName name="Excel_BuiltIn_Print_Titles_14">"$#HIV!.$A$61:$IU$61"</definedName>
    <definedName name="Excel_BuiltIn_Print_Titles_19">"$#HIV!.$A$1:$IV$1"</definedName>
    <definedName name="Excel_BuiltIn_Print_Titles_2">"$Összesítő.$#HIV!$1:$#HIV!$31999"</definedName>
    <definedName name="Excel_BuiltIn_Print_Titles_21">"$#HIV!.$A$1:$IV$2"</definedName>
    <definedName name="Excel_BuiltIn_Print_Titles_4">"$#HIV!.$A$2:$IV$4"</definedName>
    <definedName name="Excel_BuiltIn_Print_Titles_6">"$#HIV!.$A$2:$II$3"</definedName>
    <definedName name="Excel_BuiltIn_Print_Titles_7">"$#HIV!.$A$2:$IR$3"</definedName>
    <definedName name="Excel_BuiltIn_Print_Titles_8">"$#HIV!.$A$2:$IS$3"</definedName>
    <definedName name="Excel_BuiltIn_Print_Titles_9">"$#HIV!.$A$1:$IT$2"</definedName>
    <definedName name="_xlnm.Print_Titles" localSheetId="2">'1A. Fő bev'!$A:$B,'1A. Fő bev'!$1:$2</definedName>
    <definedName name="_xlnm.Print_Titles" localSheetId="3">'1B. Fő kiad'!$A:$B,'1B. Fő kiad'!$1:$2</definedName>
    <definedName name="_xlnm.Print_Titles" localSheetId="4">'1C Bev kiad fel'!$A:$B,'1C Bev kiad fel'!$1:$4</definedName>
    <definedName name="_xlnm.Print_Titles" localSheetId="5">'2A Önk bev'!$A:$B,'2A Önk bev'!$1:$4</definedName>
    <definedName name="_xlnm.Print_Titles" localSheetId="6">'2B Önk kiad'!$A:$B,'2B Önk kiad'!$1:$3</definedName>
    <definedName name="_xlnm.Print_Titles" localSheetId="7">'2C Önk bev kiad fel'!$A:$B,'2C Önk bev kiad fel'!$2:$5</definedName>
    <definedName name="_xlnm.Print_Titles" localSheetId="11">'3A PH'!$A:$B,'3A PH'!$1:$3</definedName>
    <definedName name="_xlnm.Print_Titles" localSheetId="12">'3B PH fel'!$A:$B,'3B PH fel'!$1:$4</definedName>
    <definedName name="_xlnm.Print_Titles" localSheetId="13">'4A Walla'!$A:$B,'4A Walla'!$1:$4</definedName>
    <definedName name="_xlnm.Print_Titles" localSheetId="14">'4B Nyitnikék'!$A:$B,'4B Nyitnikék'!$1:$4</definedName>
    <definedName name="_xlnm.Print_Titles" localSheetId="15">'4C Bóbita'!$A:$B,'4C Bóbita'!$1:$4</definedName>
    <definedName name="_xlnm.Print_Titles" localSheetId="16">'4D MMMH'!$A:$B,'4D MMMH'!$1:$4</definedName>
    <definedName name="_xlnm.Print_Titles" localSheetId="17">'4E Könyvtár'!$A:$B,'4E Könyvtár'!$1:$4</definedName>
    <definedName name="_xlnm.Print_Titles" localSheetId="18">'4F Segítő Kéz'!$A:$B,'4F Segítő Kéz'!$1:$4</definedName>
    <definedName name="_xlnm.Print_Titles" localSheetId="19">'4G Szérüskert'!$A:$B,'4G Szérüskert'!$1:$4</definedName>
    <definedName name="_xlnm.Print_Titles" localSheetId="21">'4H VG bev kiad'!$A:$B,'4H VG bev kiad'!$2:$4</definedName>
    <definedName name="_xlnm.Print_Titles" localSheetId="23">'5 GSZNR fel'!$A:$B,'5 GSZNR fel'!$1:$5</definedName>
    <definedName name="_xlnm.Print_Titles" localSheetId="25">Beruházás!$4:$4</definedName>
    <definedName name="_xlnm.Print_Titles" localSheetId="22">Könyvtár!$1:$3</definedName>
    <definedName name="_xlnm.Print_Titles" localSheetId="33">MMMH!$1:$3</definedName>
    <definedName name="_xlnm.Print_Titles" localSheetId="32">'ÖK kiad'!$1:$1</definedName>
    <definedName name="_xlnm.Print_Titles" localSheetId="37">PH!$A:$C</definedName>
    <definedName name="_xlnm.Print_Titles" localSheetId="36">SKSZ!$A:$C</definedName>
    <definedName name="_xlnm.Print_Titles" localSheetId="20">Walla!$1:$3</definedName>
    <definedName name="_xlnm.Print_Area" localSheetId="1">'0.Mérleg'!$A$1:$L$25</definedName>
    <definedName name="_xlnm.Print_Area" localSheetId="31">'10. címrend'!$A$1:$C$16</definedName>
    <definedName name="_xlnm.Print_Area" localSheetId="2">'1A. Fő bev'!$A$1:$AH$60</definedName>
    <definedName name="_xlnm.Print_Area" localSheetId="3">'1B. Fő kiad'!$A$1:$AH$35</definedName>
    <definedName name="_xlnm.Print_Area" localSheetId="4">'1C Bev kiad fel'!$A$1:$AH$92</definedName>
    <definedName name="_xlnm.Print_Area" localSheetId="5">'2A Önk bev'!$A$1:$AH$108</definedName>
    <definedName name="_xlnm.Print_Area" localSheetId="6">'2B Önk kiad'!$A$1:$AH$44</definedName>
    <definedName name="_xlnm.Print_Area" localSheetId="7">'2C Önk bev kiad fel'!$A$1:$Z$207</definedName>
    <definedName name="_xlnm.Print_Area" localSheetId="8">'2D Céltartalék'!$A$1:$I$34</definedName>
    <definedName name="_xlnm.Print_Area" localSheetId="9">'2E VÉA'!$A$1:$H$34</definedName>
    <definedName name="_xlnm.Print_Area" localSheetId="10">'2F KVA'!$A$1:$J$35</definedName>
    <definedName name="_xlnm.Print_Area" localSheetId="11">'3A PH'!$A$1:$AH$49</definedName>
    <definedName name="_xlnm.Print_Area" localSheetId="12">'3B PH fel'!$A$1:$AH$35</definedName>
    <definedName name="_xlnm.Print_Area" localSheetId="13">'4A Walla'!$A$1:$Z$46</definedName>
    <definedName name="_xlnm.Print_Area" localSheetId="14">'4B Nyitnikék'!$A$1:$Z$46</definedName>
    <definedName name="_xlnm.Print_Area" localSheetId="15">'4C Bóbita'!$A$1:$Z$46</definedName>
    <definedName name="_xlnm.Print_Area" localSheetId="16">'4D MMMH'!$A$1:$Z$46</definedName>
    <definedName name="_xlnm.Print_Area" localSheetId="17">'4E Könyvtár'!$A$1:$Z$46</definedName>
    <definedName name="_xlnm.Print_Area" localSheetId="18">'4F Segítő Kéz'!$A$1:$Z$46</definedName>
    <definedName name="_xlnm.Print_Area" localSheetId="19">'4G Szérüskert'!$A$1:$Z$46</definedName>
    <definedName name="_xlnm.Print_Area" localSheetId="21">'4H VG bev kiad'!$A$1:$Z$46</definedName>
    <definedName name="_xlnm.Print_Area" localSheetId="23">'5 GSZNR fel'!$A$1:$Z$186</definedName>
    <definedName name="_xlnm.Print_Area" localSheetId="24">'6. létszámkeret'!$A$1:$K$19</definedName>
    <definedName name="_xlnm.Print_Area" localSheetId="28">'7. '!$A$1:$E$117</definedName>
    <definedName name="_xlnm.Print_Area" localSheetId="27">'7. projektek'!$A$1:$W$134</definedName>
    <definedName name="_xlnm.Print_Area" localSheetId="29">'8. stab tv'!$A$1:$C$32</definedName>
    <definedName name="_xlnm.Print_Area" localSheetId="25">Beruházás!$A$1:$L$119</definedName>
    <definedName name="_xlnm.Print_Area" localSheetId="26">Felújítás!$A$1:$L$49</definedName>
    <definedName name="Print_Titles_1" localSheetId="31">[1]Bóbita!$A:$B,[1]Bóbita!$1:$1</definedName>
    <definedName name="Print_Titles_1" localSheetId="4">[2]Bóbita!$A:$B,[2]Bóbita!$1:$1</definedName>
    <definedName name="Print_Titles_1" localSheetId="24">[1]Bóbita!$A:$B,[1]Bóbita!$1:$1</definedName>
    <definedName name="Print_Titles_1" localSheetId="29">[1]Bóbita!$A:$B,[1]Bóbita!$1:$1</definedName>
    <definedName name="Print_Titles_1" localSheetId="30">[1]Bóbita!$A:$B,[1]Bóbita!$1:$1</definedName>
    <definedName name="Print_Titles_1">[3]Bóbita!$A:$B,[3]Bóbita!$1:$1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" i="11" l="1"/>
  <c r="AE9" i="11"/>
  <c r="H30" i="31" l="1"/>
  <c r="H28" i="31" s="1"/>
  <c r="H20" i="31" s="1"/>
  <c r="G6" i="31"/>
  <c r="H31" i="31"/>
  <c r="H21" i="31"/>
  <c r="H18" i="31"/>
  <c r="H17" i="31" s="1"/>
  <c r="G14" i="31"/>
  <c r="G13" i="31"/>
  <c r="H33" i="31" l="1"/>
  <c r="H3" i="31" s="1"/>
  <c r="G5" i="31"/>
  <c r="G12" i="31" s="1"/>
  <c r="G3" i="31" s="1"/>
  <c r="V132" i="39"/>
  <c r="AF24" i="24" l="1"/>
  <c r="AH24" i="24"/>
  <c r="AE16" i="24"/>
  <c r="AE103" i="10"/>
  <c r="Z47" i="25"/>
  <c r="W54" i="39" l="1"/>
  <c r="V54" i="39"/>
  <c r="U54" i="39"/>
  <c r="W89" i="39"/>
  <c r="U89" i="39"/>
  <c r="W53" i="39"/>
  <c r="V27" i="39"/>
  <c r="U27" i="39"/>
  <c r="W14" i="39"/>
  <c r="U14" i="39"/>
  <c r="AE30" i="10"/>
  <c r="AE72" i="10"/>
  <c r="AE78" i="30"/>
  <c r="AE74" i="30"/>
  <c r="AE39" i="30"/>
  <c r="AE37" i="30"/>
  <c r="AE36" i="30"/>
  <c r="AE34" i="30"/>
  <c r="AE32" i="30"/>
  <c r="AE30" i="30"/>
  <c r="AE29" i="30"/>
  <c r="AE28" i="30"/>
  <c r="AE27" i="30"/>
  <c r="AE22" i="30"/>
  <c r="AE23" i="30"/>
  <c r="AE20" i="30"/>
  <c r="AE16" i="30"/>
  <c r="AE9" i="30"/>
  <c r="AE5" i="23"/>
  <c r="X6" i="25"/>
  <c r="X44" i="25"/>
  <c r="AE5" i="20"/>
  <c r="AE6" i="21"/>
  <c r="X151" i="3"/>
  <c r="E17" i="36"/>
  <c r="E7" i="36"/>
  <c r="E6" i="36"/>
  <c r="W132" i="39"/>
  <c r="W22" i="39"/>
  <c r="V22" i="39"/>
  <c r="W52" i="39"/>
  <c r="U112" i="39"/>
  <c r="W85" i="39"/>
  <c r="V97" i="39"/>
  <c r="U47" i="39"/>
  <c r="V37" i="39"/>
  <c r="U123" i="39" l="1"/>
  <c r="V123" i="39"/>
  <c r="W90" i="39"/>
  <c r="V126" i="39"/>
  <c r="V25" i="39"/>
  <c r="W19" i="39"/>
  <c r="U19" i="39"/>
  <c r="V28" i="39"/>
  <c r="U28" i="39"/>
  <c r="U68" i="39"/>
  <c r="U92" i="39"/>
  <c r="W8" i="39"/>
  <c r="W98" i="39"/>
  <c r="V21" i="39"/>
  <c r="V120" i="39"/>
  <c r="W68" i="39"/>
  <c r="V72" i="39" l="1"/>
  <c r="V50" i="39"/>
  <c r="W50" i="39"/>
  <c r="V118" i="39"/>
  <c r="V55" i="39"/>
  <c r="U55" i="39"/>
  <c r="T55" i="39"/>
  <c r="W55" i="39"/>
  <c r="S72" i="39"/>
  <c r="V124" i="39"/>
  <c r="V125" i="39"/>
  <c r="S71" i="39"/>
  <c r="V11" i="39" l="1"/>
  <c r="V128" i="39"/>
  <c r="U37" i="39"/>
  <c r="W84" i="39" l="1"/>
  <c r="V84" i="39"/>
  <c r="U84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5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5" i="39"/>
  <c r="S129" i="39"/>
  <c r="V67" i="39"/>
  <c r="V26" i="39"/>
  <c r="V102" i="39"/>
  <c r="V112" i="39"/>
  <c r="S70" i="39"/>
  <c r="V70" i="39"/>
  <c r="Z45" i="25"/>
  <c r="Z58" i="25"/>
  <c r="Z205" i="25"/>
  <c r="X6" i="12" l="1"/>
  <c r="AA16" i="7" l="1"/>
  <c r="AF25" i="11"/>
  <c r="AF24" i="11"/>
  <c r="AF23" i="11"/>
  <c r="AF22" i="11"/>
  <c r="AF20" i="11"/>
  <c r="AF19" i="11"/>
  <c r="AF18" i="11"/>
  <c r="AE25" i="11"/>
  <c r="AE24" i="11"/>
  <c r="AE22" i="11"/>
  <c r="AF21" i="11"/>
  <c r="AE21" i="11"/>
  <c r="AE20" i="11"/>
  <c r="AE19" i="11"/>
  <c r="AE18" i="11"/>
  <c r="AA15" i="7"/>
  <c r="AI51" i="10"/>
  <c r="AI50" i="10"/>
  <c r="AI46" i="10"/>
  <c r="AI45" i="10"/>
  <c r="AI41" i="10"/>
  <c r="AI43" i="10"/>
  <c r="AH37" i="24"/>
  <c r="X6" i="7" l="1"/>
  <c r="AE9" i="10" l="1"/>
  <c r="AE8" i="10"/>
  <c r="Z57" i="25" l="1"/>
  <c r="Z46" i="25"/>
  <c r="Z56" i="25"/>
  <c r="AF29" i="23"/>
  <c r="Z146" i="25"/>
  <c r="Z168" i="25"/>
  <c r="Z12" i="25"/>
  <c r="Z189" i="25"/>
  <c r="Z159" i="25"/>
  <c r="Z166" i="25"/>
  <c r="Z142" i="25"/>
  <c r="Z92" i="25"/>
  <c r="I3" i="29"/>
  <c r="AE18" i="10"/>
  <c r="AE10" i="10"/>
  <c r="AE11" i="10"/>
  <c r="AH9" i="21"/>
  <c r="AH8" i="21"/>
  <c r="AH7" i="21"/>
  <c r="Z121" i="3" l="1"/>
  <c r="Z119" i="3"/>
  <c r="Z120" i="3"/>
  <c r="Z99" i="3"/>
  <c r="Z97" i="3"/>
  <c r="Z77" i="3"/>
  <c r="Z76" i="3"/>
  <c r="Z58" i="3"/>
  <c r="Z53" i="3"/>
  <c r="Z55" i="3"/>
  <c r="Z60" i="3"/>
  <c r="Z59" i="3"/>
  <c r="Z27" i="3"/>
  <c r="Z25" i="3"/>
  <c r="Z41" i="3"/>
  <c r="Z39" i="3"/>
  <c r="Z170" i="3"/>
  <c r="Z168" i="3"/>
  <c r="Z167" i="3"/>
  <c r="Z166" i="3"/>
  <c r="AB23" i="11" l="1"/>
  <c r="AE23" i="11"/>
  <c r="Z71" i="25"/>
  <c r="Z69" i="25"/>
  <c r="Z40" i="25" l="1"/>
  <c r="Z119" i="25"/>
  <c r="Z41" i="25"/>
  <c r="Z33" i="25"/>
  <c r="AE26" i="23"/>
  <c r="Z34" i="25"/>
  <c r="Z35" i="25"/>
  <c r="Z121" i="25"/>
  <c r="Z120" i="25"/>
  <c r="Z111" i="25" l="1"/>
  <c r="I16" i="29"/>
  <c r="Z167" i="25"/>
  <c r="Z122" i="25"/>
  <c r="I18" i="29"/>
  <c r="Z139" i="25" l="1"/>
  <c r="Z178" i="3"/>
  <c r="Z177" i="3"/>
  <c r="AH11" i="21" l="1"/>
  <c r="Z56" i="3"/>
  <c r="Z24" i="3"/>
  <c r="Z23" i="3"/>
  <c r="Z38" i="3"/>
  <c r="Z37" i="3"/>
  <c r="Z10" i="3"/>
  <c r="Z9" i="3"/>
  <c r="I7" i="29" l="1"/>
  <c r="Z141" i="25" l="1"/>
  <c r="Z73" i="25" l="1"/>
  <c r="Z174" i="25"/>
  <c r="Z13" i="25"/>
  <c r="Z74" i="25"/>
  <c r="X16" i="7" l="1"/>
  <c r="X15" i="7"/>
  <c r="Z157" i="25" l="1"/>
  <c r="I6" i="29"/>
  <c r="I25" i="29"/>
  <c r="Z63" i="25"/>
  <c r="Z90" i="3" l="1"/>
  <c r="AE46" i="20" l="1"/>
  <c r="AH15" i="21"/>
  <c r="AH12" i="21" s="1"/>
  <c r="AE10" i="20"/>
  <c r="Z123" i="25" l="1"/>
  <c r="Z11" i="25"/>
  <c r="Z124" i="25"/>
  <c r="Z38" i="25" l="1"/>
  <c r="AE54" i="11" l="1"/>
  <c r="AH54" i="11" s="1"/>
  <c r="AH59" i="11"/>
  <c r="AH58" i="11"/>
  <c r="AG57" i="11"/>
  <c r="AF57" i="11"/>
  <c r="AE57" i="11"/>
  <c r="AH57" i="11" s="1"/>
  <c r="AG56" i="11"/>
  <c r="AG47" i="11" s="1"/>
  <c r="AG46" i="11" s="1"/>
  <c r="AG60" i="11" s="1"/>
  <c r="AF56" i="11"/>
  <c r="AE56" i="11"/>
  <c r="AH56" i="11" s="1"/>
  <c r="AH55" i="11"/>
  <c r="AG54" i="11"/>
  <c r="AE53" i="11"/>
  <c r="AH53" i="11" s="1"/>
  <c r="AH52" i="11"/>
  <c r="AH51" i="11"/>
  <c r="AH50" i="11"/>
  <c r="AH49" i="11"/>
  <c r="AG49" i="11"/>
  <c r="AF49" i="11"/>
  <c r="AE49" i="11"/>
  <c r="AH48" i="11"/>
  <c r="AG48" i="11"/>
  <c r="AF48" i="11"/>
  <c r="AE48" i="11"/>
  <c r="AF47" i="11"/>
  <c r="AF46" i="11"/>
  <c r="AH43" i="11"/>
  <c r="AG43" i="11"/>
  <c r="AF43" i="11"/>
  <c r="AE43" i="11"/>
  <c r="AH42" i="11"/>
  <c r="AG42" i="11"/>
  <c r="AF42" i="11"/>
  <c r="AE42" i="11"/>
  <c r="AH41" i="11"/>
  <c r="AG41" i="11"/>
  <c r="AF41" i="11"/>
  <c r="AE41" i="11"/>
  <c r="AH40" i="11"/>
  <c r="AG40" i="11"/>
  <c r="AF40" i="11"/>
  <c r="AE40" i="11"/>
  <c r="AH39" i="11"/>
  <c r="AG39" i="11"/>
  <c r="AF39" i="11"/>
  <c r="AE39" i="11"/>
  <c r="AH38" i="11"/>
  <c r="AG38" i="11"/>
  <c r="AF38" i="11"/>
  <c r="AE38" i="11"/>
  <c r="AH37" i="11"/>
  <c r="AG37" i="11"/>
  <c r="AF37" i="11"/>
  <c r="AE37" i="11"/>
  <c r="AG36" i="11"/>
  <c r="AF36" i="11"/>
  <c r="AH35" i="11"/>
  <c r="AG35" i="11"/>
  <c r="AF35" i="11"/>
  <c r="AE35" i="11"/>
  <c r="AG34" i="11"/>
  <c r="AF34" i="11"/>
  <c r="AG33" i="11"/>
  <c r="AF33" i="11"/>
  <c r="AE33" i="11"/>
  <c r="AH33" i="11" s="1"/>
  <c r="AH32" i="11"/>
  <c r="AG32" i="11"/>
  <c r="AF32" i="11"/>
  <c r="AE32" i="11"/>
  <c r="AH31" i="11"/>
  <c r="AG31" i="11"/>
  <c r="AF31" i="11"/>
  <c r="AE31" i="11"/>
  <c r="AG30" i="11"/>
  <c r="AF30" i="11"/>
  <c r="AE30" i="11"/>
  <c r="AH30" i="11" s="1"/>
  <c r="AG29" i="11"/>
  <c r="AF29" i="11"/>
  <c r="AH28" i="11"/>
  <c r="AG28" i="11"/>
  <c r="AF28" i="11"/>
  <c r="AE28" i="11"/>
  <c r="AH27" i="11"/>
  <c r="AG27" i="11"/>
  <c r="AF27" i="11"/>
  <c r="AE27" i="11"/>
  <c r="AH26" i="11"/>
  <c r="AG26" i="11"/>
  <c r="AF26" i="11"/>
  <c r="AE26" i="11"/>
  <c r="AG25" i="11"/>
  <c r="AH24" i="11"/>
  <c r="AG24" i="11"/>
  <c r="AH23" i="11"/>
  <c r="AG23" i="11"/>
  <c r="AG22" i="11"/>
  <c r="AG21" i="11"/>
  <c r="AH20" i="11"/>
  <c r="AG20" i="11"/>
  <c r="AG19" i="11"/>
  <c r="AH18" i="11"/>
  <c r="AG18" i="11"/>
  <c r="AG17" i="11"/>
  <c r="AE17" i="11"/>
  <c r="AH16" i="11"/>
  <c r="AG16" i="11"/>
  <c r="AF16" i="11"/>
  <c r="AE16" i="11"/>
  <c r="AH15" i="11"/>
  <c r="AG15" i="11"/>
  <c r="AF15" i="11"/>
  <c r="AE15" i="11"/>
  <c r="AH14" i="11"/>
  <c r="AG14" i="11"/>
  <c r="AF14" i="11"/>
  <c r="AE14" i="11"/>
  <c r="AH13" i="11"/>
  <c r="AG13" i="11"/>
  <c r="AF13" i="11"/>
  <c r="AE13" i="11"/>
  <c r="AG12" i="11"/>
  <c r="AF12" i="11"/>
  <c r="AH11" i="11"/>
  <c r="AG11" i="11"/>
  <c r="AF11" i="11"/>
  <c r="AF10" i="11" s="1"/>
  <c r="AE11" i="11"/>
  <c r="AG10" i="11"/>
  <c r="AG9" i="11"/>
  <c r="AF9" i="11"/>
  <c r="AH9" i="11"/>
  <c r="AH8" i="11"/>
  <c r="AG8" i="11"/>
  <c r="AF8" i="11"/>
  <c r="AE8" i="11"/>
  <c r="AH7" i="11"/>
  <c r="AG7" i="11"/>
  <c r="AF7" i="11"/>
  <c r="AE7" i="11"/>
  <c r="AG6" i="11"/>
  <c r="AF6" i="11"/>
  <c r="AG5" i="11"/>
  <c r="AF5" i="11"/>
  <c r="AG4" i="11"/>
  <c r="AG45" i="11" s="1"/>
  <c r="AG34" i="24"/>
  <c r="AF34" i="24"/>
  <c r="AE34" i="24"/>
  <c r="AH34" i="24" s="1"/>
  <c r="AG33" i="24"/>
  <c r="AF33" i="24"/>
  <c r="AE33" i="24"/>
  <c r="AH33" i="24" s="1"/>
  <c r="AG32" i="24"/>
  <c r="AF32" i="24"/>
  <c r="AE32" i="24"/>
  <c r="AH32" i="24" s="1"/>
  <c r="AG31" i="24"/>
  <c r="AF31" i="24"/>
  <c r="AE31" i="24"/>
  <c r="AH31" i="24" s="1"/>
  <c r="AF30" i="24"/>
  <c r="AE30" i="24"/>
  <c r="AF29" i="24"/>
  <c r="AE29" i="24"/>
  <c r="AG28" i="24"/>
  <c r="AF28" i="24"/>
  <c r="AE28" i="24"/>
  <c r="AH28" i="24" s="1"/>
  <c r="AG27" i="24"/>
  <c r="AF27" i="24"/>
  <c r="AF26" i="24"/>
  <c r="AF25" i="24"/>
  <c r="AH23" i="24"/>
  <c r="AH22" i="24"/>
  <c r="AH21" i="24"/>
  <c r="AH20" i="24"/>
  <c r="AH19" i="24"/>
  <c r="AH14" i="24"/>
  <c r="AH13" i="24"/>
  <c r="AH12" i="24"/>
  <c r="AH11" i="24"/>
  <c r="AH10" i="24"/>
  <c r="AB25" i="11"/>
  <c r="AA25" i="11"/>
  <c r="AB24" i="11"/>
  <c r="AA24" i="11"/>
  <c r="AB22" i="11"/>
  <c r="AA22" i="11"/>
  <c r="AB21" i="11"/>
  <c r="AB20" i="11"/>
  <c r="AA20" i="11"/>
  <c r="AB19" i="11"/>
  <c r="AA19" i="11"/>
  <c r="AH92" i="30"/>
  <c r="AH91" i="30"/>
  <c r="AH90" i="30"/>
  <c r="AH81" i="30"/>
  <c r="AH79" i="30"/>
  <c r="AH77" i="30"/>
  <c r="AH75" i="30"/>
  <c r="AH69" i="30"/>
  <c r="AH64" i="30"/>
  <c r="AH63" i="30"/>
  <c r="AH62" i="30"/>
  <c r="AH58" i="30"/>
  <c r="AH57" i="30"/>
  <c r="AH56" i="30"/>
  <c r="AH54" i="30"/>
  <c r="AH53" i="30"/>
  <c r="AH52" i="30"/>
  <c r="AH51" i="30"/>
  <c r="AH50" i="30"/>
  <c r="AH47" i="30"/>
  <c r="AH45" i="30"/>
  <c r="AH44" i="30"/>
  <c r="AH43" i="30"/>
  <c r="AH42" i="30"/>
  <c r="AH40" i="30"/>
  <c r="AH38" i="30"/>
  <c r="AH37" i="30"/>
  <c r="AH35" i="30"/>
  <c r="AH31" i="30"/>
  <c r="AH28" i="30"/>
  <c r="AH27" i="30"/>
  <c r="AH26" i="30"/>
  <c r="AH24" i="30"/>
  <c r="AH21" i="30"/>
  <c r="AH18" i="30"/>
  <c r="AH15" i="30"/>
  <c r="AH11" i="30"/>
  <c r="AH10" i="30"/>
  <c r="AH9" i="30"/>
  <c r="AH7" i="30"/>
  <c r="AH88" i="30"/>
  <c r="AH87" i="30"/>
  <c r="AH86" i="30" s="1"/>
  <c r="AH82" i="30"/>
  <c r="AE41" i="30"/>
  <c r="AH22" i="30"/>
  <c r="AE5" i="30"/>
  <c r="AE4" i="30" s="1"/>
  <c r="AH107" i="10"/>
  <c r="AH106" i="10"/>
  <c r="AG105" i="10"/>
  <c r="AF105" i="10"/>
  <c r="AE105" i="10"/>
  <c r="AH105" i="10" s="1"/>
  <c r="AH103" i="10"/>
  <c r="AH102" i="10"/>
  <c r="AE102" i="10"/>
  <c r="AE100" i="10" s="1"/>
  <c r="AH101" i="10"/>
  <c r="AE101" i="10"/>
  <c r="AG100" i="10"/>
  <c r="AG93" i="10" s="1"/>
  <c r="AG92" i="10" s="1"/>
  <c r="AF100" i="10"/>
  <c r="AF93" i="10" s="1"/>
  <c r="AF92" i="10" s="1"/>
  <c r="AH99" i="10"/>
  <c r="AH98" i="10"/>
  <c r="AH97" i="10"/>
  <c r="AH96" i="10"/>
  <c r="AH95" i="10"/>
  <c r="AH94" i="10" s="1"/>
  <c r="AG94" i="10"/>
  <c r="AF94" i="10"/>
  <c r="AE94" i="10"/>
  <c r="AH88" i="10"/>
  <c r="AH87" i="10"/>
  <c r="AH86" i="10"/>
  <c r="AH85" i="10"/>
  <c r="AE85" i="10"/>
  <c r="AH84" i="10"/>
  <c r="AE84" i="10"/>
  <c r="AH83" i="10"/>
  <c r="AG82" i="10"/>
  <c r="AF82" i="10"/>
  <c r="AE82" i="10"/>
  <c r="AH82" i="10" s="1"/>
  <c r="AH81" i="10"/>
  <c r="AH80" i="10"/>
  <c r="AH79" i="10"/>
  <c r="AH78" i="10"/>
  <c r="AG78" i="10"/>
  <c r="AG75" i="10" s="1"/>
  <c r="AE78" i="10"/>
  <c r="AH77" i="10"/>
  <c r="AH76" i="10"/>
  <c r="AF75" i="10"/>
  <c r="AE75" i="10"/>
  <c r="AH74" i="10"/>
  <c r="AH73" i="10"/>
  <c r="AE69" i="10"/>
  <c r="AE36" i="11" s="1"/>
  <c r="AH71" i="10"/>
  <c r="AH70" i="10"/>
  <c r="AG69" i="10"/>
  <c r="AG67" i="10" s="1"/>
  <c r="AG62" i="10" s="1"/>
  <c r="AF69" i="10"/>
  <c r="AF67" i="10" s="1"/>
  <c r="AF62" i="10" s="1"/>
  <c r="AH68" i="10"/>
  <c r="AH66" i="10"/>
  <c r="AH65" i="10"/>
  <c r="AH64" i="10"/>
  <c r="AG63" i="10"/>
  <c r="AF63" i="10"/>
  <c r="AE63" i="10"/>
  <c r="AH63" i="10" s="1"/>
  <c r="AH60" i="10"/>
  <c r="AH59" i="10"/>
  <c r="AH58" i="10"/>
  <c r="AH57" i="10" s="1"/>
  <c r="AF57" i="10"/>
  <c r="AH56" i="10"/>
  <c r="AG55" i="10"/>
  <c r="AF55" i="10"/>
  <c r="AE55" i="10"/>
  <c r="AH55" i="10" s="1"/>
  <c r="AH54" i="10"/>
  <c r="AH53" i="10"/>
  <c r="AH52" i="10"/>
  <c r="AG51" i="10"/>
  <c r="AF51" i="10"/>
  <c r="AE51" i="10"/>
  <c r="AH51" i="10" s="1"/>
  <c r="AH50" i="10"/>
  <c r="AH49" i="10"/>
  <c r="AH48" i="10"/>
  <c r="AH47" i="10"/>
  <c r="AG46" i="10"/>
  <c r="AF46" i="10"/>
  <c r="AE46" i="10"/>
  <c r="AE41" i="10" s="1"/>
  <c r="AH45" i="10"/>
  <c r="AH44" i="10"/>
  <c r="AG43" i="10"/>
  <c r="AF43" i="10"/>
  <c r="AH19" i="11" s="1"/>
  <c r="AE43" i="10"/>
  <c r="AH42" i="10"/>
  <c r="AH40" i="10"/>
  <c r="AH39" i="10"/>
  <c r="AH38" i="10"/>
  <c r="AE37" i="10"/>
  <c r="AH37" i="10" s="1"/>
  <c r="AG36" i="10"/>
  <c r="AF36" i="10"/>
  <c r="AE36" i="10"/>
  <c r="AH36" i="10" s="1"/>
  <c r="AH35" i="10"/>
  <c r="AH34" i="10"/>
  <c r="AH33" i="10"/>
  <c r="AH32" i="10"/>
  <c r="AG32" i="10"/>
  <c r="AF32" i="10"/>
  <c r="AF25" i="10" s="1"/>
  <c r="AE32" i="10"/>
  <c r="AH31" i="10"/>
  <c r="AH30" i="10"/>
  <c r="AG29" i="10"/>
  <c r="AF29" i="10"/>
  <c r="AE29" i="10"/>
  <c r="AE12" i="11" s="1"/>
  <c r="AE28" i="10"/>
  <c r="AH28" i="10" s="1"/>
  <c r="AE27" i="10"/>
  <c r="AH27" i="10" s="1"/>
  <c r="AG26" i="10"/>
  <c r="AF26" i="10"/>
  <c r="AG25" i="10"/>
  <c r="AH24" i="10"/>
  <c r="AH23" i="10"/>
  <c r="AH22" i="10"/>
  <c r="AH21" i="10"/>
  <c r="AG20" i="10"/>
  <c r="AH20" i="10" s="1"/>
  <c r="AH19" i="10"/>
  <c r="AF18" i="10"/>
  <c r="AH17" i="10"/>
  <c r="AH16" i="10"/>
  <c r="AH14" i="10"/>
  <c r="AH13" i="10"/>
  <c r="AH12" i="10"/>
  <c r="AH11" i="10"/>
  <c r="AH10" i="10"/>
  <c r="AE7" i="10"/>
  <c r="AH8" i="10"/>
  <c r="AG7" i="10"/>
  <c r="AF7" i="10"/>
  <c r="AF6" i="10" s="1"/>
  <c r="AG37" i="23"/>
  <c r="AH37" i="23" s="1"/>
  <c r="AE34" i="23"/>
  <c r="AF24" i="23"/>
  <c r="AF18" i="24" s="1"/>
  <c r="AE29" i="23"/>
  <c r="AF23" i="23"/>
  <c r="AE23" i="23"/>
  <c r="AF22" i="23"/>
  <c r="AE22" i="23"/>
  <c r="AE20" i="23"/>
  <c r="AH20" i="23" s="1"/>
  <c r="AE18" i="23"/>
  <c r="AH18" i="23" s="1"/>
  <c r="AF16" i="23"/>
  <c r="AH16" i="23" s="1"/>
  <c r="AF15" i="23"/>
  <c r="AH15" i="23" s="1"/>
  <c r="AE13" i="23"/>
  <c r="AH13" i="23" s="1"/>
  <c r="AF11" i="23"/>
  <c r="AE11" i="23"/>
  <c r="AF10" i="23"/>
  <c r="AE10" i="23"/>
  <c r="AE9" i="23"/>
  <c r="AE8" i="23"/>
  <c r="AH46" i="23"/>
  <c r="AH43" i="23"/>
  <c r="AH42" i="23"/>
  <c r="AG41" i="23"/>
  <c r="AF41" i="23"/>
  <c r="AE41" i="23"/>
  <c r="AH41" i="23" s="1"/>
  <c r="AH40" i="23"/>
  <c r="AG39" i="23"/>
  <c r="AH39" i="23" s="1"/>
  <c r="AH36" i="23"/>
  <c r="AH35" i="23"/>
  <c r="AH34" i="23"/>
  <c r="AF32" i="23"/>
  <c r="AF31" i="23" s="1"/>
  <c r="AH29" i="23"/>
  <c r="AH28" i="23"/>
  <c r="AH27" i="23"/>
  <c r="AH26" i="23"/>
  <c r="AH25" i="23"/>
  <c r="AG24" i="23"/>
  <c r="AG21" i="23"/>
  <c r="AG20" i="23"/>
  <c r="AF20" i="23"/>
  <c r="AF17" i="23" s="1"/>
  <c r="AG19" i="23"/>
  <c r="AG17" i="23" s="1"/>
  <c r="AG12" i="23" s="1"/>
  <c r="AG7" i="23" s="1"/>
  <c r="AH14" i="23"/>
  <c r="AE6" i="23"/>
  <c r="AH6" i="23" s="1"/>
  <c r="AH5" i="23"/>
  <c r="Z218" i="25"/>
  <c r="Z217" i="25"/>
  <c r="Z188" i="25"/>
  <c r="Z187" i="25" s="1"/>
  <c r="AH80" i="30" s="1"/>
  <c r="Z173" i="25"/>
  <c r="Z170" i="25" s="1"/>
  <c r="AH76" i="30" s="1"/>
  <c r="Z163" i="25"/>
  <c r="AH73" i="30" s="1"/>
  <c r="Z158" i="25"/>
  <c r="Z210" i="25" s="1"/>
  <c r="Z209" i="25"/>
  <c r="Z155" i="25"/>
  <c r="Z153" i="25"/>
  <c r="AH71" i="30" s="1"/>
  <c r="Z152" i="25"/>
  <c r="Z151" i="25" s="1"/>
  <c r="AH70" i="30" s="1"/>
  <c r="Z147" i="25"/>
  <c r="AH68" i="30"/>
  <c r="Z145" i="25"/>
  <c r="Z144" i="25" s="1"/>
  <c r="AH67" i="30" s="1"/>
  <c r="AH66" i="30"/>
  <c r="Z140" i="25"/>
  <c r="Z138" i="25"/>
  <c r="AH65" i="30" s="1"/>
  <c r="Z130" i="25"/>
  <c r="Z129" i="25" s="1"/>
  <c r="AH61" i="30" s="1"/>
  <c r="Z125" i="25"/>
  <c r="AH60" i="30" s="1"/>
  <c r="Z110" i="25"/>
  <c r="Z107" i="25" s="1"/>
  <c r="AH55" i="30" s="1"/>
  <c r="Z93" i="25"/>
  <c r="AH49" i="30" s="1"/>
  <c r="Z91" i="25"/>
  <c r="AH48" i="30" s="1"/>
  <c r="Z88" i="25"/>
  <c r="Z87" i="25" s="1"/>
  <c r="AH46" i="30" s="1"/>
  <c r="Z68" i="25"/>
  <c r="AH25" i="30" s="1"/>
  <c r="Z212" i="25"/>
  <c r="Z39" i="25"/>
  <c r="Z37" i="25"/>
  <c r="AH14" i="30" s="1"/>
  <c r="AH13" i="30"/>
  <c r="Z18" i="25"/>
  <c r="Z17" i="25"/>
  <c r="Z14" i="25" s="1"/>
  <c r="AH8" i="30" s="1"/>
  <c r="Z10" i="25"/>
  <c r="Z216" i="25" s="1"/>
  <c r="Z9" i="25"/>
  <c r="Z7" i="25" s="1"/>
  <c r="AH6" i="30" s="1"/>
  <c r="I26" i="29"/>
  <c r="I22" i="29"/>
  <c r="I15" i="29"/>
  <c r="I12" i="29"/>
  <c r="I4" i="29"/>
  <c r="I34" i="29" s="1"/>
  <c r="Z49" i="25" s="1"/>
  <c r="Z213" i="25" s="1"/>
  <c r="AG48" i="20"/>
  <c r="AG18" i="24" s="1"/>
  <c r="AF48" i="20"/>
  <c r="AE48" i="20"/>
  <c r="AH48" i="20" s="1"/>
  <c r="AG47" i="20"/>
  <c r="AG17" i="24" s="1"/>
  <c r="AF47" i="20"/>
  <c r="AE47" i="20"/>
  <c r="AG46" i="20"/>
  <c r="AF46" i="20"/>
  <c r="AF45" i="20" s="1"/>
  <c r="AG44" i="20"/>
  <c r="AG9" i="24" s="1"/>
  <c r="AF44" i="20"/>
  <c r="AE44" i="20"/>
  <c r="AG43" i="20"/>
  <c r="AG8" i="24" s="1"/>
  <c r="AF43" i="20"/>
  <c r="AE43" i="20"/>
  <c r="AG42" i="20"/>
  <c r="AG7" i="24" s="1"/>
  <c r="AG41" i="20"/>
  <c r="AG6" i="24" s="1"/>
  <c r="AF41" i="20"/>
  <c r="AG40" i="20"/>
  <c r="AG5" i="24" s="1"/>
  <c r="AG4" i="24" s="1"/>
  <c r="AF40" i="20"/>
  <c r="AH36" i="20"/>
  <c r="AH32" i="20"/>
  <c r="AG31" i="20"/>
  <c r="AG25" i="20" s="1"/>
  <c r="AG33" i="20" s="1"/>
  <c r="AF31" i="20"/>
  <c r="AE31" i="20"/>
  <c r="AH31" i="20" s="1"/>
  <c r="AH30" i="20"/>
  <c r="AH29" i="20"/>
  <c r="AG28" i="20"/>
  <c r="AF28" i="20"/>
  <c r="AE28" i="20"/>
  <c r="AH28" i="20" s="1"/>
  <c r="AH27" i="20"/>
  <c r="AG26" i="20"/>
  <c r="AF26" i="20"/>
  <c r="AH26" i="20" s="1"/>
  <c r="AE26" i="20"/>
  <c r="AF25" i="20"/>
  <c r="AF33" i="20" s="1"/>
  <c r="AH24" i="20"/>
  <c r="AG23" i="20"/>
  <c r="AF23" i="20"/>
  <c r="AE23" i="20"/>
  <c r="AH23" i="20" s="1"/>
  <c r="AG22" i="20"/>
  <c r="AF22" i="20"/>
  <c r="AE22" i="20"/>
  <c r="AH22" i="20" s="1"/>
  <c r="AG21" i="20"/>
  <c r="AF21" i="20"/>
  <c r="AE21" i="20"/>
  <c r="AH21" i="20" s="1"/>
  <c r="AG20" i="20"/>
  <c r="AG14" i="20" s="1"/>
  <c r="AF20" i="20"/>
  <c r="AE20" i="20"/>
  <c r="AH20" i="20" s="1"/>
  <c r="AH19" i="20"/>
  <c r="AH18" i="20"/>
  <c r="AG18" i="20"/>
  <c r="AF18" i="20"/>
  <c r="AE18" i="20"/>
  <c r="AH17" i="20"/>
  <c r="AG17" i="20"/>
  <c r="AF17" i="20"/>
  <c r="AE17" i="20"/>
  <c r="AH16" i="20"/>
  <c r="AG15" i="20"/>
  <c r="AF15" i="20"/>
  <c r="AE15" i="20"/>
  <c r="AH15" i="20" s="1"/>
  <c r="AF14" i="20"/>
  <c r="AE14" i="20"/>
  <c r="AH14" i="20" s="1"/>
  <c r="AH13" i="20"/>
  <c r="AH12" i="20"/>
  <c r="AG11" i="20"/>
  <c r="AG8" i="20" s="1"/>
  <c r="AF11" i="20"/>
  <c r="AE11" i="20"/>
  <c r="AH11" i="20" s="1"/>
  <c r="AH10" i="20"/>
  <c r="AH9" i="20"/>
  <c r="AG9" i="20"/>
  <c r="AF9" i="20"/>
  <c r="AE9" i="20"/>
  <c r="AF8" i="20"/>
  <c r="AH7" i="20"/>
  <c r="AH6" i="20"/>
  <c r="AH5" i="20"/>
  <c r="AH21" i="21"/>
  <c r="AH18" i="21" s="1"/>
  <c r="AH12" i="30"/>
  <c r="AH14" i="21"/>
  <c r="AE41" i="20" s="1"/>
  <c r="AH41" i="20" s="1"/>
  <c r="AH13" i="21"/>
  <c r="AE40" i="20" s="1"/>
  <c r="AH6" i="21"/>
  <c r="AH20" i="30" s="1"/>
  <c r="Z45" i="2"/>
  <c r="Z44" i="2"/>
  <c r="Y43" i="2"/>
  <c r="Y42" i="2" s="1"/>
  <c r="X43" i="2"/>
  <c r="Z43" i="2" s="1"/>
  <c r="Z41" i="2"/>
  <c r="Y41" i="2"/>
  <c r="X41" i="2"/>
  <c r="Z40" i="2"/>
  <c r="Z39" i="2"/>
  <c r="Y39" i="2"/>
  <c r="X39" i="2"/>
  <c r="Y38" i="2"/>
  <c r="X38" i="2"/>
  <c r="Z38" i="2" s="1"/>
  <c r="Y37" i="2"/>
  <c r="Y36" i="2" s="1"/>
  <c r="X37" i="2"/>
  <c r="Z37" i="2" s="1"/>
  <c r="Z33" i="2"/>
  <c r="Z29" i="2"/>
  <c r="Z28" i="2"/>
  <c r="Y28" i="2"/>
  <c r="X28" i="2"/>
  <c r="Z27" i="2"/>
  <c r="Z26" i="2"/>
  <c r="Y25" i="2"/>
  <c r="X25" i="2"/>
  <c r="Z25" i="2" s="1"/>
  <c r="Z24" i="2"/>
  <c r="Y23" i="2"/>
  <c r="Y22" i="2" s="1"/>
  <c r="X23" i="2"/>
  <c r="Z23" i="2" s="1"/>
  <c r="Z21" i="2"/>
  <c r="Z20" i="2"/>
  <c r="Y20" i="2"/>
  <c r="X20" i="2"/>
  <c r="Z19" i="2"/>
  <c r="Z18" i="2"/>
  <c r="Z17" i="2"/>
  <c r="Z16" i="2"/>
  <c r="Z15" i="2"/>
  <c r="Z14" i="2"/>
  <c r="Z13" i="2"/>
  <c r="Z12" i="2"/>
  <c r="Z11" i="2"/>
  <c r="Y11" i="2"/>
  <c r="X11" i="2"/>
  <c r="Z10" i="2"/>
  <c r="Z9" i="2"/>
  <c r="Y9" i="2"/>
  <c r="X9" i="2"/>
  <c r="Y8" i="2"/>
  <c r="Y30" i="2" s="1"/>
  <c r="X8" i="2"/>
  <c r="Z7" i="2"/>
  <c r="Z6" i="2"/>
  <c r="Z45" i="5"/>
  <c r="Z44" i="5"/>
  <c r="Y43" i="5"/>
  <c r="Y42" i="5" s="1"/>
  <c r="X43" i="5"/>
  <c r="Z43" i="5" s="1"/>
  <c r="Z41" i="5"/>
  <c r="Y41" i="5"/>
  <c r="X41" i="5"/>
  <c r="Z40" i="5"/>
  <c r="Y39" i="5"/>
  <c r="X39" i="5"/>
  <c r="Y38" i="5"/>
  <c r="X38" i="5"/>
  <c r="Z38" i="5" s="1"/>
  <c r="Y37" i="5"/>
  <c r="Y36" i="5" s="1"/>
  <c r="X37" i="5"/>
  <c r="Z37" i="5" s="1"/>
  <c r="Z33" i="5"/>
  <c r="Z29" i="5"/>
  <c r="Z28" i="5"/>
  <c r="Y28" i="5"/>
  <c r="X28" i="5"/>
  <c r="Z27" i="5"/>
  <c r="Z26" i="5"/>
  <c r="Y25" i="5"/>
  <c r="X25" i="5"/>
  <c r="Z25" i="5" s="1"/>
  <c r="Z24" i="5"/>
  <c r="Y23" i="5"/>
  <c r="Y22" i="5" s="1"/>
  <c r="Y30" i="5" s="1"/>
  <c r="X23" i="5"/>
  <c r="Z23" i="5" s="1"/>
  <c r="Z21" i="5"/>
  <c r="Z20" i="5"/>
  <c r="Y20" i="5"/>
  <c r="X20" i="5"/>
  <c r="Z19" i="5"/>
  <c r="Z18" i="5"/>
  <c r="Z17" i="5"/>
  <c r="Z16" i="5"/>
  <c r="Z15" i="5"/>
  <c r="Z14" i="5"/>
  <c r="Z13" i="5"/>
  <c r="Z12" i="5"/>
  <c r="Z11" i="5"/>
  <c r="Y11" i="5"/>
  <c r="X11" i="5"/>
  <c r="Z10" i="5"/>
  <c r="Z9" i="5"/>
  <c r="Y9" i="5"/>
  <c r="X9" i="5"/>
  <c r="Y8" i="5"/>
  <c r="X8" i="5"/>
  <c r="Z8" i="5" s="1"/>
  <c r="Z7" i="5"/>
  <c r="Z6" i="5"/>
  <c r="Z45" i="7"/>
  <c r="Z44" i="7"/>
  <c r="Y43" i="7"/>
  <c r="Y42" i="7" s="1"/>
  <c r="X43" i="7"/>
  <c r="Z43" i="7" s="1"/>
  <c r="Z41" i="7"/>
  <c r="Y41" i="7"/>
  <c r="X41" i="7"/>
  <c r="Z40" i="7"/>
  <c r="Y39" i="7"/>
  <c r="X39" i="7"/>
  <c r="Z39" i="7" s="1"/>
  <c r="Y38" i="7"/>
  <c r="X38" i="7"/>
  <c r="Y37" i="7"/>
  <c r="Y36" i="7" s="1"/>
  <c r="Y46" i="7" s="1"/>
  <c r="Y34" i="7" s="1"/>
  <c r="Y32" i="7" s="1"/>
  <c r="Y31" i="7" s="1"/>
  <c r="Y35" i="7" s="1"/>
  <c r="X37" i="7"/>
  <c r="Z37" i="7" s="1"/>
  <c r="Z33" i="7"/>
  <c r="Z29" i="7"/>
  <c r="Y28" i="7"/>
  <c r="X28" i="7"/>
  <c r="Z28" i="7" s="1"/>
  <c r="Z27" i="7"/>
  <c r="Z26" i="7"/>
  <c r="Y25" i="7"/>
  <c r="X25" i="7"/>
  <c r="Z25" i="7" s="1"/>
  <c r="Z24" i="7"/>
  <c r="Y23" i="7"/>
  <c r="X23" i="7"/>
  <c r="Z23" i="7" s="1"/>
  <c r="Y22" i="7"/>
  <c r="Y30" i="7" s="1"/>
  <c r="Z21" i="7"/>
  <c r="Y20" i="7"/>
  <c r="X20" i="7"/>
  <c r="Z20" i="7" s="1"/>
  <c r="Z19" i="7"/>
  <c r="Z18" i="7"/>
  <c r="Z17" i="7"/>
  <c r="Z16" i="7"/>
  <c r="AH22" i="11" s="1"/>
  <c r="Z15" i="7"/>
  <c r="Z14" i="7"/>
  <c r="Z13" i="7"/>
  <c r="Z12" i="7"/>
  <c r="Y11" i="7"/>
  <c r="X11" i="7"/>
  <c r="Z11" i="7" s="1"/>
  <c r="Z10" i="7"/>
  <c r="Z9" i="7"/>
  <c r="Y9" i="7"/>
  <c r="X9" i="7"/>
  <c r="X8" i="7" s="1"/>
  <c r="Z8" i="7" s="1"/>
  <c r="Y8" i="7"/>
  <c r="Z7" i="7"/>
  <c r="Z6" i="7"/>
  <c r="Z45" i="18"/>
  <c r="X44" i="18"/>
  <c r="Z44" i="18" s="1"/>
  <c r="Y43" i="18"/>
  <c r="Y42" i="18" s="1"/>
  <c r="X43" i="18"/>
  <c r="X42" i="18" s="1"/>
  <c r="X41" i="18"/>
  <c r="Z41" i="18" s="1"/>
  <c r="Z40" i="18"/>
  <c r="Y39" i="18"/>
  <c r="X39" i="18"/>
  <c r="Z39" i="18" s="1"/>
  <c r="Y38" i="18"/>
  <c r="X38" i="18"/>
  <c r="Y37" i="18"/>
  <c r="Y36" i="18" s="1"/>
  <c r="X37" i="18"/>
  <c r="Z33" i="18"/>
  <c r="Z29" i="18"/>
  <c r="Y28" i="18"/>
  <c r="X28" i="18"/>
  <c r="Z28" i="18" s="1"/>
  <c r="Z27" i="18"/>
  <c r="Z26" i="18"/>
  <c r="Y25" i="18"/>
  <c r="X25" i="18"/>
  <c r="Z25" i="18" s="1"/>
  <c r="Z24" i="18"/>
  <c r="Y23" i="18"/>
  <c r="Y22" i="18" s="1"/>
  <c r="X23" i="18"/>
  <c r="X22" i="18" s="1"/>
  <c r="Z21" i="18"/>
  <c r="Y20" i="18"/>
  <c r="X20" i="18"/>
  <c r="Z20" i="18" s="1"/>
  <c r="Z19" i="18"/>
  <c r="Z18" i="18"/>
  <c r="Z17" i="18"/>
  <c r="Z16" i="18"/>
  <c r="Z15" i="18"/>
  <c r="Z14" i="18"/>
  <c r="X13" i="18"/>
  <c r="Z13" i="18" s="1"/>
  <c r="Z12" i="18"/>
  <c r="Y11" i="18"/>
  <c r="X11" i="18"/>
  <c r="Z11" i="18" s="1"/>
  <c r="Z10" i="18"/>
  <c r="Y9" i="18"/>
  <c r="Y8" i="18" s="1"/>
  <c r="X9" i="18"/>
  <c r="Z9" i="18" s="1"/>
  <c r="Z7" i="18"/>
  <c r="Z6" i="18"/>
  <c r="X6" i="18"/>
  <c r="Z45" i="14"/>
  <c r="Z44" i="14"/>
  <c r="Y43" i="14"/>
  <c r="Y42" i="14" s="1"/>
  <c r="X43" i="14"/>
  <c r="Z43" i="14" s="1"/>
  <c r="Z41" i="14"/>
  <c r="X41" i="14"/>
  <c r="Z40" i="14"/>
  <c r="Y39" i="14"/>
  <c r="Z39" i="14" s="1"/>
  <c r="X39" i="14"/>
  <c r="Y38" i="14"/>
  <c r="Y36" i="14" s="1"/>
  <c r="X38" i="14"/>
  <c r="Z38" i="14" s="1"/>
  <c r="Y37" i="14"/>
  <c r="X37" i="14"/>
  <c r="Z37" i="14" s="1"/>
  <c r="Z33" i="14"/>
  <c r="Z29" i="14"/>
  <c r="Z28" i="14"/>
  <c r="Y28" i="14"/>
  <c r="X28" i="14"/>
  <c r="Z27" i="14"/>
  <c r="Z26" i="14"/>
  <c r="Y25" i="14"/>
  <c r="X25" i="14"/>
  <c r="Z25" i="14" s="1"/>
  <c r="Z24" i="14"/>
  <c r="Y23" i="14"/>
  <c r="X23" i="14"/>
  <c r="Z23" i="14" s="1"/>
  <c r="Y22" i="14"/>
  <c r="Z21" i="14"/>
  <c r="Z20" i="14"/>
  <c r="Y20" i="14"/>
  <c r="X20" i="14"/>
  <c r="Z19" i="14"/>
  <c r="Z18" i="14"/>
  <c r="Z17" i="14"/>
  <c r="Z16" i="14"/>
  <c r="Z15" i="14"/>
  <c r="Z14" i="14"/>
  <c r="Z13" i="14"/>
  <c r="Z12" i="14"/>
  <c r="Y11" i="14"/>
  <c r="Z11" i="14" s="1"/>
  <c r="X11" i="14"/>
  <c r="Z10" i="14"/>
  <c r="Y9" i="14"/>
  <c r="Z9" i="14" s="1"/>
  <c r="X9" i="14"/>
  <c r="X8" i="14"/>
  <c r="Z7" i="14"/>
  <c r="Z6" i="14"/>
  <c r="Z45" i="8"/>
  <c r="Z44" i="8"/>
  <c r="Y43" i="8"/>
  <c r="Y42" i="8" s="1"/>
  <c r="X43" i="8"/>
  <c r="Z43" i="8" s="1"/>
  <c r="Z41" i="8"/>
  <c r="X41" i="8"/>
  <c r="Z40" i="8"/>
  <c r="Y39" i="8"/>
  <c r="X39" i="8"/>
  <c r="Y38" i="8"/>
  <c r="Y36" i="8" s="1"/>
  <c r="X38" i="8"/>
  <c r="Z38" i="8" s="1"/>
  <c r="Y37" i="8"/>
  <c r="X37" i="8"/>
  <c r="Z37" i="8" s="1"/>
  <c r="Z33" i="8"/>
  <c r="Z29" i="8"/>
  <c r="Z28" i="8"/>
  <c r="Y28" i="8"/>
  <c r="X28" i="8"/>
  <c r="Z27" i="8"/>
  <c r="Z26" i="8"/>
  <c r="Y25" i="8"/>
  <c r="X25" i="8"/>
  <c r="Z25" i="8" s="1"/>
  <c r="Z24" i="8"/>
  <c r="Y23" i="8"/>
  <c r="X23" i="8"/>
  <c r="Z23" i="8" s="1"/>
  <c r="Y22" i="8"/>
  <c r="Z21" i="8"/>
  <c r="Z20" i="8"/>
  <c r="Y20" i="8"/>
  <c r="X20" i="8"/>
  <c r="Z19" i="8"/>
  <c r="Z18" i="8"/>
  <c r="Z17" i="8"/>
  <c r="Z16" i="8"/>
  <c r="Z15" i="8"/>
  <c r="Z14" i="8"/>
  <c r="Z13" i="8"/>
  <c r="Z12" i="8"/>
  <c r="Y11" i="8"/>
  <c r="X11" i="8"/>
  <c r="Z11" i="8" s="1"/>
  <c r="Z10" i="8"/>
  <c r="Y9" i="8"/>
  <c r="Y8" i="8" s="1"/>
  <c r="X9" i="8"/>
  <c r="Z9" i="8" s="1"/>
  <c r="X8" i="8"/>
  <c r="Z8" i="8" s="1"/>
  <c r="Z7" i="8"/>
  <c r="Z6" i="8"/>
  <c r="Z45" i="37"/>
  <c r="X45" i="37"/>
  <c r="Z44" i="37"/>
  <c r="Y43" i="37"/>
  <c r="Y42" i="37" s="1"/>
  <c r="X43" i="37"/>
  <c r="Z43" i="37" s="1"/>
  <c r="X42" i="37"/>
  <c r="Z41" i="37"/>
  <c r="X41" i="37"/>
  <c r="Z40" i="37"/>
  <c r="Z39" i="37"/>
  <c r="Y39" i="37"/>
  <c r="X39" i="37"/>
  <c r="Y38" i="37"/>
  <c r="Y36" i="37" s="1"/>
  <c r="X38" i="37"/>
  <c r="Z38" i="37" s="1"/>
  <c r="Y37" i="37"/>
  <c r="X37" i="37"/>
  <c r="Z37" i="37" s="1"/>
  <c r="Z33" i="37"/>
  <c r="Z29" i="37"/>
  <c r="Z28" i="37"/>
  <c r="Y28" i="37"/>
  <c r="X28" i="37"/>
  <c r="Z27" i="37"/>
  <c r="Z26" i="37"/>
  <c r="Y25" i="37"/>
  <c r="X25" i="37"/>
  <c r="Z25" i="37" s="1"/>
  <c r="Z24" i="37"/>
  <c r="Y23" i="37"/>
  <c r="X23" i="37"/>
  <c r="Z23" i="37" s="1"/>
  <c r="Y22" i="37"/>
  <c r="Y30" i="37" s="1"/>
  <c r="Z21" i="37"/>
  <c r="Z20" i="37"/>
  <c r="Y20" i="37"/>
  <c r="X20" i="37"/>
  <c r="Z19" i="37"/>
  <c r="Z18" i="37"/>
  <c r="Z17" i="37"/>
  <c r="Z16" i="37"/>
  <c r="Z15" i="37"/>
  <c r="Z14" i="37"/>
  <c r="Z13" i="37"/>
  <c r="Z12" i="37"/>
  <c r="Z11" i="37"/>
  <c r="Y11" i="37"/>
  <c r="X11" i="37"/>
  <c r="Z10" i="37"/>
  <c r="Z9" i="37"/>
  <c r="Y9" i="37"/>
  <c r="X9" i="37"/>
  <c r="Y8" i="37"/>
  <c r="X8" i="37"/>
  <c r="Z8" i="37" s="1"/>
  <c r="Z7" i="37"/>
  <c r="Z6" i="37"/>
  <c r="Z45" i="12"/>
  <c r="Z44" i="12"/>
  <c r="Y42" i="12"/>
  <c r="X41" i="12"/>
  <c r="Z41" i="12" s="1"/>
  <c r="Z40" i="12"/>
  <c r="Y36" i="12"/>
  <c r="Y46" i="12" s="1"/>
  <c r="Z33" i="12"/>
  <c r="Z29" i="12"/>
  <c r="Z28" i="12"/>
  <c r="Y28" i="12"/>
  <c r="X28" i="12"/>
  <c r="Z27" i="12"/>
  <c r="Z26" i="12"/>
  <c r="Y25" i="12"/>
  <c r="X25" i="12"/>
  <c r="Z25" i="12" s="1"/>
  <c r="Z24" i="12"/>
  <c r="Y23" i="12"/>
  <c r="X23" i="12"/>
  <c r="Z23" i="12" s="1"/>
  <c r="Y22" i="12"/>
  <c r="Z21" i="12"/>
  <c r="Z20" i="12"/>
  <c r="Y20" i="12"/>
  <c r="X20" i="12"/>
  <c r="Z19" i="12"/>
  <c r="Z18" i="12"/>
  <c r="Z17" i="12"/>
  <c r="Z16" i="12"/>
  <c r="Z15" i="12"/>
  <c r="Z14" i="12"/>
  <c r="Z13" i="12"/>
  <c r="Z12" i="12"/>
  <c r="Y11" i="12"/>
  <c r="X11" i="12"/>
  <c r="Z11" i="12" s="1"/>
  <c r="Z10" i="12"/>
  <c r="Y9" i="12"/>
  <c r="Y8" i="12" s="1"/>
  <c r="X9" i="12"/>
  <c r="Z9" i="12" s="1"/>
  <c r="X8" i="12"/>
  <c r="Z8" i="12" s="1"/>
  <c r="Z7" i="12"/>
  <c r="Z6" i="12"/>
  <c r="Z194" i="3"/>
  <c r="X38" i="12" s="1"/>
  <c r="Z38" i="12" s="1"/>
  <c r="Z193" i="3"/>
  <c r="X37" i="12" s="1"/>
  <c r="Z37" i="12" s="1"/>
  <c r="Z176" i="3"/>
  <c r="AH29" i="30" s="1"/>
  <c r="Z171" i="3"/>
  <c r="Z197" i="3"/>
  <c r="X43" i="12" s="1"/>
  <c r="Z43" i="12" s="1"/>
  <c r="Z165" i="3"/>
  <c r="Z156" i="3"/>
  <c r="Z151" i="3"/>
  <c r="Z148" i="3"/>
  <c r="Z137" i="3"/>
  <c r="AH23" i="30" s="1"/>
  <c r="Z132" i="3"/>
  <c r="X131" i="3"/>
  <c r="X130" i="3" s="1"/>
  <c r="Z124" i="3"/>
  <c r="Z118" i="3"/>
  <c r="Z117" i="3" s="1"/>
  <c r="Z116" i="3" s="1"/>
  <c r="Z105" i="3"/>
  <c r="Z100" i="3"/>
  <c r="Z96" i="3"/>
  <c r="Z95" i="3"/>
  <c r="Z94" i="3" s="1"/>
  <c r="Z93" i="3" s="1"/>
  <c r="Z92" i="3" s="1"/>
  <c r="X94" i="3"/>
  <c r="X93" i="3" s="1"/>
  <c r="X92" i="3" s="1"/>
  <c r="Z88" i="3"/>
  <c r="Z87" i="3" s="1"/>
  <c r="Z86" i="3" s="1"/>
  <c r="Z85" i="3"/>
  <c r="Z84" i="3"/>
  <c r="Z81" i="3" s="1"/>
  <c r="Z80" i="3"/>
  <c r="Z75" i="3"/>
  <c r="AH34" i="30" s="1"/>
  <c r="Z68" i="3"/>
  <c r="Z67" i="3" s="1"/>
  <c r="Z57" i="3"/>
  <c r="AH33" i="30" s="1"/>
  <c r="Z50" i="3"/>
  <c r="Z42" i="3"/>
  <c r="Z36" i="3"/>
  <c r="Z35" i="3" s="1"/>
  <c r="Z34" i="3" s="1"/>
  <c r="X35" i="3"/>
  <c r="X34" i="3"/>
  <c r="Z22" i="3"/>
  <c r="Z21" i="3" s="1"/>
  <c r="Z20" i="3" s="1"/>
  <c r="Z11" i="3"/>
  <c r="Z8" i="3"/>
  <c r="Z7" i="3" s="1"/>
  <c r="Z6" i="3" s="1"/>
  <c r="S133" i="39"/>
  <c r="S132" i="39"/>
  <c r="S131" i="39"/>
  <c r="S128" i="39"/>
  <c r="S127" i="39"/>
  <c r="S126" i="39"/>
  <c r="S125" i="39"/>
  <c r="S124" i="39"/>
  <c r="S123" i="39"/>
  <c r="W122" i="39"/>
  <c r="U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W106" i="39"/>
  <c r="V106" i="39"/>
  <c r="U106" i="39"/>
  <c r="S105" i="39"/>
  <c r="S104" i="39"/>
  <c r="W103" i="39"/>
  <c r="V103" i="39"/>
  <c r="U103" i="39"/>
  <c r="U87" i="39"/>
  <c r="S86" i="39"/>
  <c r="S83" i="39"/>
  <c r="S82" i="39"/>
  <c r="S81" i="39"/>
  <c r="W73" i="39"/>
  <c r="S80" i="39"/>
  <c r="S79" i="39"/>
  <c r="S78" i="39"/>
  <c r="S77" i="39"/>
  <c r="S76" i="39"/>
  <c r="S75" i="39"/>
  <c r="V74" i="39"/>
  <c r="V73" i="39" s="1"/>
  <c r="S74" i="39"/>
  <c r="U73" i="39"/>
  <c r="U69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4" i="39"/>
  <c r="S53" i="39"/>
  <c r="S52" i="39"/>
  <c r="W51" i="39"/>
  <c r="S51" i="39" s="1"/>
  <c r="S50" i="39"/>
  <c r="S49" i="39"/>
  <c r="S48" i="39"/>
  <c r="S47" i="39"/>
  <c r="S46" i="39"/>
  <c r="S45" i="39"/>
  <c r="S44" i="39"/>
  <c r="S43" i="39"/>
  <c r="S42" i="39"/>
  <c r="S41" i="39"/>
  <c r="S40" i="39"/>
  <c r="W29" i="39"/>
  <c r="S39" i="39"/>
  <c r="S38" i="39"/>
  <c r="S37" i="39"/>
  <c r="S36" i="39"/>
  <c r="S35" i="39"/>
  <c r="S34" i="39"/>
  <c r="S33" i="39"/>
  <c r="S32" i="39"/>
  <c r="S31" i="39"/>
  <c r="V29" i="39"/>
  <c r="S30" i="39"/>
  <c r="W4" i="39"/>
  <c r="U4" i="39"/>
  <c r="AE10" i="11" l="1"/>
  <c r="AH12" i="11"/>
  <c r="AH29" i="10"/>
  <c r="S55" i="39"/>
  <c r="S73" i="39"/>
  <c r="S103" i="39"/>
  <c r="S84" i="39"/>
  <c r="S106" i="39"/>
  <c r="S29" i="39"/>
  <c r="AH21" i="11"/>
  <c r="AH39" i="30"/>
  <c r="Z39" i="8"/>
  <c r="Z38" i="18"/>
  <c r="Z49" i="3"/>
  <c r="Z48" i="3" s="1"/>
  <c r="Z131" i="3"/>
  <c r="Z130" i="3" s="1"/>
  <c r="X36" i="18"/>
  <c r="Z36" i="18" s="1"/>
  <c r="AH32" i="30"/>
  <c r="Z38" i="7"/>
  <c r="AF8" i="24"/>
  <c r="AH89" i="30"/>
  <c r="AG30" i="24"/>
  <c r="AH30" i="24" s="1"/>
  <c r="AG29" i="24"/>
  <c r="AH43" i="10"/>
  <c r="AF41" i="10"/>
  <c r="AF5" i="10" s="1"/>
  <c r="AF91" i="10" s="1"/>
  <c r="AF17" i="11"/>
  <c r="AH17" i="11" s="1"/>
  <c r="AH25" i="11"/>
  <c r="AH36" i="30"/>
  <c r="AH78" i="30"/>
  <c r="AG45" i="20"/>
  <c r="AH40" i="20"/>
  <c r="AH47" i="20"/>
  <c r="AH74" i="30"/>
  <c r="AH17" i="21"/>
  <c r="AE42" i="20"/>
  <c r="AG39" i="20"/>
  <c r="AG37" i="20" s="1"/>
  <c r="AG35" i="20" s="1"/>
  <c r="AG34" i="20" s="1"/>
  <c r="AG38" i="20" s="1"/>
  <c r="AF42" i="20"/>
  <c r="AF7" i="24" s="1"/>
  <c r="AH44" i="20"/>
  <c r="AE17" i="24"/>
  <c r="AG49" i="20"/>
  <c r="AG16" i="24"/>
  <c r="AG15" i="24" s="1"/>
  <c r="AG24" i="24" s="1"/>
  <c r="AF17" i="24"/>
  <c r="AE5" i="24"/>
  <c r="AH43" i="20"/>
  <c r="AH46" i="20"/>
  <c r="AE8" i="24"/>
  <c r="AH8" i="24" s="1"/>
  <c r="AE6" i="24"/>
  <c r="AH6" i="11"/>
  <c r="AE19" i="23"/>
  <c r="AH19" i="23" s="1"/>
  <c r="AH22" i="23"/>
  <c r="AF16" i="24"/>
  <c r="AE34" i="11"/>
  <c r="AH36" i="11"/>
  <c r="Z39" i="5"/>
  <c r="AH30" i="30"/>
  <c r="AH10" i="11"/>
  <c r="AE47" i="11"/>
  <c r="AE6" i="10"/>
  <c r="AH7" i="10"/>
  <c r="AG108" i="10"/>
  <c r="AH75" i="10"/>
  <c r="AH69" i="10"/>
  <c r="AE67" i="10"/>
  <c r="AH100" i="10"/>
  <c r="AE93" i="10"/>
  <c r="AH9" i="10"/>
  <c r="AE26" i="10"/>
  <c r="AG41" i="10"/>
  <c r="AH46" i="10"/>
  <c r="AH72" i="10"/>
  <c r="AG18" i="10"/>
  <c r="AG6" i="10" s="1"/>
  <c r="AG5" i="10" s="1"/>
  <c r="AG91" i="10" s="1"/>
  <c r="AF21" i="23"/>
  <c r="AF8" i="23"/>
  <c r="AF5" i="24" s="1"/>
  <c r="Z53" i="25"/>
  <c r="AH17" i="30" s="1"/>
  <c r="Z215" i="25"/>
  <c r="Z214" i="25"/>
  <c r="Z211" i="25"/>
  <c r="Z44" i="25"/>
  <c r="AH16" i="30" s="1"/>
  <c r="Z61" i="25"/>
  <c r="AH19" i="30" s="1"/>
  <c r="AF9" i="23"/>
  <c r="AH9" i="23" s="1"/>
  <c r="AF12" i="23"/>
  <c r="AF9" i="24" s="1"/>
  <c r="AE33" i="23"/>
  <c r="AE27" i="24" s="1"/>
  <c r="AH11" i="23"/>
  <c r="AH23" i="23"/>
  <c r="AH10" i="23"/>
  <c r="AE24" i="23"/>
  <c r="AG30" i="23"/>
  <c r="Z219" i="25"/>
  <c r="Z156" i="25"/>
  <c r="AH72" i="30" s="1"/>
  <c r="AE8" i="20"/>
  <c r="AH8" i="20" s="1"/>
  <c r="AE45" i="20"/>
  <c r="AH45" i="20" s="1"/>
  <c r="AE25" i="20"/>
  <c r="AH5" i="21"/>
  <c r="Y46" i="2"/>
  <c r="Y34" i="2" s="1"/>
  <c r="Y32" i="2" s="1"/>
  <c r="Y31" i="2" s="1"/>
  <c r="Y35" i="2" s="1"/>
  <c r="Z8" i="2"/>
  <c r="X22" i="2"/>
  <c r="Z22" i="2" s="1"/>
  <c r="X36" i="2"/>
  <c r="X42" i="2"/>
  <c r="Z42" i="2" s="1"/>
  <c r="Y46" i="5"/>
  <c r="Y34" i="5"/>
  <c r="Y32" i="5" s="1"/>
  <c r="Y31" i="5" s="1"/>
  <c r="Y35" i="5" s="1"/>
  <c r="X22" i="5"/>
  <c r="X36" i="5"/>
  <c r="X42" i="5"/>
  <c r="Z42" i="5" s="1"/>
  <c r="X22" i="7"/>
  <c r="X36" i="7"/>
  <c r="X42" i="7"/>
  <c r="Z42" i="7" s="1"/>
  <c r="Y30" i="18"/>
  <c r="Z22" i="18"/>
  <c r="Y34" i="18"/>
  <c r="Y32" i="18" s="1"/>
  <c r="Y31" i="18" s="1"/>
  <c r="Y35" i="18" s="1"/>
  <c r="Y46" i="18"/>
  <c r="Z42" i="18"/>
  <c r="Z43" i="18"/>
  <c r="X8" i="18"/>
  <c r="Z8" i="18" s="1"/>
  <c r="Z23" i="18"/>
  <c r="Z37" i="18"/>
  <c r="Y46" i="14"/>
  <c r="Y8" i="14"/>
  <c r="Z8" i="14" s="1"/>
  <c r="X42" i="14"/>
  <c r="Z42" i="14" s="1"/>
  <c r="X22" i="14"/>
  <c r="X36" i="14"/>
  <c r="Y30" i="8"/>
  <c r="Y46" i="8"/>
  <c r="Y34" i="8"/>
  <c r="Y32" i="8" s="1"/>
  <c r="Y31" i="8" s="1"/>
  <c r="Y35" i="8" s="1"/>
  <c r="X42" i="8"/>
  <c r="Z42" i="8" s="1"/>
  <c r="X22" i="8"/>
  <c r="X36" i="8"/>
  <c r="Z42" i="37"/>
  <c r="Y46" i="37"/>
  <c r="Y34" i="37"/>
  <c r="Y32" i="37" s="1"/>
  <c r="Y31" i="37" s="1"/>
  <c r="Y35" i="37" s="1"/>
  <c r="X22" i="37"/>
  <c r="X36" i="37"/>
  <c r="Y30" i="12"/>
  <c r="Y34" i="12" s="1"/>
  <c r="Y32" i="12" s="1"/>
  <c r="Y31" i="12" s="1"/>
  <c r="Y35" i="12" s="1"/>
  <c r="X22" i="12"/>
  <c r="X42" i="12"/>
  <c r="Z42" i="12" s="1"/>
  <c r="Z74" i="3"/>
  <c r="Z73" i="3" s="1"/>
  <c r="X5" i="3"/>
  <c r="Z195" i="3"/>
  <c r="W130" i="39"/>
  <c r="W134" i="39" s="1"/>
  <c r="V4" i="39"/>
  <c r="S4" i="39" s="1"/>
  <c r="U29" i="39"/>
  <c r="U130" i="39" s="1"/>
  <c r="V122" i="39"/>
  <c r="S122" i="39" s="1"/>
  <c r="U94" i="3"/>
  <c r="U93" i="3" s="1"/>
  <c r="U92" i="3" s="1"/>
  <c r="V130" i="39" l="1"/>
  <c r="V134" i="39" s="1"/>
  <c r="AG26" i="24"/>
  <c r="AG25" i="24" s="1"/>
  <c r="Z5" i="3"/>
  <c r="X46" i="18"/>
  <c r="Z199" i="3"/>
  <c r="X39" i="12"/>
  <c r="AG35" i="24"/>
  <c r="AH5" i="24"/>
  <c r="AH24" i="23"/>
  <c r="AE18" i="24"/>
  <c r="AH18" i="24" s="1"/>
  <c r="AF6" i="24"/>
  <c r="AH6" i="24" s="1"/>
  <c r="AH8" i="23"/>
  <c r="AH27" i="24"/>
  <c r="AE26" i="24"/>
  <c r="AH29" i="24"/>
  <c r="AF4" i="11"/>
  <c r="AF45" i="11" s="1"/>
  <c r="AH41" i="10"/>
  <c r="AE15" i="24"/>
  <c r="AH5" i="30"/>
  <c r="AE39" i="20"/>
  <c r="AE49" i="20" s="1"/>
  <c r="AE7" i="24"/>
  <c r="AH7" i="24" s="1"/>
  <c r="AF7" i="23"/>
  <c r="AF30" i="23" s="1"/>
  <c r="AF44" i="23" s="1"/>
  <c r="AE17" i="23"/>
  <c r="AE12" i="23" s="1"/>
  <c r="AE9" i="24" s="1"/>
  <c r="AE5" i="11"/>
  <c r="AH5" i="11" s="1"/>
  <c r="AF108" i="10"/>
  <c r="AH42" i="20"/>
  <c r="AH16" i="24"/>
  <c r="AH17" i="24"/>
  <c r="AH4" i="21"/>
  <c r="AF39" i="20"/>
  <c r="AF15" i="24"/>
  <c r="Z6" i="25"/>
  <c r="AH34" i="11"/>
  <c r="AE29" i="11"/>
  <c r="AH29" i="11" s="1"/>
  <c r="AE46" i="11"/>
  <c r="AH47" i="11"/>
  <c r="AE92" i="10"/>
  <c r="AH93" i="10"/>
  <c r="AH26" i="10"/>
  <c r="AE25" i="10"/>
  <c r="AH25" i="10" s="1"/>
  <c r="AH6" i="10"/>
  <c r="AE62" i="10"/>
  <c r="AH62" i="10" s="1"/>
  <c r="AH67" i="10"/>
  <c r="AH18" i="10"/>
  <c r="AE21" i="23"/>
  <c r="AH21" i="23" s="1"/>
  <c r="AH33" i="23"/>
  <c r="AE32" i="23"/>
  <c r="AE33" i="20"/>
  <c r="AH33" i="20" s="1"/>
  <c r="AH25" i="20"/>
  <c r="Z36" i="2"/>
  <c r="X46" i="2"/>
  <c r="X30" i="2"/>
  <c r="Z36" i="5"/>
  <c r="X34" i="5"/>
  <c r="X46" i="5"/>
  <c r="Z46" i="5" s="1"/>
  <c r="Z22" i="5"/>
  <c r="X30" i="5"/>
  <c r="Z30" i="5" s="1"/>
  <c r="Z36" i="7"/>
  <c r="X46" i="7"/>
  <c r="Z22" i="7"/>
  <c r="X30" i="7"/>
  <c r="Z30" i="7" s="1"/>
  <c r="Z46" i="18"/>
  <c r="X30" i="18"/>
  <c r="Z30" i="18" s="1"/>
  <c r="X34" i="18"/>
  <c r="X46" i="14"/>
  <c r="Z36" i="14"/>
  <c r="X30" i="14"/>
  <c r="Z30" i="14" s="1"/>
  <c r="Z22" i="14"/>
  <c r="Y30" i="14"/>
  <c r="Y34" i="14" s="1"/>
  <c r="Y32" i="14" s="1"/>
  <c r="Y31" i="14" s="1"/>
  <c r="Y35" i="14" s="1"/>
  <c r="Z36" i="8"/>
  <c r="X46" i="8"/>
  <c r="Z46" i="8" s="1"/>
  <c r="X30" i="8"/>
  <c r="Z30" i="8" s="1"/>
  <c r="Z22" i="8"/>
  <c r="Z22" i="37"/>
  <c r="X30" i="37"/>
  <c r="Z30" i="37" s="1"/>
  <c r="Z36" i="37"/>
  <c r="X34" i="37"/>
  <c r="X46" i="37"/>
  <c r="Z46" i="37" s="1"/>
  <c r="X30" i="12"/>
  <c r="Z30" i="12" s="1"/>
  <c r="Z22" i="12"/>
  <c r="U134" i="39"/>
  <c r="R39" i="39"/>
  <c r="Q39" i="39"/>
  <c r="Q97" i="39"/>
  <c r="E15" i="36"/>
  <c r="E12" i="36"/>
  <c r="Q28" i="39"/>
  <c r="Q26" i="39"/>
  <c r="Q127" i="39"/>
  <c r="S134" i="39" l="1"/>
  <c r="S130" i="39"/>
  <c r="AF60" i="11"/>
  <c r="Z39" i="12"/>
  <c r="X36" i="12"/>
  <c r="AF4" i="24"/>
  <c r="AF35" i="24" s="1"/>
  <c r="AE25" i="24"/>
  <c r="AH25" i="24" s="1"/>
  <c r="AH26" i="24"/>
  <c r="AH17" i="23"/>
  <c r="AE4" i="11"/>
  <c r="AE45" i="11" s="1"/>
  <c r="AH45" i="11" s="1"/>
  <c r="AH15" i="24"/>
  <c r="AF49" i="20"/>
  <c r="AF37" i="20"/>
  <c r="AF35" i="20" s="1"/>
  <c r="AF34" i="20" s="1"/>
  <c r="AF38" i="20" s="1"/>
  <c r="AH49" i="20"/>
  <c r="AH39" i="20"/>
  <c r="AH9" i="24"/>
  <c r="AE4" i="24"/>
  <c r="AE24" i="24" s="1"/>
  <c r="AH46" i="11"/>
  <c r="AE5" i="10"/>
  <c r="AE108" i="10" s="1"/>
  <c r="AH108" i="10" s="1"/>
  <c r="AH111" i="10" s="1"/>
  <c r="AH113" i="10" s="1"/>
  <c r="AH92" i="10"/>
  <c r="AE31" i="23"/>
  <c r="AH12" i="23"/>
  <c r="AE7" i="23"/>
  <c r="AE37" i="20"/>
  <c r="Z30" i="2"/>
  <c r="Z46" i="2"/>
  <c r="X34" i="2"/>
  <c r="X32" i="5"/>
  <c r="Z34" i="5"/>
  <c r="Z46" i="7"/>
  <c r="X34" i="7"/>
  <c r="X32" i="18"/>
  <c r="Z34" i="18"/>
  <c r="Z46" i="14"/>
  <c r="X34" i="14"/>
  <c r="X34" i="8"/>
  <c r="X32" i="37"/>
  <c r="Z34" i="37"/>
  <c r="Q123" i="39"/>
  <c r="P123" i="39"/>
  <c r="Q67" i="39"/>
  <c r="Q56" i="39"/>
  <c r="P56" i="39"/>
  <c r="Q41" i="39"/>
  <c r="Q37" i="39"/>
  <c r="Q11" i="39"/>
  <c r="Q5" i="39"/>
  <c r="Q54" i="39"/>
  <c r="X46" i="12" l="1"/>
  <c r="Z36" i="12"/>
  <c r="AH4" i="11"/>
  <c r="AE60" i="11"/>
  <c r="AH60" i="11" s="1"/>
  <c r="AH61" i="11" s="1"/>
  <c r="AH4" i="24"/>
  <c r="AE91" i="10"/>
  <c r="AH91" i="10" s="1"/>
  <c r="AH5" i="10"/>
  <c r="AH7" i="23"/>
  <c r="AE30" i="23"/>
  <c r="AH37" i="20"/>
  <c r="AE35" i="20"/>
  <c r="X32" i="2"/>
  <c r="Z34" i="2"/>
  <c r="Z32" i="5"/>
  <c r="X31" i="5"/>
  <c r="X32" i="7"/>
  <c r="Z34" i="7"/>
  <c r="Z32" i="18"/>
  <c r="X31" i="18"/>
  <c r="Z34" i="14"/>
  <c r="X32" i="14"/>
  <c r="Z34" i="8"/>
  <c r="X32" i="8"/>
  <c r="X31" i="37"/>
  <c r="Z32" i="37"/>
  <c r="Q132" i="39"/>
  <c r="P122" i="39"/>
  <c r="Q27" i="39"/>
  <c r="W47" i="25"/>
  <c r="W56" i="25"/>
  <c r="P54" i="39"/>
  <c r="R47" i="39"/>
  <c r="AB29" i="23"/>
  <c r="W174" i="25"/>
  <c r="R8" i="39"/>
  <c r="P39" i="39"/>
  <c r="R68" i="39"/>
  <c r="N101" i="39"/>
  <c r="Q84" i="39"/>
  <c r="R53" i="39"/>
  <c r="Q112" i="39"/>
  <c r="R45" i="39"/>
  <c r="R96" i="39"/>
  <c r="Q30" i="39"/>
  <c r="Z46" i="12" l="1"/>
  <c r="X34" i="12"/>
  <c r="AE35" i="24"/>
  <c r="AH35" i="24" s="1"/>
  <c r="AH30" i="23"/>
  <c r="AE44" i="23"/>
  <c r="AE34" i="20"/>
  <c r="AH35" i="20"/>
  <c r="X31" i="2"/>
  <c r="Z32" i="2"/>
  <c r="X35" i="5"/>
  <c r="Z35" i="5" s="1"/>
  <c r="Z31" i="5"/>
  <c r="Z32" i="7"/>
  <c r="X31" i="7"/>
  <c r="X35" i="18"/>
  <c r="Z35" i="18" s="1"/>
  <c r="Z31" i="18"/>
  <c r="Z32" i="14"/>
  <c r="X31" i="14"/>
  <c r="Z32" i="8"/>
  <c r="X31" i="8"/>
  <c r="X35" i="37"/>
  <c r="Z35" i="37" s="1"/>
  <c r="Z31" i="37"/>
  <c r="N53" i="39"/>
  <c r="Q76" i="39"/>
  <c r="R80" i="39"/>
  <c r="N80" i="39" s="1"/>
  <c r="P19" i="39"/>
  <c r="P4" i="39" s="1"/>
  <c r="Q21" i="39"/>
  <c r="N21" i="39" s="1"/>
  <c r="Q124" i="39"/>
  <c r="Q122" i="39" s="1"/>
  <c r="N100" i="39"/>
  <c r="N133" i="39"/>
  <c r="N132" i="39"/>
  <c r="N131" i="39"/>
  <c r="N128" i="39"/>
  <c r="N127" i="39"/>
  <c r="N126" i="39"/>
  <c r="N125" i="39"/>
  <c r="N123" i="39"/>
  <c r="R122" i="39"/>
  <c r="N121" i="39"/>
  <c r="N120" i="39"/>
  <c r="N119" i="39"/>
  <c r="N118" i="39"/>
  <c r="N117" i="39"/>
  <c r="N116" i="39"/>
  <c r="N115" i="39"/>
  <c r="N114" i="39"/>
  <c r="N113" i="39"/>
  <c r="N112" i="39"/>
  <c r="N111" i="39"/>
  <c r="N110" i="39"/>
  <c r="N109" i="39"/>
  <c r="N108" i="39"/>
  <c r="N107" i="39"/>
  <c r="R106" i="39"/>
  <c r="Q106" i="39"/>
  <c r="P106" i="39"/>
  <c r="N105" i="39"/>
  <c r="N104" i="39"/>
  <c r="R103" i="39"/>
  <c r="Q103" i="39"/>
  <c r="N103" i="39" s="1"/>
  <c r="P103" i="39"/>
  <c r="N99" i="39"/>
  <c r="N98" i="39"/>
  <c r="N97" i="39"/>
  <c r="N96" i="39"/>
  <c r="N95" i="39"/>
  <c r="N94" i="39"/>
  <c r="N93" i="39"/>
  <c r="P92" i="39"/>
  <c r="N92" i="39" s="1"/>
  <c r="N91" i="39"/>
  <c r="N90" i="39"/>
  <c r="R89" i="39"/>
  <c r="N89" i="39" s="1"/>
  <c r="P89" i="39"/>
  <c r="N88" i="39"/>
  <c r="R87" i="39"/>
  <c r="R84" i="39" s="1"/>
  <c r="P87" i="39"/>
  <c r="N86" i="39"/>
  <c r="N85" i="39"/>
  <c r="N83" i="39"/>
  <c r="N82" i="39"/>
  <c r="N81" i="39"/>
  <c r="N79" i="39"/>
  <c r="R78" i="39"/>
  <c r="N78" i="39"/>
  <c r="N77" i="39"/>
  <c r="N76" i="39"/>
  <c r="N75" i="39"/>
  <c r="Q74" i="39"/>
  <c r="N74" i="39" s="1"/>
  <c r="P73" i="39"/>
  <c r="P69" i="39"/>
  <c r="N69" i="39"/>
  <c r="N68" i="39"/>
  <c r="N67" i="39"/>
  <c r="N66" i="39"/>
  <c r="N65" i="39"/>
  <c r="N64" i="39"/>
  <c r="N63" i="39"/>
  <c r="N62" i="39"/>
  <c r="Q61" i="39"/>
  <c r="Q55" i="39" s="1"/>
  <c r="N61" i="39"/>
  <c r="N60" i="39"/>
  <c r="N59" i="39"/>
  <c r="N58" i="39"/>
  <c r="N57" i="39"/>
  <c r="N56" i="39"/>
  <c r="R55" i="39"/>
  <c r="P55" i="39"/>
  <c r="R54" i="39"/>
  <c r="N54" i="39" s="1"/>
  <c r="N52" i="39"/>
  <c r="R51" i="39"/>
  <c r="N51" i="39"/>
  <c r="R50" i="39"/>
  <c r="N50" i="39" s="1"/>
  <c r="Q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Q29" i="39"/>
  <c r="P29" i="39"/>
  <c r="N28" i="39"/>
  <c r="N27" i="39"/>
  <c r="N26" i="39"/>
  <c r="N25" i="39"/>
  <c r="N24" i="39"/>
  <c r="N23" i="39"/>
  <c r="R22" i="39"/>
  <c r="N22" i="39"/>
  <c r="N20" i="39"/>
  <c r="R19" i="39"/>
  <c r="N18" i="39"/>
  <c r="N17" i="39"/>
  <c r="N16" i="39"/>
  <c r="N15" i="39"/>
  <c r="R14" i="39"/>
  <c r="R4" i="39" s="1"/>
  <c r="N14" i="39"/>
  <c r="N13" i="39"/>
  <c r="N12" i="39"/>
  <c r="N11" i="39"/>
  <c r="N10" i="39"/>
  <c r="N9" i="39"/>
  <c r="N8" i="39"/>
  <c r="N5" i="39"/>
  <c r="Q4" i="39"/>
  <c r="AA11" i="10"/>
  <c r="AA103" i="10"/>
  <c r="Z34" i="12" l="1"/>
  <c r="Z204" i="25" s="1"/>
  <c r="Z203" i="25" s="1"/>
  <c r="Z220" i="25" s="1"/>
  <c r="Z221" i="25" s="1"/>
  <c r="X32" i="12"/>
  <c r="AH34" i="20"/>
  <c r="AE38" i="20"/>
  <c r="AH38" i="20" s="1"/>
  <c r="Z31" i="2"/>
  <c r="X35" i="2"/>
  <c r="Z35" i="2" s="1"/>
  <c r="X35" i="7"/>
  <c r="Z35" i="7" s="1"/>
  <c r="Z31" i="7"/>
  <c r="X35" i="14"/>
  <c r="Z35" i="14" s="1"/>
  <c r="Z31" i="14"/>
  <c r="X35" i="8"/>
  <c r="Z35" i="8" s="1"/>
  <c r="Z31" i="8"/>
  <c r="P84" i="39"/>
  <c r="N87" i="39"/>
  <c r="N19" i="39"/>
  <c r="N4" i="39" s="1"/>
  <c r="N106" i="39"/>
  <c r="R29" i="39"/>
  <c r="R73" i="39"/>
  <c r="N124" i="39"/>
  <c r="N122" i="39"/>
  <c r="N55" i="39"/>
  <c r="N84" i="39"/>
  <c r="N29" i="39"/>
  <c r="P130" i="39"/>
  <c r="Q73" i="39"/>
  <c r="AG38" i="23" l="1"/>
  <c r="AG32" i="23" s="1"/>
  <c r="AG31" i="23" s="1"/>
  <c r="AG44" i="23" s="1"/>
  <c r="AH44" i="23" s="1"/>
  <c r="AH47" i="23" s="1"/>
  <c r="X31" i="12"/>
  <c r="Z32" i="12"/>
  <c r="R130" i="39"/>
  <c r="R134" i="39" s="1"/>
  <c r="N73" i="39"/>
  <c r="Q130" i="39"/>
  <c r="Q134" i="39" s="1"/>
  <c r="P134" i="39"/>
  <c r="AH38" i="23" l="1"/>
  <c r="AH32" i="23"/>
  <c r="AH31" i="23"/>
  <c r="X35" i="12"/>
  <c r="Z35" i="12" s="1"/>
  <c r="Z31" i="12"/>
  <c r="N130" i="39"/>
  <c r="N134" i="39"/>
  <c r="AA6" i="23"/>
  <c r="U6" i="7"/>
  <c r="U35" i="3"/>
  <c r="U34" i="3" s="1"/>
  <c r="U131" i="3"/>
  <c r="U130" i="3" s="1"/>
  <c r="I8" i="36"/>
  <c r="E18" i="36"/>
  <c r="AA10" i="10" l="1"/>
  <c r="W166" i="25"/>
  <c r="W205" i="25"/>
  <c r="W58" i="25" l="1"/>
  <c r="W57" i="25"/>
  <c r="H3" i="29"/>
  <c r="W158" i="25"/>
  <c r="W34" i="25"/>
  <c r="W35" i="25"/>
  <c r="W159" i="25" l="1"/>
  <c r="W173" i="25"/>
  <c r="W168" i="25"/>
  <c r="H22" i="29"/>
  <c r="W188" i="25"/>
  <c r="W142" i="25"/>
  <c r="H7" i="29"/>
  <c r="H6" i="29"/>
  <c r="W110" i="25"/>
  <c r="AA8" i="10"/>
  <c r="W27" i="3"/>
  <c r="W25" i="3"/>
  <c r="W41" i="3"/>
  <c r="W39" i="3"/>
  <c r="W88" i="3"/>
  <c r="W76" i="3"/>
  <c r="W167" i="25" l="1"/>
  <c r="W163" i="25" s="1"/>
  <c r="W53" i="3"/>
  <c r="W18" i="25" l="1"/>
  <c r="H16" i="29"/>
  <c r="H15" i="29"/>
  <c r="W155" i="25"/>
  <c r="W153" i="25" s="1"/>
  <c r="W139" i="25" l="1"/>
  <c r="W147" i="25"/>
  <c r="W146" i="25" s="1"/>
  <c r="W97" i="3" l="1"/>
  <c r="AD21" i="21"/>
  <c r="AD18" i="21" s="1"/>
  <c r="AD17" i="21" s="1"/>
  <c r="AD9" i="21"/>
  <c r="W33" i="25" l="1"/>
  <c r="W69" i="25"/>
  <c r="W157" i="25"/>
  <c r="W145" i="25"/>
  <c r="W144" i="25" s="1"/>
  <c r="AA9" i="10" l="1"/>
  <c r="W85" i="3"/>
  <c r="AD59" i="11" l="1"/>
  <c r="AD58" i="11"/>
  <c r="AC57" i="11"/>
  <c r="AB57" i="11"/>
  <c r="AA57" i="11"/>
  <c r="AC56" i="11"/>
  <c r="AB56" i="11"/>
  <c r="AA56" i="11"/>
  <c r="AD55" i="11"/>
  <c r="AA53" i="11"/>
  <c r="AD53" i="11" s="1"/>
  <c r="AD52" i="11"/>
  <c r="AD51" i="11"/>
  <c r="AD50" i="11"/>
  <c r="AD49" i="11"/>
  <c r="AC49" i="11"/>
  <c r="AB49" i="11"/>
  <c r="AA49" i="11"/>
  <c r="AD48" i="11"/>
  <c r="AC48" i="11"/>
  <c r="AB48" i="11"/>
  <c r="AA48" i="11"/>
  <c r="AB47" i="11"/>
  <c r="AB46" i="11" s="1"/>
  <c r="AC42" i="11"/>
  <c r="AB42" i="11"/>
  <c r="AC41" i="11"/>
  <c r="AD41" i="11" s="1"/>
  <c r="AB41" i="11"/>
  <c r="AA41" i="11"/>
  <c r="AC40" i="11"/>
  <c r="AD40" i="11" s="1"/>
  <c r="AB40" i="11"/>
  <c r="AA40" i="11"/>
  <c r="AC38" i="11"/>
  <c r="AB38" i="11"/>
  <c r="AA38" i="11"/>
  <c r="AD38" i="11" s="1"/>
  <c r="AC37" i="11"/>
  <c r="AB37" i="11"/>
  <c r="AA37" i="11"/>
  <c r="AD37" i="11" s="1"/>
  <c r="AB36" i="11"/>
  <c r="AA36" i="11"/>
  <c r="AC35" i="11"/>
  <c r="AB35" i="11"/>
  <c r="AA35" i="11"/>
  <c r="AD35" i="11" s="1"/>
  <c r="AB34" i="11"/>
  <c r="AA34" i="11"/>
  <c r="AD34" i="11" s="1"/>
  <c r="AC33" i="11"/>
  <c r="AB33" i="11"/>
  <c r="AA33" i="11"/>
  <c r="AD33" i="11" s="1"/>
  <c r="AC32" i="11"/>
  <c r="AB32" i="11"/>
  <c r="AA32" i="11"/>
  <c r="AD32" i="11" s="1"/>
  <c r="AC31" i="11"/>
  <c r="AB31" i="11"/>
  <c r="AA31" i="11"/>
  <c r="AD31" i="11" s="1"/>
  <c r="AC30" i="11"/>
  <c r="AB30" i="11"/>
  <c r="AA30" i="11"/>
  <c r="AD30" i="11" s="1"/>
  <c r="AC28" i="11"/>
  <c r="AC27" i="11"/>
  <c r="AC26" i="11" s="1"/>
  <c r="AB27" i="11"/>
  <c r="AD27" i="11" s="1"/>
  <c r="AA27" i="11"/>
  <c r="AC16" i="11"/>
  <c r="AD16" i="11" s="1"/>
  <c r="AB16" i="11"/>
  <c r="AA16" i="11"/>
  <c r="AC15" i="11"/>
  <c r="AC14" i="11" s="1"/>
  <c r="AB15" i="11"/>
  <c r="AB14" i="11"/>
  <c r="AB13" i="11"/>
  <c r="AA13" i="11"/>
  <c r="AB12" i="11"/>
  <c r="AA9" i="11"/>
  <c r="AC8" i="11"/>
  <c r="AB8" i="11"/>
  <c r="AA8" i="11"/>
  <c r="AD8" i="11" s="1"/>
  <c r="AC7" i="11"/>
  <c r="AB7" i="11"/>
  <c r="AA7" i="11"/>
  <c r="AD7" i="11" s="1"/>
  <c r="AC34" i="24"/>
  <c r="AB34" i="24"/>
  <c r="AB32" i="24" s="1"/>
  <c r="AA34" i="24"/>
  <c r="AD34" i="24" s="1"/>
  <c r="AC33" i="24"/>
  <c r="AB33" i="24"/>
  <c r="AA33" i="24"/>
  <c r="AD33" i="24" s="1"/>
  <c r="AC32" i="24"/>
  <c r="AC31" i="24"/>
  <c r="AB31" i="24"/>
  <c r="AA31" i="24"/>
  <c r="AB30" i="24"/>
  <c r="AA30" i="24"/>
  <c r="AB29" i="24"/>
  <c r="AB26" i="24" s="1"/>
  <c r="AB25" i="24" s="1"/>
  <c r="AA29" i="24"/>
  <c r="AC28" i="24"/>
  <c r="AB28" i="24"/>
  <c r="AA28" i="24"/>
  <c r="AD28" i="24" s="1"/>
  <c r="AC27" i="24"/>
  <c r="AB27" i="24"/>
  <c r="AD23" i="24"/>
  <c r="AD22" i="24"/>
  <c r="AD21" i="24"/>
  <c r="AD20" i="24"/>
  <c r="AD19" i="24"/>
  <c r="AD14" i="24"/>
  <c r="AD13" i="24"/>
  <c r="AD12" i="24"/>
  <c r="AD11" i="24"/>
  <c r="AD10" i="24"/>
  <c r="AD92" i="30"/>
  <c r="AD91" i="30"/>
  <c r="AD90" i="30"/>
  <c r="AD81" i="30"/>
  <c r="AD77" i="30"/>
  <c r="AD75" i="30"/>
  <c r="AD71" i="30"/>
  <c r="AD69" i="30"/>
  <c r="AD68" i="30"/>
  <c r="AD67" i="30"/>
  <c r="AD64" i="30"/>
  <c r="AD63" i="30"/>
  <c r="AD62" i="30"/>
  <c r="AD59" i="30"/>
  <c r="AD58" i="30"/>
  <c r="AD57" i="30"/>
  <c r="AD56" i="30"/>
  <c r="AD54" i="30"/>
  <c r="AD53" i="30"/>
  <c r="AD52" i="30"/>
  <c r="AD51" i="30"/>
  <c r="AD50" i="30"/>
  <c r="AD47" i="30"/>
  <c r="AD45" i="30"/>
  <c r="AD44" i="30"/>
  <c r="AD43" i="30"/>
  <c r="AD42" i="30"/>
  <c r="AD24" i="30"/>
  <c r="AD21" i="30"/>
  <c r="AD18" i="30"/>
  <c r="AD15" i="30"/>
  <c r="AD13" i="30"/>
  <c r="AD11" i="30"/>
  <c r="AD10" i="30"/>
  <c r="AD9" i="30"/>
  <c r="AD7" i="30"/>
  <c r="AD88" i="30"/>
  <c r="AD87" i="30"/>
  <c r="AD86" i="30" s="1"/>
  <c r="AD82" i="30"/>
  <c r="AD74" i="30"/>
  <c r="AA41" i="30"/>
  <c r="AA16" i="30"/>
  <c r="AA5" i="30" s="1"/>
  <c r="AA4" i="30" s="1"/>
  <c r="AD107" i="10"/>
  <c r="AD106" i="10"/>
  <c r="AC105" i="10"/>
  <c r="AB105" i="10"/>
  <c r="AA105" i="10"/>
  <c r="AD105" i="10" s="1"/>
  <c r="AD103" i="10"/>
  <c r="AA102" i="10"/>
  <c r="AA100" i="10" s="1"/>
  <c r="AA54" i="11" s="1"/>
  <c r="AD54" i="11" s="1"/>
  <c r="AA101" i="10"/>
  <c r="AD101" i="10" s="1"/>
  <c r="AC100" i="10"/>
  <c r="AC54" i="11" s="1"/>
  <c r="AB100" i="10"/>
  <c r="AD99" i="10"/>
  <c r="AD98" i="10"/>
  <c r="AD97" i="10"/>
  <c r="AD96" i="10"/>
  <c r="AD95" i="10"/>
  <c r="AC94" i="10"/>
  <c r="AB94" i="10"/>
  <c r="AA94" i="10"/>
  <c r="AD88" i="10"/>
  <c r="AD87" i="10"/>
  <c r="AD86" i="10"/>
  <c r="AA85" i="10"/>
  <c r="AD85" i="10" s="1"/>
  <c r="AA84" i="10"/>
  <c r="AD84" i="10" s="1"/>
  <c r="AD83" i="10"/>
  <c r="AC82" i="10"/>
  <c r="AC43" i="11" s="1"/>
  <c r="AB82" i="10"/>
  <c r="AB43" i="11" s="1"/>
  <c r="AB39" i="11" s="1"/>
  <c r="AD81" i="10"/>
  <c r="AD80" i="10"/>
  <c r="AD79" i="10"/>
  <c r="AC78" i="10"/>
  <c r="AC75" i="10" s="1"/>
  <c r="AA78" i="10"/>
  <c r="AD78" i="10" s="1"/>
  <c r="AD77" i="10"/>
  <c r="AD76" i="10"/>
  <c r="AB75" i="10"/>
  <c r="AD74" i="10"/>
  <c r="AD73" i="10"/>
  <c r="AA72" i="10"/>
  <c r="AD72" i="10" s="1"/>
  <c r="AD71" i="10"/>
  <c r="AD70" i="10"/>
  <c r="AC69" i="10"/>
  <c r="AC36" i="11" s="1"/>
  <c r="AC34" i="11" s="1"/>
  <c r="AB69" i="10"/>
  <c r="AB67" i="10" s="1"/>
  <c r="AA69" i="10"/>
  <c r="AA67" i="10" s="1"/>
  <c r="AD68" i="10"/>
  <c r="AC67" i="10"/>
  <c r="AD66" i="10"/>
  <c r="AD65" i="10"/>
  <c r="AD64" i="10"/>
  <c r="AC63" i="10"/>
  <c r="AB63" i="10"/>
  <c r="AA63" i="10"/>
  <c r="AD60" i="10"/>
  <c r="AD59" i="10"/>
  <c r="AD58" i="10"/>
  <c r="AB57" i="10"/>
  <c r="AB28" i="11" s="1"/>
  <c r="AD56" i="10"/>
  <c r="AC55" i="10"/>
  <c r="AA55" i="10"/>
  <c r="AD54" i="10"/>
  <c r="AD53" i="10"/>
  <c r="AD52" i="10"/>
  <c r="AC51" i="10"/>
  <c r="AC22" i="11" s="1"/>
  <c r="AB51" i="10"/>
  <c r="AA51" i="10"/>
  <c r="AD51" i="10" s="1"/>
  <c r="AD50" i="10"/>
  <c r="AD49" i="10"/>
  <c r="AD48" i="10"/>
  <c r="AD47" i="10"/>
  <c r="AC46" i="10"/>
  <c r="AB46" i="10"/>
  <c r="AA46" i="10"/>
  <c r="AD45" i="10"/>
  <c r="AD44" i="10"/>
  <c r="AC43" i="10"/>
  <c r="AC19" i="11" s="1"/>
  <c r="AB43" i="10"/>
  <c r="AA43" i="10"/>
  <c r="AD42" i="10"/>
  <c r="AD40" i="10"/>
  <c r="AD39" i="10"/>
  <c r="AD38" i="10"/>
  <c r="AA37" i="10"/>
  <c r="AC36" i="10"/>
  <c r="AB36" i="10"/>
  <c r="AD35" i="10"/>
  <c r="AD34" i="10"/>
  <c r="AD33" i="10"/>
  <c r="AC32" i="10"/>
  <c r="AC25" i="10" s="1"/>
  <c r="AB32" i="10"/>
  <c r="AA32" i="10"/>
  <c r="AD31" i="10"/>
  <c r="AA30" i="10"/>
  <c r="AC29" i="10"/>
  <c r="AC12" i="11" s="1"/>
  <c r="AB29" i="10"/>
  <c r="AA28" i="10"/>
  <c r="AA26" i="10" s="1"/>
  <c r="AA11" i="11" s="1"/>
  <c r="AD11" i="11" s="1"/>
  <c r="AA27" i="10"/>
  <c r="AD27" i="10" s="1"/>
  <c r="AC26" i="10"/>
  <c r="AC11" i="11" s="1"/>
  <c r="AB26" i="10"/>
  <c r="AB11" i="11" s="1"/>
  <c r="AD24" i="10"/>
  <c r="AD23" i="10"/>
  <c r="AD22" i="10"/>
  <c r="AD21" i="10"/>
  <c r="AC20" i="10"/>
  <c r="AD20" i="10" s="1"/>
  <c r="AD19" i="10"/>
  <c r="AB18" i="10"/>
  <c r="AB6" i="10" s="1"/>
  <c r="AD17" i="10"/>
  <c r="AD16" i="10"/>
  <c r="AD14" i="10"/>
  <c r="AD13" i="10"/>
  <c r="AD12" i="10"/>
  <c r="AD11" i="10"/>
  <c r="AD10" i="10"/>
  <c r="AA7" i="10"/>
  <c r="AD8" i="10"/>
  <c r="AC7" i="10"/>
  <c r="AC6" i="11" s="1"/>
  <c r="AB7" i="10"/>
  <c r="AB6" i="11" s="1"/>
  <c r="AB16" i="23"/>
  <c r="AD16" i="23" s="1"/>
  <c r="AB15" i="23"/>
  <c r="AC37" i="23"/>
  <c r="AD37" i="23" s="1"/>
  <c r="AA34" i="23"/>
  <c r="AA33" i="23" s="1"/>
  <c r="AA27" i="24" s="1"/>
  <c r="AD27" i="24" s="1"/>
  <c r="AB24" i="23"/>
  <c r="AB18" i="24" s="1"/>
  <c r="AB23" i="23"/>
  <c r="AB22" i="23"/>
  <c r="AA18" i="23"/>
  <c r="AD18" i="23" s="1"/>
  <c r="AA13" i="23"/>
  <c r="AD13" i="23" s="1"/>
  <c r="AB11" i="23"/>
  <c r="AB9" i="23"/>
  <c r="AA9" i="23"/>
  <c r="AB8" i="23"/>
  <c r="AA8" i="23"/>
  <c r="AD46" i="23"/>
  <c r="AD43" i="23"/>
  <c r="AD42" i="23"/>
  <c r="AC41" i="23"/>
  <c r="AB41" i="23"/>
  <c r="AA41" i="23"/>
  <c r="AD40" i="23"/>
  <c r="AC39" i="23"/>
  <c r="AD36" i="23"/>
  <c r="AD35" i="23"/>
  <c r="AB32" i="23"/>
  <c r="AD28" i="23"/>
  <c r="AD27" i="23"/>
  <c r="AD26" i="23"/>
  <c r="AD25" i="23"/>
  <c r="AC24" i="23"/>
  <c r="AC21" i="23"/>
  <c r="AC20" i="23"/>
  <c r="AC17" i="23" s="1"/>
  <c r="AC12" i="23" s="1"/>
  <c r="AB20" i="23"/>
  <c r="AC19" i="23"/>
  <c r="AB17" i="23"/>
  <c r="AD14" i="23"/>
  <c r="AD6" i="23"/>
  <c r="AD5" i="23"/>
  <c r="W218" i="25"/>
  <c r="W217" i="25"/>
  <c r="W210" i="25"/>
  <c r="W209" i="25"/>
  <c r="W189" i="25"/>
  <c r="W187" i="25" s="1"/>
  <c r="AD80" i="30" s="1"/>
  <c r="W170" i="25"/>
  <c r="AD76" i="30" s="1"/>
  <c r="AD73" i="30"/>
  <c r="W156" i="25"/>
  <c r="AD72" i="30" s="1"/>
  <c r="W152" i="25"/>
  <c r="W151" i="25" s="1"/>
  <c r="AD70" i="30" s="1"/>
  <c r="W141" i="25"/>
  <c r="AD66" i="30" s="1"/>
  <c r="W140" i="25"/>
  <c r="W138" i="25" s="1"/>
  <c r="AD65" i="30" s="1"/>
  <c r="W130" i="25"/>
  <c r="W219" i="25" s="1"/>
  <c r="W129" i="25"/>
  <c r="AD61" i="30" s="1"/>
  <c r="W125" i="25"/>
  <c r="AD60" i="30" s="1"/>
  <c r="W107" i="25"/>
  <c r="AD55" i="30" s="1"/>
  <c r="W93" i="25"/>
  <c r="AD49" i="30" s="1"/>
  <c r="W92" i="25"/>
  <c r="W88" i="25"/>
  <c r="W87" i="25" s="1"/>
  <c r="AD46" i="30" s="1"/>
  <c r="W71" i="25"/>
  <c r="W215" i="25" s="1"/>
  <c r="W68" i="25"/>
  <c r="AD25" i="30" s="1"/>
  <c r="W63" i="25"/>
  <c r="W212" i="25" s="1"/>
  <c r="W53" i="25"/>
  <c r="AD17" i="30" s="1"/>
  <c r="W39" i="25"/>
  <c r="W38" i="25"/>
  <c r="W17" i="25"/>
  <c r="W14" i="25" s="1"/>
  <c r="AD8" i="30" s="1"/>
  <c r="W10" i="25"/>
  <c r="W216" i="25" s="1"/>
  <c r="W9" i="25"/>
  <c r="AD34" i="23" l="1"/>
  <c r="AD30" i="10"/>
  <c r="AA29" i="10"/>
  <c r="AA12" i="11" s="1"/>
  <c r="AD12" i="11" s="1"/>
  <c r="W214" i="25"/>
  <c r="AA22" i="23"/>
  <c r="W7" i="25"/>
  <c r="AD6" i="30" s="1"/>
  <c r="AC30" i="24"/>
  <c r="AD39" i="23"/>
  <c r="AC7" i="23"/>
  <c r="AD37" i="10"/>
  <c r="AA15" i="11"/>
  <c r="AA36" i="10"/>
  <c r="AD36" i="10" s="1"/>
  <c r="AB55" i="10"/>
  <c r="AD55" i="10" s="1"/>
  <c r="AB93" i="10"/>
  <c r="AB92" i="10" s="1"/>
  <c r="AB29" i="11"/>
  <c r="AD36" i="11"/>
  <c r="W37" i="25"/>
  <c r="AD14" i="30" s="1"/>
  <c r="AA10" i="23"/>
  <c r="AC13" i="11"/>
  <c r="AD13" i="11" s="1"/>
  <c r="AD32" i="10"/>
  <c r="AB31" i="23"/>
  <c r="W91" i="25"/>
  <c r="AD48" i="30" s="1"/>
  <c r="AB10" i="23"/>
  <c r="AC29" i="11"/>
  <c r="AD41" i="23"/>
  <c r="AA23" i="23"/>
  <c r="AA6" i="11"/>
  <c r="AD6" i="11" s="1"/>
  <c r="AD63" i="10"/>
  <c r="AB9" i="11"/>
  <c r="AB5" i="11" s="1"/>
  <c r="AB10" i="11"/>
  <c r="AB26" i="11"/>
  <c r="AC39" i="11"/>
  <c r="AC47" i="11"/>
  <c r="AC46" i="11" s="1"/>
  <c r="AA11" i="23"/>
  <c r="AD11" i="23" s="1"/>
  <c r="AD46" i="10"/>
  <c r="AA32" i="24"/>
  <c r="AD32" i="24" s="1"/>
  <c r="AA42" i="11"/>
  <c r="AD42" i="11" s="1"/>
  <c r="AD57" i="11"/>
  <c r="AD94" i="10"/>
  <c r="AA29" i="23"/>
  <c r="AA24" i="23" s="1"/>
  <c r="AD29" i="10"/>
  <c r="AB25" i="10"/>
  <c r="AC41" i="10"/>
  <c r="AB41" i="10"/>
  <c r="AD31" i="24"/>
  <c r="AD56" i="11"/>
  <c r="AC93" i="10"/>
  <c r="AC92" i="10" s="1"/>
  <c r="AB5" i="10"/>
  <c r="AD57" i="10"/>
  <c r="AD89" i="30"/>
  <c r="AD30" i="24"/>
  <c r="AA5" i="11"/>
  <c r="AC29" i="24"/>
  <c r="AA26" i="24"/>
  <c r="AA47" i="11"/>
  <c r="AC62" i="10"/>
  <c r="AA6" i="10"/>
  <c r="AD7" i="10"/>
  <c r="AA25" i="10"/>
  <c r="AD25" i="10" s="1"/>
  <c r="AD26" i="10"/>
  <c r="AD100" i="10"/>
  <c r="AA93" i="10"/>
  <c r="AD9" i="10"/>
  <c r="AC18" i="10"/>
  <c r="AD28" i="10"/>
  <c r="AA41" i="10"/>
  <c r="AD41" i="10" s="1"/>
  <c r="AD43" i="10"/>
  <c r="AD18" i="10"/>
  <c r="AB62" i="10"/>
  <c r="AD67" i="10"/>
  <c r="AA82" i="10"/>
  <c r="AA43" i="11" s="1"/>
  <c r="AD102" i="10"/>
  <c r="AD69" i="10"/>
  <c r="AB12" i="23"/>
  <c r="AD15" i="23"/>
  <c r="AD33" i="23"/>
  <c r="AA32" i="23"/>
  <c r="AB21" i="23"/>
  <c r="AD23" i="23"/>
  <c r="AD9" i="23"/>
  <c r="AD8" i="23"/>
  <c r="W72" i="25"/>
  <c r="AC30" i="23"/>
  <c r="W211" i="25"/>
  <c r="W61" i="25"/>
  <c r="AD19" i="30" s="1"/>
  <c r="H26" i="29"/>
  <c r="AA20" i="23" s="1"/>
  <c r="AD20" i="23" s="1"/>
  <c r="H12" i="29"/>
  <c r="H4" i="29"/>
  <c r="AC48" i="20"/>
  <c r="AC18" i="24" s="1"/>
  <c r="AB48" i="20"/>
  <c r="AA48" i="20"/>
  <c r="AC47" i="20"/>
  <c r="AC17" i="24" s="1"/>
  <c r="AB47" i="20"/>
  <c r="AB17" i="24" s="1"/>
  <c r="AA47" i="20"/>
  <c r="AC46" i="20"/>
  <c r="AC16" i="24" s="1"/>
  <c r="AB46" i="20"/>
  <c r="AB45" i="20" s="1"/>
  <c r="AA46" i="20"/>
  <c r="AC44" i="20"/>
  <c r="AC9" i="24" s="1"/>
  <c r="AB44" i="20"/>
  <c r="AA44" i="20"/>
  <c r="AC43" i="20"/>
  <c r="AC8" i="24" s="1"/>
  <c r="AB43" i="20"/>
  <c r="AB8" i="24" s="1"/>
  <c r="AA43" i="20"/>
  <c r="AC42" i="20"/>
  <c r="AC7" i="24" s="1"/>
  <c r="AB42" i="20"/>
  <c r="AC41" i="20"/>
  <c r="AC6" i="24" s="1"/>
  <c r="AB41" i="20"/>
  <c r="AC40" i="20"/>
  <c r="AC5" i="24" s="1"/>
  <c r="AB40" i="20"/>
  <c r="AD36" i="20"/>
  <c r="AD32" i="20"/>
  <c r="AC31" i="20"/>
  <c r="AB31" i="20"/>
  <c r="AA31" i="20"/>
  <c r="AD31" i="20" s="1"/>
  <c r="AD30" i="20"/>
  <c r="AD29" i="20"/>
  <c r="AC28" i="20"/>
  <c r="AB28" i="20"/>
  <c r="AA28" i="20"/>
  <c r="AD27" i="20"/>
  <c r="AC26" i="20"/>
  <c r="AB26" i="20"/>
  <c r="AD26" i="20" s="1"/>
  <c r="AA26" i="20"/>
  <c r="AD24" i="20"/>
  <c r="AC23" i="20"/>
  <c r="AB23" i="20"/>
  <c r="AA23" i="20"/>
  <c r="AC22" i="20"/>
  <c r="AC25" i="11" s="1"/>
  <c r="AB22" i="20"/>
  <c r="AA22" i="20"/>
  <c r="AC21" i="20"/>
  <c r="AC24" i="11" s="1"/>
  <c r="AB21" i="20"/>
  <c r="AA21" i="20"/>
  <c r="AC20" i="20"/>
  <c r="AB20" i="20"/>
  <c r="AA20" i="20"/>
  <c r="AD19" i="20"/>
  <c r="AD18" i="20"/>
  <c r="AC18" i="20"/>
  <c r="AC21" i="11" s="1"/>
  <c r="AB18" i="20"/>
  <c r="AA18" i="20"/>
  <c r="AD17" i="20"/>
  <c r="AC17" i="20"/>
  <c r="AC20" i="11" s="1"/>
  <c r="AB17" i="20"/>
  <c r="AA17" i="20"/>
  <c r="AD16" i="20"/>
  <c r="AC15" i="20"/>
  <c r="AC18" i="11" s="1"/>
  <c r="AB15" i="20"/>
  <c r="AB18" i="11" s="1"/>
  <c r="AA15" i="20"/>
  <c r="AA14" i="20"/>
  <c r="AD13" i="20"/>
  <c r="AD12" i="20"/>
  <c r="AC11" i="20"/>
  <c r="AB11" i="20"/>
  <c r="AA11" i="20"/>
  <c r="AD10" i="20"/>
  <c r="AC9" i="20"/>
  <c r="AB9" i="20"/>
  <c r="AA9" i="20"/>
  <c r="AD9" i="20" s="1"/>
  <c r="AD7" i="20"/>
  <c r="AD6" i="20"/>
  <c r="AD5" i="20"/>
  <c r="AD15" i="21"/>
  <c r="AA42" i="20" s="1"/>
  <c r="AD42" i="20" s="1"/>
  <c r="AD14" i="21"/>
  <c r="AD13" i="21"/>
  <c r="AA40" i="20" s="1"/>
  <c r="AD40" i="20" s="1"/>
  <c r="AD6" i="21"/>
  <c r="AD20" i="30" s="1"/>
  <c r="W45" i="2"/>
  <c r="W44" i="2"/>
  <c r="V43" i="2"/>
  <c r="V42" i="2" s="1"/>
  <c r="U43" i="2"/>
  <c r="U42" i="2" s="1"/>
  <c r="V41" i="2"/>
  <c r="U41" i="2"/>
  <c r="W41" i="2" s="1"/>
  <c r="W40" i="2"/>
  <c r="V39" i="2"/>
  <c r="V38" i="2"/>
  <c r="W38" i="2" s="1"/>
  <c r="U38" i="2"/>
  <c r="V37" i="2"/>
  <c r="U37" i="2"/>
  <c r="W33" i="2"/>
  <c r="W29" i="2"/>
  <c r="V28" i="2"/>
  <c r="U28" i="2"/>
  <c r="W28" i="2" s="1"/>
  <c r="W27" i="2"/>
  <c r="W26" i="2"/>
  <c r="V25" i="2"/>
  <c r="U25" i="2"/>
  <c r="W25" i="2" s="1"/>
  <c r="W24" i="2"/>
  <c r="V23" i="2"/>
  <c r="V22" i="2" s="1"/>
  <c r="U23" i="2"/>
  <c r="W21" i="2"/>
  <c r="V20" i="2"/>
  <c r="U20" i="2"/>
  <c r="W20" i="2" s="1"/>
  <c r="W19" i="2"/>
  <c r="W18" i="2"/>
  <c r="W17" i="2"/>
  <c r="W16" i="2"/>
  <c r="W15" i="2"/>
  <c r="W14" i="2"/>
  <c r="W13" i="2"/>
  <c r="W12" i="2"/>
  <c r="V11" i="2"/>
  <c r="U11" i="2"/>
  <c r="W11" i="2" s="1"/>
  <c r="W10" i="2"/>
  <c r="V9" i="2"/>
  <c r="V8" i="2" s="1"/>
  <c r="V30" i="2" s="1"/>
  <c r="U9" i="2"/>
  <c r="W9" i="2" s="1"/>
  <c r="W7" i="2"/>
  <c r="W6" i="2"/>
  <c r="W45" i="5"/>
  <c r="W44" i="5"/>
  <c r="V43" i="5"/>
  <c r="V42" i="5" s="1"/>
  <c r="U43" i="5"/>
  <c r="V41" i="5"/>
  <c r="U41" i="5"/>
  <c r="W41" i="5" s="1"/>
  <c r="W40" i="5"/>
  <c r="V39" i="5"/>
  <c r="U39" i="5"/>
  <c r="V38" i="5"/>
  <c r="U38" i="5"/>
  <c r="W38" i="5" s="1"/>
  <c r="V37" i="5"/>
  <c r="V36" i="5" s="1"/>
  <c r="U37" i="5"/>
  <c r="W37" i="5" s="1"/>
  <c r="W33" i="5"/>
  <c r="W29" i="5"/>
  <c r="V28" i="5"/>
  <c r="U28" i="5"/>
  <c r="W28" i="5" s="1"/>
  <c r="W27" i="5"/>
  <c r="W26" i="5"/>
  <c r="V25" i="5"/>
  <c r="U25" i="5"/>
  <c r="W25" i="5" s="1"/>
  <c r="W24" i="5"/>
  <c r="V23" i="5"/>
  <c r="V22" i="5" s="1"/>
  <c r="U23" i="5"/>
  <c r="W21" i="5"/>
  <c r="V20" i="5"/>
  <c r="U20" i="5"/>
  <c r="W19" i="5"/>
  <c r="W18" i="5"/>
  <c r="W17" i="5"/>
  <c r="W16" i="5"/>
  <c r="W15" i="5"/>
  <c r="W14" i="5"/>
  <c r="W13" i="5"/>
  <c r="W12" i="5"/>
  <c r="V11" i="5"/>
  <c r="U11" i="5"/>
  <c r="W11" i="5" s="1"/>
  <c r="W10" i="5"/>
  <c r="V9" i="5"/>
  <c r="V8" i="5" s="1"/>
  <c r="U9" i="5"/>
  <c r="W9" i="5" s="1"/>
  <c r="W7" i="5"/>
  <c r="W6" i="5"/>
  <c r="W45" i="7"/>
  <c r="W44" i="7"/>
  <c r="V43" i="7"/>
  <c r="V42" i="7" s="1"/>
  <c r="U43" i="7"/>
  <c r="W43" i="7" s="1"/>
  <c r="W41" i="7"/>
  <c r="V41" i="7"/>
  <c r="U41" i="7"/>
  <c r="W40" i="7"/>
  <c r="V39" i="7"/>
  <c r="U39" i="7"/>
  <c r="V38" i="7"/>
  <c r="V37" i="7"/>
  <c r="V36" i="7" s="1"/>
  <c r="W33" i="7"/>
  <c r="W29" i="7"/>
  <c r="V28" i="7"/>
  <c r="U28" i="7"/>
  <c r="W27" i="7"/>
  <c r="W26" i="7"/>
  <c r="V25" i="7"/>
  <c r="U25" i="7"/>
  <c r="W24" i="7"/>
  <c r="V23" i="7"/>
  <c r="U23" i="7"/>
  <c r="U22" i="7" s="1"/>
  <c r="W21" i="7"/>
  <c r="V20" i="7"/>
  <c r="U20" i="7"/>
  <c r="W20" i="7" s="1"/>
  <c r="W19" i="7"/>
  <c r="W18" i="7"/>
  <c r="W17" i="7"/>
  <c r="W16" i="7"/>
  <c r="W15" i="7"/>
  <c r="W14" i="7"/>
  <c r="W13" i="7"/>
  <c r="W12" i="7"/>
  <c r="W11" i="7"/>
  <c r="V11" i="7"/>
  <c r="U11" i="7"/>
  <c r="W10" i="7"/>
  <c r="W9" i="7"/>
  <c r="V9" i="7"/>
  <c r="U9" i="7"/>
  <c r="V8" i="7"/>
  <c r="W7" i="7"/>
  <c r="W6" i="7"/>
  <c r="W45" i="18"/>
  <c r="U44" i="18"/>
  <c r="W44" i="18" s="1"/>
  <c r="V43" i="18"/>
  <c r="W43" i="18" s="1"/>
  <c r="U43" i="18"/>
  <c r="U42" i="18" s="1"/>
  <c r="U41" i="18"/>
  <c r="W41" i="18" s="1"/>
  <c r="W40" i="18"/>
  <c r="V39" i="18"/>
  <c r="V38" i="18"/>
  <c r="U38" i="18"/>
  <c r="V37" i="18"/>
  <c r="V36" i="18" s="1"/>
  <c r="U37" i="18"/>
  <c r="W33" i="18"/>
  <c r="W29" i="18"/>
  <c r="V28" i="18"/>
  <c r="U28" i="18"/>
  <c r="W27" i="18"/>
  <c r="W26" i="18"/>
  <c r="V25" i="18"/>
  <c r="U25" i="18"/>
  <c r="W25" i="18" s="1"/>
  <c r="W24" i="18"/>
  <c r="V23" i="18"/>
  <c r="V22" i="18" s="1"/>
  <c r="U23" i="18"/>
  <c r="U22" i="18" s="1"/>
  <c r="W21" i="18"/>
  <c r="V20" i="18"/>
  <c r="U20" i="18"/>
  <c r="W20" i="18" s="1"/>
  <c r="W19" i="18"/>
  <c r="W18" i="18"/>
  <c r="W17" i="18"/>
  <c r="W16" i="18"/>
  <c r="W15" i="18"/>
  <c r="W14" i="18"/>
  <c r="U13" i="18"/>
  <c r="W13" i="18" s="1"/>
  <c r="W12" i="18"/>
  <c r="V11" i="18"/>
  <c r="U11" i="18"/>
  <c r="W11" i="18" s="1"/>
  <c r="W10" i="18"/>
  <c r="V9" i="18"/>
  <c r="V8" i="18" s="1"/>
  <c r="U9" i="18"/>
  <c r="W7" i="18"/>
  <c r="U6" i="18"/>
  <c r="W6" i="18" s="1"/>
  <c r="W45" i="14"/>
  <c r="W44" i="14"/>
  <c r="V43" i="14"/>
  <c r="V42" i="14" s="1"/>
  <c r="U43" i="14"/>
  <c r="W43" i="14" s="1"/>
  <c r="U41" i="14"/>
  <c r="W41" i="14" s="1"/>
  <c r="W40" i="14"/>
  <c r="V39" i="14"/>
  <c r="U39" i="14"/>
  <c r="W39" i="14" s="1"/>
  <c r="V38" i="14"/>
  <c r="U38" i="14"/>
  <c r="W38" i="14" s="1"/>
  <c r="V37" i="14"/>
  <c r="U37" i="14"/>
  <c r="U36" i="14" s="1"/>
  <c r="W33" i="14"/>
  <c r="W29" i="14"/>
  <c r="V28" i="14"/>
  <c r="U28" i="14"/>
  <c r="U22" i="14" s="1"/>
  <c r="W27" i="14"/>
  <c r="W26" i="14"/>
  <c r="V25" i="14"/>
  <c r="W25" i="14" s="1"/>
  <c r="U25" i="14"/>
  <c r="W24" i="14"/>
  <c r="V23" i="14"/>
  <c r="V22" i="14" s="1"/>
  <c r="U23" i="14"/>
  <c r="W21" i="14"/>
  <c r="V20" i="14"/>
  <c r="W20" i="14" s="1"/>
  <c r="U20" i="14"/>
  <c r="W19" i="14"/>
  <c r="W18" i="14"/>
  <c r="W17" i="14"/>
  <c r="W16" i="14"/>
  <c r="W15" i="14"/>
  <c r="W14" i="14"/>
  <c r="W13" i="14"/>
  <c r="W12" i="14"/>
  <c r="V11" i="14"/>
  <c r="U11" i="14"/>
  <c r="W11" i="14" s="1"/>
  <c r="W10" i="14"/>
  <c r="V9" i="14"/>
  <c r="U9" i="14"/>
  <c r="W7" i="14"/>
  <c r="W6" i="14"/>
  <c r="W45" i="8"/>
  <c r="W44" i="8"/>
  <c r="V43" i="8"/>
  <c r="V42" i="8" s="1"/>
  <c r="U41" i="8"/>
  <c r="W41" i="8" s="1"/>
  <c r="W40" i="8"/>
  <c r="V39" i="8"/>
  <c r="U39" i="8"/>
  <c r="V38" i="8"/>
  <c r="U38" i="8"/>
  <c r="W38" i="8" s="1"/>
  <c r="V37" i="8"/>
  <c r="W33" i="8"/>
  <c r="W29" i="8"/>
  <c r="V28" i="8"/>
  <c r="U28" i="8"/>
  <c r="W28" i="8" s="1"/>
  <c r="W27" i="8"/>
  <c r="W26" i="8"/>
  <c r="V25" i="8"/>
  <c r="U25" i="8"/>
  <c r="W25" i="8" s="1"/>
  <c r="W24" i="8"/>
  <c r="V23" i="8"/>
  <c r="V22" i="8" s="1"/>
  <c r="U23" i="8"/>
  <c r="W23" i="8" s="1"/>
  <c r="W21" i="8"/>
  <c r="W20" i="8"/>
  <c r="V20" i="8"/>
  <c r="U20" i="8"/>
  <c r="W19" i="8"/>
  <c r="W18" i="8"/>
  <c r="W17" i="8"/>
  <c r="W16" i="8"/>
  <c r="W15" i="8"/>
  <c r="W14" i="8"/>
  <c r="W13" i="8"/>
  <c r="W12" i="8"/>
  <c r="V11" i="8"/>
  <c r="U11" i="8"/>
  <c r="U8" i="8" s="1"/>
  <c r="W10" i="8"/>
  <c r="V9" i="8"/>
  <c r="U9" i="8"/>
  <c r="W7" i="8"/>
  <c r="W6" i="8"/>
  <c r="U45" i="37"/>
  <c r="U42" i="37" s="1"/>
  <c r="W44" i="37"/>
  <c r="V43" i="37"/>
  <c r="V42" i="37" s="1"/>
  <c r="U43" i="37"/>
  <c r="W43" i="37" s="1"/>
  <c r="U41" i="37"/>
  <c r="W41" i="37" s="1"/>
  <c r="W40" i="37"/>
  <c r="V39" i="37"/>
  <c r="V38" i="37"/>
  <c r="V36" i="37" s="1"/>
  <c r="U38" i="37"/>
  <c r="W38" i="37" s="1"/>
  <c r="V37" i="37"/>
  <c r="U37" i="37"/>
  <c r="W37" i="37" s="1"/>
  <c r="W33" i="37"/>
  <c r="W29" i="37"/>
  <c r="V28" i="37"/>
  <c r="U28" i="37"/>
  <c r="W28" i="37" s="1"/>
  <c r="W27" i="37"/>
  <c r="W26" i="37"/>
  <c r="V25" i="37"/>
  <c r="U25" i="37"/>
  <c r="W25" i="37" s="1"/>
  <c r="W24" i="37"/>
  <c r="V23" i="37"/>
  <c r="U23" i="37"/>
  <c r="W23" i="37" s="1"/>
  <c r="V22" i="37"/>
  <c r="W21" i="37"/>
  <c r="V20" i="37"/>
  <c r="U20" i="37"/>
  <c r="W20" i="37" s="1"/>
  <c r="W19" i="37"/>
  <c r="W18" i="37"/>
  <c r="W17" i="37"/>
  <c r="W16" i="37"/>
  <c r="W15" i="37"/>
  <c r="W14" i="37"/>
  <c r="W13" i="37"/>
  <c r="W12" i="37"/>
  <c r="W11" i="37"/>
  <c r="V11" i="37"/>
  <c r="U11" i="37"/>
  <c r="W10" i="37"/>
  <c r="W9" i="37"/>
  <c r="V9" i="37"/>
  <c r="U9" i="37"/>
  <c r="V8" i="37"/>
  <c r="U8" i="37"/>
  <c r="W8" i="37" s="1"/>
  <c r="W7" i="37"/>
  <c r="W6" i="37"/>
  <c r="W45" i="12"/>
  <c r="W44" i="12"/>
  <c r="V42" i="12"/>
  <c r="U41" i="12"/>
  <c r="W41" i="12" s="1"/>
  <c r="W40" i="12"/>
  <c r="V36" i="12"/>
  <c r="V46" i="12" s="1"/>
  <c r="W33" i="12"/>
  <c r="W29" i="12"/>
  <c r="W28" i="12"/>
  <c r="V28" i="12"/>
  <c r="U28" i="12"/>
  <c r="W27" i="12"/>
  <c r="W26" i="12"/>
  <c r="V25" i="12"/>
  <c r="U25" i="12"/>
  <c r="W25" i="12" s="1"/>
  <c r="W24" i="12"/>
  <c r="V23" i="12"/>
  <c r="V22" i="12" s="1"/>
  <c r="U23" i="12"/>
  <c r="W21" i="12"/>
  <c r="W20" i="12"/>
  <c r="V20" i="12"/>
  <c r="U20" i="12"/>
  <c r="W19" i="12"/>
  <c r="W18" i="12"/>
  <c r="W17" i="12"/>
  <c r="W16" i="12"/>
  <c r="W15" i="12"/>
  <c r="W14" i="12"/>
  <c r="W13" i="12"/>
  <c r="W12" i="12"/>
  <c r="V11" i="12"/>
  <c r="U11" i="12"/>
  <c r="W11" i="12" s="1"/>
  <c r="W10" i="12"/>
  <c r="V9" i="12"/>
  <c r="U9" i="12"/>
  <c r="W7" i="12"/>
  <c r="W6" i="12"/>
  <c r="W194" i="3"/>
  <c r="U38" i="12" s="1"/>
  <c r="W38" i="12" s="1"/>
  <c r="W193" i="3"/>
  <c r="U37" i="12" s="1"/>
  <c r="W37" i="12" s="1"/>
  <c r="W176" i="3"/>
  <c r="AD29" i="30" s="1"/>
  <c r="W171" i="3"/>
  <c r="W170" i="3"/>
  <c r="W197" i="3" s="1"/>
  <c r="U43" i="12" s="1"/>
  <c r="W43" i="12" s="1"/>
  <c r="W168" i="3"/>
  <c r="W195" i="3" s="1"/>
  <c r="U39" i="12" s="1"/>
  <c r="W156" i="3"/>
  <c r="AD28" i="30" s="1"/>
  <c r="W151" i="3"/>
  <c r="AD27" i="30" s="1"/>
  <c r="W148" i="3"/>
  <c r="AD26" i="30" s="1"/>
  <c r="W137" i="3"/>
  <c r="W132" i="3"/>
  <c r="AD22" i="30" s="1"/>
  <c r="W124" i="3"/>
  <c r="W121" i="3"/>
  <c r="W118" i="3" s="1"/>
  <c r="AD39" i="30" s="1"/>
  <c r="W105" i="3"/>
  <c r="AD38" i="30" s="1"/>
  <c r="W100" i="3"/>
  <c r="AD37" i="30" s="1"/>
  <c r="W99" i="3"/>
  <c r="U43" i="8" s="1"/>
  <c r="W43" i="8" s="1"/>
  <c r="W96" i="3"/>
  <c r="W95" i="3"/>
  <c r="W94" i="3" s="1"/>
  <c r="W87" i="3"/>
  <c r="AD78" i="30" s="1"/>
  <c r="W84" i="3"/>
  <c r="W81" i="3" s="1"/>
  <c r="W80" i="3"/>
  <c r="W75" i="3"/>
  <c r="AD34" i="30" s="1"/>
  <c r="W68" i="3"/>
  <c r="AD79" i="30" s="1"/>
  <c r="W60" i="3"/>
  <c r="W57" i="3" s="1"/>
  <c r="AD33" i="30" s="1"/>
  <c r="W50" i="3"/>
  <c r="AD32" i="30" s="1"/>
  <c r="W42" i="3"/>
  <c r="AD31" i="30" s="1"/>
  <c r="W38" i="3"/>
  <c r="U38" i="7" s="1"/>
  <c r="W37" i="3"/>
  <c r="U37" i="7" s="1"/>
  <c r="W22" i="3"/>
  <c r="W11" i="3"/>
  <c r="W8" i="3" s="1"/>
  <c r="W7" i="3" s="1"/>
  <c r="W6" i="3" s="1"/>
  <c r="U5" i="3"/>
  <c r="AD41" i="30" l="1"/>
  <c r="AC26" i="24"/>
  <c r="AC25" i="24" s="1"/>
  <c r="AD24" i="23"/>
  <c r="AA18" i="24"/>
  <c r="AA21" i="23"/>
  <c r="AD43" i="20"/>
  <c r="AB39" i="20"/>
  <c r="AB49" i="20" s="1"/>
  <c r="AD47" i="20"/>
  <c r="AC45" i="20"/>
  <c r="AD22" i="23"/>
  <c r="AD29" i="23"/>
  <c r="AD10" i="23"/>
  <c r="W22" i="14"/>
  <c r="V30" i="5"/>
  <c r="U39" i="2"/>
  <c r="W39" i="2" s="1"/>
  <c r="AD22" i="20"/>
  <c r="AD25" i="11"/>
  <c r="AB9" i="24"/>
  <c r="U8" i="12"/>
  <c r="AA28" i="11"/>
  <c r="V30" i="37"/>
  <c r="W45" i="37"/>
  <c r="W11" i="8"/>
  <c r="U8" i="14"/>
  <c r="W23" i="14"/>
  <c r="W28" i="14"/>
  <c r="AB5" i="24"/>
  <c r="V22" i="7"/>
  <c r="V30" i="7" s="1"/>
  <c r="U22" i="2"/>
  <c r="W22" i="2" s="1"/>
  <c r="V36" i="2"/>
  <c r="AD12" i="21"/>
  <c r="AD12" i="30" s="1"/>
  <c r="AD15" i="20"/>
  <c r="AA18" i="11"/>
  <c r="AA21" i="11"/>
  <c r="AD21" i="11" s="1"/>
  <c r="AD21" i="20"/>
  <c r="AD24" i="11"/>
  <c r="AC25" i="20"/>
  <c r="AC4" i="24"/>
  <c r="AD46" i="20"/>
  <c r="AB91" i="10"/>
  <c r="AA8" i="24"/>
  <c r="AD8" i="24" s="1"/>
  <c r="AA17" i="24"/>
  <c r="AD17" i="24" s="1"/>
  <c r="AC10" i="11"/>
  <c r="U36" i="2"/>
  <c r="W117" i="3"/>
  <c r="W116" i="3" s="1"/>
  <c r="AD40" i="30"/>
  <c r="V8" i="12"/>
  <c r="AD22" i="11"/>
  <c r="U39" i="37"/>
  <c r="W39" i="37" s="1"/>
  <c r="W9" i="8"/>
  <c r="U37" i="8"/>
  <c r="W37" i="8" s="1"/>
  <c r="V8" i="14"/>
  <c r="V30" i="14" s="1"/>
  <c r="W28" i="18"/>
  <c r="U39" i="18"/>
  <c r="W39" i="18" s="1"/>
  <c r="W38" i="7"/>
  <c r="AB14" i="20"/>
  <c r="AB8" i="20" s="1"/>
  <c r="AB17" i="11"/>
  <c r="AB4" i="11" s="1"/>
  <c r="AD20" i="20"/>
  <c r="AA23" i="11"/>
  <c r="AD23" i="11" s="1"/>
  <c r="AC39" i="20"/>
  <c r="AC49" i="20" s="1"/>
  <c r="AA41" i="20"/>
  <c r="AD41" i="20" s="1"/>
  <c r="AB7" i="24"/>
  <c r="AA45" i="20"/>
  <c r="AD45" i="20" s="1"/>
  <c r="AC6" i="10"/>
  <c r="AC5" i="10" s="1"/>
  <c r="AC9" i="11"/>
  <c r="V30" i="18"/>
  <c r="U8" i="5"/>
  <c r="W8" i="5" s="1"/>
  <c r="AC14" i="20"/>
  <c r="AD14" i="20" s="1"/>
  <c r="AC23" i="11"/>
  <c r="AC17" i="11" s="1"/>
  <c r="W36" i="3"/>
  <c r="W35" i="3" s="1"/>
  <c r="W34" i="3" s="1"/>
  <c r="W67" i="3"/>
  <c r="AD23" i="30"/>
  <c r="W165" i="3"/>
  <c r="W131" i="3" s="1"/>
  <c r="W130" i="3" s="1"/>
  <c r="AD19" i="11"/>
  <c r="W23" i="12"/>
  <c r="V36" i="8"/>
  <c r="V46" i="8" s="1"/>
  <c r="W9" i="18"/>
  <c r="W25" i="7"/>
  <c r="W28" i="7"/>
  <c r="W39" i="7"/>
  <c r="W20" i="5"/>
  <c r="W23" i="5"/>
  <c r="W42" i="2"/>
  <c r="AD11" i="20"/>
  <c r="AD23" i="20"/>
  <c r="AD28" i="20"/>
  <c r="AD44" i="20"/>
  <c r="AC15" i="24"/>
  <c r="AD48" i="20"/>
  <c r="AA14" i="11"/>
  <c r="AD15" i="11"/>
  <c r="AC91" i="10"/>
  <c r="AB108" i="10"/>
  <c r="AA39" i="11"/>
  <c r="AD43" i="11"/>
  <c r="AB16" i="24"/>
  <c r="W38" i="18"/>
  <c r="AB6" i="24"/>
  <c r="W39" i="12"/>
  <c r="AA7" i="24"/>
  <c r="AD29" i="24"/>
  <c r="AD30" i="30"/>
  <c r="U36" i="7"/>
  <c r="W36" i="7" s="1"/>
  <c r="W86" i="3"/>
  <c r="V36" i="14"/>
  <c r="W37" i="14"/>
  <c r="U36" i="18"/>
  <c r="W36" i="18" s="1"/>
  <c r="W49" i="3"/>
  <c r="W48" i="3" s="1"/>
  <c r="AD21" i="23"/>
  <c r="W39" i="8"/>
  <c r="AA6" i="24"/>
  <c r="AA39" i="20"/>
  <c r="AD39" i="20" s="1"/>
  <c r="AA5" i="24"/>
  <c r="AB7" i="23"/>
  <c r="AB30" i="23" s="1"/>
  <c r="AB44" i="23" s="1"/>
  <c r="H34" i="29"/>
  <c r="W49" i="25" s="1"/>
  <c r="AA19" i="23"/>
  <c r="AA25" i="24"/>
  <c r="AD25" i="24" s="1"/>
  <c r="W93" i="3"/>
  <c r="W92" i="3" s="1"/>
  <c r="AD36" i="30"/>
  <c r="W74" i="3"/>
  <c r="AD35" i="30"/>
  <c r="W43" i="5"/>
  <c r="AA16" i="24"/>
  <c r="W21" i="3"/>
  <c r="W20" i="3" s="1"/>
  <c r="W39" i="5"/>
  <c r="AD47" i="11"/>
  <c r="AA46" i="11"/>
  <c r="AC108" i="10"/>
  <c r="AA75" i="10"/>
  <c r="AD82" i="10"/>
  <c r="AA92" i="10"/>
  <c r="AD93" i="10"/>
  <c r="AA5" i="10"/>
  <c r="AD6" i="10"/>
  <c r="AA31" i="23"/>
  <c r="AB25" i="20"/>
  <c r="AB33" i="20" s="1"/>
  <c r="AA8" i="20"/>
  <c r="AA25" i="20"/>
  <c r="AD5" i="21"/>
  <c r="AD4" i="21" s="1"/>
  <c r="W36" i="2"/>
  <c r="U46" i="2"/>
  <c r="V46" i="2"/>
  <c r="V34" i="2" s="1"/>
  <c r="V32" i="2" s="1"/>
  <c r="V31" i="2" s="1"/>
  <c r="V35" i="2" s="1"/>
  <c r="W23" i="2"/>
  <c r="W37" i="2"/>
  <c r="W43" i="2"/>
  <c r="U8" i="2"/>
  <c r="V34" i="5"/>
  <c r="V32" i="5" s="1"/>
  <c r="V31" i="5" s="1"/>
  <c r="V35" i="5" s="1"/>
  <c r="V46" i="5"/>
  <c r="U22" i="5"/>
  <c r="U36" i="5"/>
  <c r="U42" i="5"/>
  <c r="W42" i="5" s="1"/>
  <c r="W22" i="7"/>
  <c r="U30" i="7"/>
  <c r="W30" i="7" s="1"/>
  <c r="V46" i="7"/>
  <c r="V34" i="7" s="1"/>
  <c r="V32" i="7" s="1"/>
  <c r="V31" i="7" s="1"/>
  <c r="V35" i="7" s="1"/>
  <c r="U42" i="7"/>
  <c r="W42" i="7" s="1"/>
  <c r="W23" i="7"/>
  <c r="W37" i="7"/>
  <c r="U8" i="7"/>
  <c r="W8" i="7" s="1"/>
  <c r="W22" i="18"/>
  <c r="V46" i="18"/>
  <c r="W42" i="18"/>
  <c r="V42" i="18"/>
  <c r="V34" i="18" s="1"/>
  <c r="V32" i="18" s="1"/>
  <c r="V31" i="18" s="1"/>
  <c r="V35" i="18" s="1"/>
  <c r="U8" i="18"/>
  <c r="W8" i="18" s="1"/>
  <c r="W23" i="18"/>
  <c r="W37" i="18"/>
  <c r="V46" i="14"/>
  <c r="U30" i="14"/>
  <c r="W36" i="14"/>
  <c r="W9" i="14"/>
  <c r="U42" i="14"/>
  <c r="W42" i="14" s="1"/>
  <c r="W8" i="8"/>
  <c r="V8" i="8"/>
  <c r="V30" i="8" s="1"/>
  <c r="U42" i="8"/>
  <c r="W42" i="8" s="1"/>
  <c r="U22" i="8"/>
  <c r="U36" i="8"/>
  <c r="W42" i="37"/>
  <c r="V46" i="37"/>
  <c r="V34" i="37"/>
  <c r="V32" i="37" s="1"/>
  <c r="V31" i="37" s="1"/>
  <c r="V35" i="37" s="1"/>
  <c r="U22" i="37"/>
  <c r="U36" i="37"/>
  <c r="V30" i="12"/>
  <c r="V34" i="12" s="1"/>
  <c r="V32" i="12" s="1"/>
  <c r="V31" i="12" s="1"/>
  <c r="V35" i="12" s="1"/>
  <c r="W8" i="12"/>
  <c r="W9" i="12"/>
  <c r="U22" i="12"/>
  <c r="U36" i="12"/>
  <c r="U42" i="12"/>
  <c r="W42" i="12" s="1"/>
  <c r="W199" i="3"/>
  <c r="W102" i="10"/>
  <c r="W101" i="10"/>
  <c r="T157" i="25"/>
  <c r="AD26" i="24" l="1"/>
  <c r="AB4" i="24"/>
  <c r="AB37" i="20"/>
  <c r="AB35" i="20" s="1"/>
  <c r="AB34" i="20" s="1"/>
  <c r="AB38" i="20" s="1"/>
  <c r="AD5" i="24"/>
  <c r="AB45" i="11"/>
  <c r="AB60" i="11"/>
  <c r="V34" i="8"/>
  <c r="V32" i="8" s="1"/>
  <c r="V31" i="8" s="1"/>
  <c r="V35" i="8" s="1"/>
  <c r="W8" i="14"/>
  <c r="W73" i="3"/>
  <c r="AA10" i="11"/>
  <c r="AD14" i="11"/>
  <c r="AC24" i="24"/>
  <c r="AC35" i="24" s="1"/>
  <c r="AC8" i="20"/>
  <c r="AC33" i="20" s="1"/>
  <c r="AC37" i="20" s="1"/>
  <c r="AC35" i="20" s="1"/>
  <c r="AC34" i="20" s="1"/>
  <c r="AC38" i="20" s="1"/>
  <c r="AA26" i="11"/>
  <c r="AD26" i="11" s="1"/>
  <c r="AD28" i="11"/>
  <c r="W30" i="14"/>
  <c r="U46" i="18"/>
  <c r="AD8" i="20"/>
  <c r="AC5" i="11"/>
  <c r="AD9" i="11"/>
  <c r="AD20" i="11"/>
  <c r="AA49" i="20"/>
  <c r="AD49" i="20" s="1"/>
  <c r="AA17" i="11"/>
  <c r="AD17" i="11" s="1"/>
  <c r="AD18" i="11"/>
  <c r="AA29" i="11"/>
  <c r="AD29" i="11" s="1"/>
  <c r="AD39" i="11"/>
  <c r="AD6" i="24"/>
  <c r="W5" i="3"/>
  <c r="W213" i="25"/>
  <c r="W44" i="25"/>
  <c r="AD16" i="30" s="1"/>
  <c r="AD5" i="30" s="1"/>
  <c r="AD4" i="30" s="1"/>
  <c r="AD19" i="23"/>
  <c r="AA17" i="23"/>
  <c r="AD7" i="24"/>
  <c r="AD16" i="24"/>
  <c r="AA15" i="24"/>
  <c r="AD46" i="11"/>
  <c r="AD92" i="10"/>
  <c r="AD5" i="10"/>
  <c r="AD75" i="10"/>
  <c r="AA62" i="10"/>
  <c r="AD62" i="10" s="1"/>
  <c r="AA33" i="20"/>
  <c r="AD25" i="20"/>
  <c r="W46" i="2"/>
  <c r="U30" i="2"/>
  <c r="W8" i="2"/>
  <c r="W22" i="5"/>
  <c r="U30" i="5"/>
  <c r="W30" i="5" s="1"/>
  <c r="W36" i="5"/>
  <c r="U34" i="5"/>
  <c r="U46" i="5"/>
  <c r="W46" i="5" s="1"/>
  <c r="U46" i="7"/>
  <c r="W46" i="18"/>
  <c r="U34" i="18"/>
  <c r="U30" i="18"/>
  <c r="W30" i="18" s="1"/>
  <c r="U46" i="14"/>
  <c r="V34" i="14"/>
  <c r="V32" i="14" s="1"/>
  <c r="V31" i="14" s="1"/>
  <c r="V35" i="14" s="1"/>
  <c r="W36" i="8"/>
  <c r="U46" i="8"/>
  <c r="W46" i="8" s="1"/>
  <c r="U30" i="8"/>
  <c r="W30" i="8" s="1"/>
  <c r="W22" i="8"/>
  <c r="W22" i="37"/>
  <c r="U30" i="37"/>
  <c r="W30" i="37" s="1"/>
  <c r="W36" i="37"/>
  <c r="U34" i="37"/>
  <c r="U46" i="37"/>
  <c r="W46" i="37" s="1"/>
  <c r="U46" i="12"/>
  <c r="W36" i="12"/>
  <c r="U30" i="12"/>
  <c r="W30" i="12" s="1"/>
  <c r="W22" i="12"/>
  <c r="T159" i="25"/>
  <c r="T47" i="25"/>
  <c r="T58" i="25"/>
  <c r="T10" i="25"/>
  <c r="X29" i="23"/>
  <c r="K55" i="39"/>
  <c r="K69" i="39"/>
  <c r="I69" i="39" s="1"/>
  <c r="L54" i="39"/>
  <c r="K54" i="39"/>
  <c r="M39" i="39"/>
  <c r="M54" i="39"/>
  <c r="L56" i="39"/>
  <c r="K56" i="39"/>
  <c r="G3" i="29"/>
  <c r="T142" i="25"/>
  <c r="G6" i="29"/>
  <c r="AC4" i="11" l="1"/>
  <c r="AD5" i="11"/>
  <c r="AD10" i="11"/>
  <c r="AA4" i="11"/>
  <c r="AA108" i="10"/>
  <c r="AD108" i="10" s="1"/>
  <c r="AD111" i="10" s="1"/>
  <c r="AD113" i="10" s="1"/>
  <c r="AA91" i="10"/>
  <c r="AD91" i="10" s="1"/>
  <c r="W6" i="25"/>
  <c r="AD17" i="23"/>
  <c r="AA12" i="23"/>
  <c r="AD33" i="20"/>
  <c r="AA37" i="20"/>
  <c r="W30" i="2"/>
  <c r="U34" i="2"/>
  <c r="U32" i="5"/>
  <c r="W34" i="5"/>
  <c r="W46" i="7"/>
  <c r="U34" i="7"/>
  <c r="U32" i="18"/>
  <c r="W34" i="18"/>
  <c r="U34" i="14"/>
  <c r="W46" i="14"/>
  <c r="U34" i="8"/>
  <c r="U32" i="37"/>
  <c r="W34" i="37"/>
  <c r="W46" i="12"/>
  <c r="U34" i="12"/>
  <c r="L132" i="39"/>
  <c r="K19" i="39"/>
  <c r="K29" i="39"/>
  <c r="I54" i="39"/>
  <c r="I53" i="39"/>
  <c r="I52" i="39"/>
  <c r="I49" i="39"/>
  <c r="I48" i="39"/>
  <c r="I47" i="39"/>
  <c r="I46" i="39"/>
  <c r="I44" i="39"/>
  <c r="I43" i="39"/>
  <c r="I42" i="39"/>
  <c r="I41" i="39"/>
  <c r="I40" i="39"/>
  <c r="I39" i="39"/>
  <c r="I38" i="39"/>
  <c r="I37" i="39"/>
  <c r="I36" i="39"/>
  <c r="I35" i="39"/>
  <c r="I30" i="39"/>
  <c r="T56" i="25"/>
  <c r="M22" i="39"/>
  <c r="K92" i="39"/>
  <c r="M50" i="39"/>
  <c r="L97" i="39"/>
  <c r="M45" i="39"/>
  <c r="M78" i="39"/>
  <c r="L11" i="39"/>
  <c r="L61" i="39"/>
  <c r="L55" i="39" s="1"/>
  <c r="L50" i="39"/>
  <c r="I50" i="39" s="1"/>
  <c r="L29" i="39" l="1"/>
  <c r="AC45" i="11"/>
  <c r="AC60" i="11"/>
  <c r="AD4" i="11"/>
  <c r="AA45" i="11"/>
  <c r="AD45" i="11" s="1"/>
  <c r="AA60" i="11"/>
  <c r="AA9" i="24"/>
  <c r="AA7" i="23"/>
  <c r="AD12" i="23"/>
  <c r="AD37" i="20"/>
  <c r="AA35" i="20"/>
  <c r="U32" i="2"/>
  <c r="W34" i="2"/>
  <c r="U31" i="5"/>
  <c r="W32" i="5"/>
  <c r="U32" i="7"/>
  <c r="W34" i="7"/>
  <c r="W32" i="18"/>
  <c r="U31" i="18"/>
  <c r="W34" i="14"/>
  <c r="U32" i="14"/>
  <c r="U32" i="8"/>
  <c r="W34" i="8"/>
  <c r="W32" i="37"/>
  <c r="U31" i="37"/>
  <c r="W34" i="12"/>
  <c r="U32" i="12"/>
  <c r="I45" i="39"/>
  <c r="K87" i="39"/>
  <c r="M87" i="39"/>
  <c r="K89" i="39"/>
  <c r="M89" i="39"/>
  <c r="M14" i="39"/>
  <c r="W204" i="25" l="1"/>
  <c r="AC38" i="23" s="1"/>
  <c r="AD60" i="11"/>
  <c r="AD7" i="23"/>
  <c r="AA30" i="23"/>
  <c r="AD9" i="24"/>
  <c r="AA4" i="24"/>
  <c r="AA34" i="20"/>
  <c r="AD35" i="20"/>
  <c r="W32" i="2"/>
  <c r="U31" i="2"/>
  <c r="U35" i="5"/>
  <c r="W35" i="5" s="1"/>
  <c r="W31" i="5"/>
  <c r="W32" i="7"/>
  <c r="U31" i="7"/>
  <c r="U35" i="18"/>
  <c r="W35" i="18" s="1"/>
  <c r="W31" i="18"/>
  <c r="W32" i="14"/>
  <c r="U31" i="14"/>
  <c r="W32" i="8"/>
  <c r="U31" i="8"/>
  <c r="U35" i="37"/>
  <c r="W35" i="37" s="1"/>
  <c r="W31" i="37"/>
  <c r="W32" i="12"/>
  <c r="U31" i="12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31" i="39"/>
  <c r="I32" i="39"/>
  <c r="I33" i="39"/>
  <c r="I34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75" i="39"/>
  <c r="I76" i="39"/>
  <c r="I77" i="39"/>
  <c r="I78" i="39"/>
  <c r="I79" i="39"/>
  <c r="I80" i="39"/>
  <c r="I81" i="39"/>
  <c r="I82" i="39"/>
  <c r="I83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104" i="39"/>
  <c r="I105" i="39"/>
  <c r="I107" i="39"/>
  <c r="I108" i="39"/>
  <c r="I109" i="39"/>
  <c r="I110" i="39"/>
  <c r="I111" i="39"/>
  <c r="I112" i="39"/>
  <c r="I113" i="39"/>
  <c r="I114" i="39"/>
  <c r="I115" i="39"/>
  <c r="I116" i="39"/>
  <c r="I117" i="39"/>
  <c r="I118" i="39"/>
  <c r="I119" i="39"/>
  <c r="I120" i="39"/>
  <c r="I121" i="39"/>
  <c r="I123" i="39"/>
  <c r="I124" i="39"/>
  <c r="I125" i="39"/>
  <c r="I126" i="39"/>
  <c r="I127" i="39"/>
  <c r="I128" i="39"/>
  <c r="I131" i="39"/>
  <c r="I132" i="39"/>
  <c r="I133" i="39"/>
  <c r="I5" i="39"/>
  <c r="M19" i="39"/>
  <c r="M8" i="39"/>
  <c r="I8" i="39" s="1"/>
  <c r="L74" i="39"/>
  <c r="I74" i="39" s="1"/>
  <c r="M122" i="39"/>
  <c r="L122" i="39"/>
  <c r="K122" i="39"/>
  <c r="M106" i="39"/>
  <c r="L106" i="39"/>
  <c r="K106" i="39"/>
  <c r="M103" i="39"/>
  <c r="L103" i="39"/>
  <c r="K103" i="39"/>
  <c r="M84" i="39"/>
  <c r="L84" i="39"/>
  <c r="K84" i="39"/>
  <c r="M73" i="39"/>
  <c r="K73" i="39"/>
  <c r="M55" i="39"/>
  <c r="M51" i="39"/>
  <c r="T17" i="25"/>
  <c r="Q219" i="25"/>
  <c r="Q218" i="25"/>
  <c r="Q217" i="25"/>
  <c r="Q216" i="25"/>
  <c r="Q214" i="25"/>
  <c r="Q212" i="25"/>
  <c r="Q210" i="25"/>
  <c r="Q209" i="25"/>
  <c r="L4" i="39"/>
  <c r="I103" i="39" l="1"/>
  <c r="I122" i="39"/>
  <c r="L73" i="39"/>
  <c r="I73" i="39" s="1"/>
  <c r="I106" i="39"/>
  <c r="W203" i="25"/>
  <c r="W220" i="25" s="1"/>
  <c r="W221" i="25" s="1"/>
  <c r="AD38" i="23"/>
  <c r="AC32" i="23"/>
  <c r="AD32" i="23" s="1"/>
  <c r="AD30" i="23"/>
  <c r="AA44" i="23"/>
  <c r="AD4" i="24"/>
  <c r="AA24" i="24"/>
  <c r="AD34" i="20"/>
  <c r="AA38" i="20"/>
  <c r="AD38" i="20" s="1"/>
  <c r="W31" i="2"/>
  <c r="U35" i="2"/>
  <c r="W35" i="2" s="1"/>
  <c r="U35" i="7"/>
  <c r="W35" i="7" s="1"/>
  <c r="W31" i="7"/>
  <c r="W31" i="14"/>
  <c r="U35" i="14"/>
  <c r="W35" i="14" s="1"/>
  <c r="U35" i="8"/>
  <c r="W35" i="8" s="1"/>
  <c r="W31" i="8"/>
  <c r="U35" i="12"/>
  <c r="W35" i="12" s="1"/>
  <c r="W31" i="12"/>
  <c r="I51" i="39"/>
  <c r="I29" i="39" s="1"/>
  <c r="M29" i="39"/>
  <c r="I55" i="39"/>
  <c r="I84" i="39"/>
  <c r="L130" i="39"/>
  <c r="T60" i="3"/>
  <c r="G7" i="29"/>
  <c r="T57" i="25"/>
  <c r="T205" i="25"/>
  <c r="W103" i="10"/>
  <c r="AD18" i="24" l="1"/>
  <c r="AB15" i="24"/>
  <c r="W5" i="25"/>
  <c r="AC31" i="23"/>
  <c r="AC44" i="23" s="1"/>
  <c r="AD44" i="23" s="1"/>
  <c r="AD47" i="23" s="1"/>
  <c r="AA35" i="24"/>
  <c r="T168" i="25"/>
  <c r="T167" i="25"/>
  <c r="T166" i="25"/>
  <c r="T170" i="25"/>
  <c r="T69" i="25"/>
  <c r="T152" i="25"/>
  <c r="T151" i="25" s="1"/>
  <c r="T130" i="25"/>
  <c r="T129" i="25" s="1"/>
  <c r="T110" i="25"/>
  <c r="T107" i="25" s="1"/>
  <c r="T88" i="25"/>
  <c r="T87" i="25" s="1"/>
  <c r="I4" i="39"/>
  <c r="T63" i="25"/>
  <c r="T61" i="25" s="1"/>
  <c r="T39" i="25"/>
  <c r="T38" i="25"/>
  <c r="T14" i="25"/>
  <c r="T9" i="25"/>
  <c r="T189" i="25"/>
  <c r="W11" i="10"/>
  <c r="W10" i="10"/>
  <c r="W8" i="10"/>
  <c r="AB24" i="24" l="1"/>
  <c r="AD15" i="24"/>
  <c r="AD31" i="23"/>
  <c r="T38" i="3"/>
  <c r="T37" i="3"/>
  <c r="T193" i="3"/>
  <c r="T197" i="3"/>
  <c r="T194" i="3"/>
  <c r="T170" i="3"/>
  <c r="T168" i="3"/>
  <c r="T195" i="3" s="1"/>
  <c r="AB35" i="24" l="1"/>
  <c r="AD35" i="24" s="1"/>
  <c r="AH36" i="24" s="1"/>
  <c r="AD24" i="24"/>
  <c r="T199" i="3"/>
  <c r="T121" i="3"/>
  <c r="T99" i="3"/>
  <c r="T96" i="3"/>
  <c r="T95" i="3"/>
  <c r="T80" i="3"/>
  <c r="T41" i="3"/>
  <c r="T39" i="3"/>
  <c r="T27" i="3"/>
  <c r="T11" i="3"/>
  <c r="T8" i="3" s="1"/>
  <c r="T7" i="3" s="1"/>
  <c r="T6" i="3" s="1"/>
  <c r="Z9" i="21"/>
  <c r="Z15" i="21" l="1"/>
  <c r="Z14" i="21"/>
  <c r="Z13" i="21"/>
  <c r="Z7" i="21"/>
  <c r="Z11" i="21"/>
  <c r="Z8" i="21"/>
  <c r="Z12" i="21" l="1"/>
  <c r="W53" i="11"/>
  <c r="T7" i="25"/>
  <c r="W10" i="23"/>
  <c r="T218" i="25"/>
  <c r="T217" i="25"/>
  <c r="T216" i="25"/>
  <c r="T214" i="25"/>
  <c r="T212" i="25"/>
  <c r="T209" i="25"/>
  <c r="T71" i="25" l="1"/>
  <c r="T215" i="25" s="1"/>
  <c r="T141" i="25" l="1"/>
  <c r="T158" i="25"/>
  <c r="T210" i="25" s="1"/>
  <c r="T187" i="25"/>
  <c r="T37" i="25"/>
  <c r="G12" i="29"/>
  <c r="G4" i="29" s="1"/>
  <c r="T188" i="25"/>
  <c r="T97" i="3"/>
  <c r="T81" i="3"/>
  <c r="T84" i="3"/>
  <c r="X16" i="23" l="1"/>
  <c r="T219" i="25"/>
  <c r="T156" i="25"/>
  <c r="T25" i="3"/>
  <c r="M4" i="39"/>
  <c r="M130" i="39" s="1"/>
  <c r="K4" i="39"/>
  <c r="K130" i="39" s="1"/>
  <c r="G132" i="39"/>
  <c r="I130" i="39" l="1"/>
  <c r="M134" i="39"/>
  <c r="K134" i="39"/>
  <c r="Z59" i="11"/>
  <c r="Z58" i="11"/>
  <c r="Y57" i="11"/>
  <c r="X57" i="11"/>
  <c r="W57" i="11"/>
  <c r="Z57" i="11" s="1"/>
  <c r="Y56" i="11"/>
  <c r="X56" i="11"/>
  <c r="W56" i="11"/>
  <c r="Z56" i="11" s="1"/>
  <c r="Z55" i="11"/>
  <c r="Z53" i="11"/>
  <c r="Z52" i="11"/>
  <c r="Z51" i="11"/>
  <c r="Z50" i="11"/>
  <c r="Y49" i="11"/>
  <c r="Y48" i="11" s="1"/>
  <c r="X49" i="11"/>
  <c r="X48" i="11" s="1"/>
  <c r="W49" i="11"/>
  <c r="Z49" i="11" s="1"/>
  <c r="X42" i="11"/>
  <c r="Y41" i="11"/>
  <c r="X41" i="11"/>
  <c r="W41" i="11"/>
  <c r="Y40" i="11"/>
  <c r="X40" i="11"/>
  <c r="W40" i="11"/>
  <c r="Y38" i="11"/>
  <c r="X38" i="11"/>
  <c r="W38" i="11"/>
  <c r="Z38" i="11" s="1"/>
  <c r="Y37" i="11"/>
  <c r="X37" i="11"/>
  <c r="W37" i="11"/>
  <c r="Z37" i="11" s="1"/>
  <c r="Y36" i="11"/>
  <c r="Y35" i="11"/>
  <c r="Y34" i="11" s="1"/>
  <c r="X35" i="11"/>
  <c r="W35" i="11"/>
  <c r="Y33" i="11"/>
  <c r="X33" i="11"/>
  <c r="W33" i="11"/>
  <c r="Z33" i="11" s="1"/>
  <c r="Y32" i="11"/>
  <c r="X32" i="11"/>
  <c r="W32" i="11"/>
  <c r="Y31" i="11"/>
  <c r="Y30" i="11" s="1"/>
  <c r="X31" i="11"/>
  <c r="X30" i="11" s="1"/>
  <c r="W31" i="11"/>
  <c r="W30" i="11"/>
  <c r="Y28" i="11"/>
  <c r="W28" i="11"/>
  <c r="Y27" i="11"/>
  <c r="Y26" i="11" s="1"/>
  <c r="X27" i="11"/>
  <c r="W27" i="11"/>
  <c r="W26" i="11"/>
  <c r="Y16" i="11"/>
  <c r="Y14" i="11" s="1"/>
  <c r="X16" i="11"/>
  <c r="W16" i="11"/>
  <c r="Y15" i="11"/>
  <c r="X15" i="11"/>
  <c r="W15" i="11"/>
  <c r="Z15" i="11" s="1"/>
  <c r="X13" i="11"/>
  <c r="Y8" i="11"/>
  <c r="X8" i="11"/>
  <c r="W8" i="11"/>
  <c r="Y7" i="11"/>
  <c r="X7" i="11"/>
  <c r="W7" i="11"/>
  <c r="Z7" i="11" s="1"/>
  <c r="Y34" i="24"/>
  <c r="X34" i="24"/>
  <c r="W34" i="24"/>
  <c r="Y33" i="24"/>
  <c r="Y32" i="24" s="1"/>
  <c r="X33" i="24"/>
  <c r="X32" i="24" s="1"/>
  <c r="W33" i="24"/>
  <c r="W32" i="24"/>
  <c r="Y31" i="24"/>
  <c r="X31" i="24"/>
  <c r="W31" i="24"/>
  <c r="Z31" i="24" s="1"/>
  <c r="X30" i="24"/>
  <c r="W30" i="24"/>
  <c r="X29" i="24"/>
  <c r="W29" i="24"/>
  <c r="Y28" i="24"/>
  <c r="X28" i="24"/>
  <c r="W28" i="24"/>
  <c r="Y27" i="24"/>
  <c r="X27" i="24"/>
  <c r="X26" i="24" s="1"/>
  <c r="X25" i="24" s="1"/>
  <c r="Z23" i="24"/>
  <c r="Z22" i="24"/>
  <c r="Z21" i="24"/>
  <c r="Z20" i="24"/>
  <c r="Z19" i="24"/>
  <c r="Z14" i="24"/>
  <c r="Z13" i="24"/>
  <c r="Z12" i="24"/>
  <c r="Z11" i="24"/>
  <c r="Z10" i="24"/>
  <c r="Z92" i="30"/>
  <c r="Z91" i="30"/>
  <c r="Z90" i="30"/>
  <c r="Z81" i="30"/>
  <c r="Z80" i="30"/>
  <c r="Z77" i="30"/>
  <c r="Z76" i="30"/>
  <c r="Z75" i="30"/>
  <c r="Z72" i="30"/>
  <c r="Z71" i="30"/>
  <c r="Z70" i="30"/>
  <c r="Z69" i="30"/>
  <c r="Z68" i="30"/>
  <c r="Z67" i="30"/>
  <c r="Z66" i="30"/>
  <c r="Z64" i="30"/>
  <c r="Z63" i="30"/>
  <c r="Z62" i="30"/>
  <c r="Z61" i="30"/>
  <c r="Z59" i="30"/>
  <c r="Z58" i="30"/>
  <c r="Z57" i="30"/>
  <c r="Z56" i="30"/>
  <c r="Z55" i="30"/>
  <c r="Z54" i="30"/>
  <c r="Z53" i="30"/>
  <c r="Z52" i="30"/>
  <c r="Z51" i="30"/>
  <c r="Z50" i="30"/>
  <c r="Z47" i="30"/>
  <c r="Z46" i="30"/>
  <c r="Z45" i="30"/>
  <c r="Z44" i="30"/>
  <c r="Z43" i="30"/>
  <c r="Z42" i="30"/>
  <c r="Z24" i="30"/>
  <c r="Z21" i="30"/>
  <c r="Z19" i="30"/>
  <c r="Z18" i="30"/>
  <c r="Z15" i="30"/>
  <c r="Z14" i="30"/>
  <c r="Z13" i="30"/>
  <c r="Z11" i="30"/>
  <c r="Z10" i="30"/>
  <c r="Z9" i="30"/>
  <c r="Z8" i="30"/>
  <c r="Z7" i="30"/>
  <c r="Z6" i="30"/>
  <c r="Z88" i="30"/>
  <c r="Z87" i="30"/>
  <c r="Z82" i="30"/>
  <c r="Z74" i="30"/>
  <c r="W41" i="30"/>
  <c r="W16" i="30"/>
  <c r="W5" i="30" s="1"/>
  <c r="W4" i="30" s="1"/>
  <c r="Z12" i="30"/>
  <c r="Z107" i="10"/>
  <c r="Z106" i="10"/>
  <c r="Y105" i="10"/>
  <c r="X105" i="10"/>
  <c r="W105" i="10"/>
  <c r="Z103" i="10"/>
  <c r="Z102" i="10"/>
  <c r="Z101" i="10"/>
  <c r="Y100" i="10"/>
  <c r="Y54" i="11" s="1"/>
  <c r="X100" i="10"/>
  <c r="W100" i="10"/>
  <c r="Z99" i="10"/>
  <c r="Z98" i="10"/>
  <c r="Z97" i="10"/>
  <c r="Z96" i="10"/>
  <c r="Z95" i="10"/>
  <c r="Y94" i="10"/>
  <c r="Y93" i="10" s="1"/>
  <c r="X94" i="10"/>
  <c r="X93" i="10" s="1"/>
  <c r="X92" i="10" s="1"/>
  <c r="W94" i="10"/>
  <c r="Z88" i="10"/>
  <c r="Z87" i="10"/>
  <c r="Z86" i="10"/>
  <c r="Z85" i="10"/>
  <c r="W85" i="10"/>
  <c r="W84" i="10"/>
  <c r="W82" i="10" s="1"/>
  <c r="Z83" i="10"/>
  <c r="Y82" i="10"/>
  <c r="Y43" i="11" s="1"/>
  <c r="X82" i="10"/>
  <c r="X43" i="11" s="1"/>
  <c r="Z81" i="10"/>
  <c r="Z80" i="10"/>
  <c r="Z79" i="10"/>
  <c r="Y78" i="10"/>
  <c r="Y42" i="11" s="1"/>
  <c r="W78" i="10"/>
  <c r="Z78" i="10" s="1"/>
  <c r="Z77" i="10"/>
  <c r="Z76" i="10"/>
  <c r="X75" i="10"/>
  <c r="Z74" i="10"/>
  <c r="Z73" i="10"/>
  <c r="W72" i="10"/>
  <c r="Z72" i="10" s="1"/>
  <c r="Z71" i="10"/>
  <c r="Z70" i="10"/>
  <c r="Y69" i="10"/>
  <c r="X69" i="10"/>
  <c r="X36" i="11" s="1"/>
  <c r="W69" i="10"/>
  <c r="Z69" i="10" s="1"/>
  <c r="Z68" i="10"/>
  <c r="Y67" i="10"/>
  <c r="X67" i="10"/>
  <c r="W67" i="10"/>
  <c r="Z67" i="10" s="1"/>
  <c r="Z66" i="10"/>
  <c r="Z65" i="10"/>
  <c r="Z64" i="10"/>
  <c r="Z63" i="10"/>
  <c r="Y63" i="10"/>
  <c r="X63" i="10"/>
  <c r="W63" i="10"/>
  <c r="Z60" i="10"/>
  <c r="Z59" i="10"/>
  <c r="Z58" i="10"/>
  <c r="X57" i="10"/>
  <c r="X55" i="10" s="1"/>
  <c r="Z56" i="10"/>
  <c r="Y55" i="10"/>
  <c r="W55" i="10"/>
  <c r="Z54" i="10"/>
  <c r="Z53" i="10"/>
  <c r="Z52" i="10"/>
  <c r="Y51" i="10"/>
  <c r="Y22" i="11" s="1"/>
  <c r="X51" i="10"/>
  <c r="W51" i="10"/>
  <c r="Z51" i="10" s="1"/>
  <c r="Z50" i="10"/>
  <c r="Z49" i="10"/>
  <c r="Z48" i="10"/>
  <c r="Z47" i="10"/>
  <c r="Y46" i="10"/>
  <c r="X46" i="10"/>
  <c r="W46" i="10"/>
  <c r="Z46" i="10" s="1"/>
  <c r="Z45" i="10"/>
  <c r="Z44" i="10"/>
  <c r="Y43" i="10"/>
  <c r="Y41" i="10" s="1"/>
  <c r="X43" i="10"/>
  <c r="W43" i="10"/>
  <c r="W19" i="11" s="1"/>
  <c r="Z42" i="10"/>
  <c r="Z40" i="10"/>
  <c r="Z39" i="10"/>
  <c r="Z38" i="10"/>
  <c r="W37" i="10"/>
  <c r="W36" i="10" s="1"/>
  <c r="Y36" i="10"/>
  <c r="X36" i="10"/>
  <c r="Z35" i="10"/>
  <c r="Z34" i="10"/>
  <c r="Z33" i="10"/>
  <c r="Y32" i="10"/>
  <c r="Y13" i="11" s="1"/>
  <c r="X32" i="10"/>
  <c r="W32" i="10"/>
  <c r="W13" i="11" s="1"/>
  <c r="Z13" i="11" s="1"/>
  <c r="Z31" i="10"/>
  <c r="W30" i="10"/>
  <c r="Z30" i="10" s="1"/>
  <c r="Y29" i="10"/>
  <c r="Y12" i="11" s="1"/>
  <c r="X29" i="10"/>
  <c r="X12" i="11" s="1"/>
  <c r="W28" i="10"/>
  <c r="Z28" i="10" s="1"/>
  <c r="W27" i="10"/>
  <c r="Z27" i="10" s="1"/>
  <c r="Y26" i="10"/>
  <c r="X26" i="10"/>
  <c r="X11" i="11" s="1"/>
  <c r="Z24" i="10"/>
  <c r="Z23" i="10"/>
  <c r="Z22" i="10"/>
  <c r="Z21" i="10"/>
  <c r="Y20" i="10"/>
  <c r="Z20" i="10" s="1"/>
  <c r="Z19" i="10"/>
  <c r="X18" i="10"/>
  <c r="X9" i="11" s="1"/>
  <c r="W18" i="10"/>
  <c r="W9" i="11" s="1"/>
  <c r="Z17" i="10"/>
  <c r="Z16" i="10"/>
  <c r="Z14" i="10"/>
  <c r="Z13" i="10"/>
  <c r="Z12" i="10"/>
  <c r="Z11" i="10"/>
  <c r="Z10" i="10"/>
  <c r="W9" i="10"/>
  <c r="W7" i="10" s="1"/>
  <c r="Z8" i="10"/>
  <c r="Y7" i="10"/>
  <c r="Y6" i="11" s="1"/>
  <c r="X7" i="10"/>
  <c r="X6" i="10" s="1"/>
  <c r="Y37" i="23"/>
  <c r="Y29" i="24" s="1"/>
  <c r="W34" i="23"/>
  <c r="Z34" i="23" s="1"/>
  <c r="W29" i="23"/>
  <c r="Z29" i="23" s="1"/>
  <c r="X23" i="23"/>
  <c r="W23" i="23"/>
  <c r="X22" i="23"/>
  <c r="W22" i="23"/>
  <c r="W18" i="23"/>
  <c r="Z18" i="23" s="1"/>
  <c r="Z16" i="23"/>
  <c r="X15" i="23"/>
  <c r="Z15" i="23" s="1"/>
  <c r="W13" i="23"/>
  <c r="X11" i="23"/>
  <c r="W11" i="23"/>
  <c r="W9" i="23"/>
  <c r="X9" i="23"/>
  <c r="X8" i="23"/>
  <c r="W8" i="23"/>
  <c r="Z43" i="23"/>
  <c r="Z42" i="23"/>
  <c r="Y41" i="23"/>
  <c r="X41" i="23"/>
  <c r="W41" i="23"/>
  <c r="Z40" i="23"/>
  <c r="Y39" i="23"/>
  <c r="Z39" i="23" s="1"/>
  <c r="Z36" i="23"/>
  <c r="Z35" i="23"/>
  <c r="X32" i="23"/>
  <c r="X31" i="23" s="1"/>
  <c r="Z28" i="23"/>
  <c r="Z27" i="23"/>
  <c r="Z26" i="23"/>
  <c r="Z25" i="23"/>
  <c r="Y24" i="23"/>
  <c r="Y21" i="23" s="1"/>
  <c r="X24" i="23"/>
  <c r="Y20" i="23"/>
  <c r="X20" i="23"/>
  <c r="X17" i="23" s="1"/>
  <c r="Y19" i="23"/>
  <c r="Z14" i="23"/>
  <c r="Z6" i="23"/>
  <c r="Z5" i="23"/>
  <c r="Z86" i="30" l="1"/>
  <c r="X34" i="11"/>
  <c r="Y39" i="11"/>
  <c r="Y29" i="11" s="1"/>
  <c r="Z30" i="11"/>
  <c r="Y25" i="10"/>
  <c r="W29" i="10"/>
  <c r="W12" i="11" s="1"/>
  <c r="Z12" i="11" s="1"/>
  <c r="Z32" i="10"/>
  <c r="X25" i="10"/>
  <c r="X5" i="10" s="1"/>
  <c r="X14" i="11"/>
  <c r="X10" i="11" s="1"/>
  <c r="Y19" i="11"/>
  <c r="W42" i="11"/>
  <c r="Z42" i="11" s="1"/>
  <c r="Z32" i="24"/>
  <c r="W22" i="11"/>
  <c r="Y17" i="23"/>
  <c r="X41" i="10"/>
  <c r="Z82" i="10"/>
  <c r="Y92" i="10"/>
  <c r="Z105" i="10"/>
  <c r="Z28" i="24"/>
  <c r="Z34" i="24"/>
  <c r="X6" i="11"/>
  <c r="X5" i="11" s="1"/>
  <c r="W14" i="11"/>
  <c r="Z27" i="11"/>
  <c r="Z32" i="11"/>
  <c r="W36" i="11"/>
  <c r="Z41" i="11"/>
  <c r="Y47" i="11"/>
  <c r="Y46" i="11" s="1"/>
  <c r="Z41" i="23"/>
  <c r="Z36" i="10"/>
  <c r="Y75" i="10"/>
  <c r="Y62" i="10" s="1"/>
  <c r="X39" i="11"/>
  <c r="X29" i="11" s="1"/>
  <c r="Z33" i="24"/>
  <c r="Z8" i="11"/>
  <c r="Y11" i="11"/>
  <c r="Y10" i="11" s="1"/>
  <c r="Z16" i="11"/>
  <c r="Z31" i="11"/>
  <c r="Z35" i="11"/>
  <c r="Z40" i="11"/>
  <c r="W48" i="11"/>
  <c r="Z48" i="11" s="1"/>
  <c r="Z94" i="10"/>
  <c r="W43" i="11"/>
  <c r="X62" i="10"/>
  <c r="Z57" i="10"/>
  <c r="Y12" i="23"/>
  <c r="Z100" i="10"/>
  <c r="W54" i="11"/>
  <c r="L134" i="39"/>
  <c r="I134" i="39" s="1"/>
  <c r="Z37" i="23"/>
  <c r="Y30" i="24"/>
  <c r="Z30" i="24" s="1"/>
  <c r="Z89" i="30"/>
  <c r="Z11" i="23"/>
  <c r="Z29" i="24"/>
  <c r="W6" i="10"/>
  <c r="Z7" i="10"/>
  <c r="Z55" i="10"/>
  <c r="Y18" i="10"/>
  <c r="Y9" i="11" s="1"/>
  <c r="Z9" i="11" s="1"/>
  <c r="Z37" i="10"/>
  <c r="W26" i="10"/>
  <c r="W11" i="11" s="1"/>
  <c r="Z9" i="10"/>
  <c r="W41" i="10"/>
  <c r="Z41" i="10" s="1"/>
  <c r="Z43" i="10"/>
  <c r="Z84" i="10"/>
  <c r="W75" i="10"/>
  <c r="Z75" i="10" s="1"/>
  <c r="W93" i="10"/>
  <c r="X12" i="23"/>
  <c r="Z13" i="23"/>
  <c r="W24" i="23"/>
  <c r="X21" i="23"/>
  <c r="Z23" i="23"/>
  <c r="W33" i="23"/>
  <c r="Z9" i="23"/>
  <c r="Z8" i="23"/>
  <c r="Z22" i="23"/>
  <c r="Z46" i="23"/>
  <c r="T163" i="25"/>
  <c r="T140" i="25"/>
  <c r="T138" i="25" s="1"/>
  <c r="Z65" i="30" s="1"/>
  <c r="T125" i="25"/>
  <c r="Z60" i="30" s="1"/>
  <c r="T93" i="25"/>
  <c r="Z49" i="30" s="1"/>
  <c r="T92" i="25"/>
  <c r="T68" i="25"/>
  <c r="Z25" i="30" s="1"/>
  <c r="T53" i="25"/>
  <c r="Z17" i="30" s="1"/>
  <c r="G26" i="29"/>
  <c r="W20" i="23" s="1"/>
  <c r="Z20" i="23" s="1"/>
  <c r="W19" i="23"/>
  <c r="Z19" i="23" s="1"/>
  <c r="Y48" i="20"/>
  <c r="Y18" i="24" s="1"/>
  <c r="X48" i="20"/>
  <c r="W48" i="20"/>
  <c r="Y47" i="20"/>
  <c r="Y17" i="24" s="1"/>
  <c r="X47" i="20"/>
  <c r="X17" i="24" s="1"/>
  <c r="W47" i="20"/>
  <c r="Y46" i="20"/>
  <c r="Y16" i="24" s="1"/>
  <c r="X46" i="20"/>
  <c r="W46" i="20"/>
  <c r="Y44" i="20"/>
  <c r="X44" i="20"/>
  <c r="W44" i="20"/>
  <c r="Y43" i="20"/>
  <c r="Y8" i="24" s="1"/>
  <c r="X43" i="20"/>
  <c r="X8" i="24" s="1"/>
  <c r="W43" i="20"/>
  <c r="W8" i="24" s="1"/>
  <c r="Y42" i="20"/>
  <c r="Y7" i="24" s="1"/>
  <c r="X42" i="20"/>
  <c r="W42" i="20"/>
  <c r="Y41" i="20"/>
  <c r="Y6" i="24" s="1"/>
  <c r="X41" i="20"/>
  <c r="W41" i="20"/>
  <c r="Y40" i="20"/>
  <c r="Y5" i="24" s="1"/>
  <c r="X40" i="20"/>
  <c r="W40" i="20"/>
  <c r="Z36" i="20"/>
  <c r="Z32" i="20"/>
  <c r="Y31" i="20"/>
  <c r="X31" i="20"/>
  <c r="W31" i="20"/>
  <c r="Z30" i="20"/>
  <c r="Z29" i="20"/>
  <c r="Y28" i="20"/>
  <c r="X28" i="20"/>
  <c r="W28" i="20"/>
  <c r="Z27" i="20"/>
  <c r="Y26" i="20"/>
  <c r="X26" i="20"/>
  <c r="W26" i="20"/>
  <c r="Z24" i="20"/>
  <c r="Y23" i="20"/>
  <c r="Z23" i="20" s="1"/>
  <c r="X23" i="20"/>
  <c r="W23" i="20"/>
  <c r="Y22" i="20"/>
  <c r="X22" i="20"/>
  <c r="W22" i="20"/>
  <c r="W25" i="11" s="1"/>
  <c r="Y21" i="20"/>
  <c r="X21" i="20"/>
  <c r="W21" i="20"/>
  <c r="W24" i="11" s="1"/>
  <c r="Y20" i="20"/>
  <c r="X20" i="20"/>
  <c r="W20" i="20"/>
  <c r="W23" i="11" s="1"/>
  <c r="Z19" i="20"/>
  <c r="Y18" i="20"/>
  <c r="Y21" i="11" s="1"/>
  <c r="X18" i="20"/>
  <c r="W18" i="20"/>
  <c r="W21" i="11" s="1"/>
  <c r="Y17" i="20"/>
  <c r="Y20" i="11" s="1"/>
  <c r="X17" i="20"/>
  <c r="X20" i="11" s="1"/>
  <c r="W17" i="20"/>
  <c r="Z17" i="20" s="1"/>
  <c r="Z16" i="20"/>
  <c r="Y15" i="20"/>
  <c r="Y18" i="11" s="1"/>
  <c r="X15" i="20"/>
  <c r="W15" i="20"/>
  <c r="Z13" i="20"/>
  <c r="Z12" i="20"/>
  <c r="Y11" i="20"/>
  <c r="X11" i="20"/>
  <c r="W11" i="20"/>
  <c r="Z10" i="20"/>
  <c r="Y9" i="20"/>
  <c r="X9" i="20"/>
  <c r="W9" i="20"/>
  <c r="W6" i="11" s="1"/>
  <c r="Z7" i="20"/>
  <c r="Z6" i="20"/>
  <c r="Z5" i="20"/>
  <c r="Z6" i="21"/>
  <c r="T45" i="2"/>
  <c r="T44" i="2"/>
  <c r="S43" i="2"/>
  <c r="S42" i="2" s="1"/>
  <c r="R43" i="2"/>
  <c r="S41" i="2"/>
  <c r="R41" i="2"/>
  <c r="T41" i="2" s="1"/>
  <c r="T40" i="2"/>
  <c r="S39" i="2"/>
  <c r="R39" i="2"/>
  <c r="S38" i="2"/>
  <c r="R38" i="2"/>
  <c r="S37" i="2"/>
  <c r="R37" i="2"/>
  <c r="T33" i="2"/>
  <c r="T29" i="2"/>
  <c r="S28" i="2"/>
  <c r="T28" i="2" s="1"/>
  <c r="R28" i="2"/>
  <c r="T27" i="2"/>
  <c r="T26" i="2"/>
  <c r="S25" i="2"/>
  <c r="R25" i="2"/>
  <c r="T24" i="2"/>
  <c r="S23" i="2"/>
  <c r="S22" i="2" s="1"/>
  <c r="R23" i="2"/>
  <c r="T21" i="2"/>
  <c r="S20" i="2"/>
  <c r="T20" i="2" s="1"/>
  <c r="R20" i="2"/>
  <c r="T19" i="2"/>
  <c r="T18" i="2"/>
  <c r="T17" i="2"/>
  <c r="T16" i="2"/>
  <c r="T15" i="2"/>
  <c r="T14" i="2"/>
  <c r="T13" i="2"/>
  <c r="T12" i="2"/>
  <c r="S11" i="2"/>
  <c r="R11" i="2"/>
  <c r="T11" i="2" s="1"/>
  <c r="T10" i="2"/>
  <c r="S9" i="2"/>
  <c r="S8" i="2" s="1"/>
  <c r="S30" i="2" s="1"/>
  <c r="R9" i="2"/>
  <c r="T9" i="2" s="1"/>
  <c r="T7" i="2"/>
  <c r="T6" i="2"/>
  <c r="T45" i="5"/>
  <c r="T44" i="5"/>
  <c r="S43" i="5"/>
  <c r="S42" i="5" s="1"/>
  <c r="R43" i="5"/>
  <c r="S41" i="5"/>
  <c r="R41" i="5"/>
  <c r="T41" i="5" s="1"/>
  <c r="T40" i="5"/>
  <c r="S39" i="5"/>
  <c r="R39" i="5"/>
  <c r="S38" i="5"/>
  <c r="R38" i="5"/>
  <c r="S37" i="5"/>
  <c r="R37" i="5"/>
  <c r="T33" i="5"/>
  <c r="T29" i="5"/>
  <c r="S28" i="5"/>
  <c r="R28" i="5"/>
  <c r="T27" i="5"/>
  <c r="T26" i="5"/>
  <c r="S25" i="5"/>
  <c r="R25" i="5"/>
  <c r="T24" i="5"/>
  <c r="S23" i="5"/>
  <c r="R23" i="5"/>
  <c r="T23" i="5" s="1"/>
  <c r="T21" i="5"/>
  <c r="S20" i="5"/>
  <c r="R20" i="5"/>
  <c r="T20" i="5" s="1"/>
  <c r="T19" i="5"/>
  <c r="T18" i="5"/>
  <c r="T17" i="5"/>
  <c r="T16" i="5"/>
  <c r="T15" i="5"/>
  <c r="T14" i="5"/>
  <c r="T13" i="5"/>
  <c r="T12" i="5"/>
  <c r="T11" i="5"/>
  <c r="S11" i="5"/>
  <c r="R11" i="5"/>
  <c r="T10" i="5"/>
  <c r="T9" i="5"/>
  <c r="S9" i="5"/>
  <c r="R9" i="5"/>
  <c r="S8" i="5"/>
  <c r="R8" i="5"/>
  <c r="T8" i="5" s="1"/>
  <c r="T7" i="5"/>
  <c r="T6" i="5"/>
  <c r="T45" i="7"/>
  <c r="T44" i="7"/>
  <c r="S43" i="7"/>
  <c r="S42" i="7" s="1"/>
  <c r="R43" i="7"/>
  <c r="T43" i="7" s="1"/>
  <c r="S41" i="7"/>
  <c r="R41" i="7"/>
  <c r="T41" i="7" s="1"/>
  <c r="T40" i="7"/>
  <c r="S39" i="7"/>
  <c r="R39" i="7"/>
  <c r="S38" i="7"/>
  <c r="R38" i="7"/>
  <c r="S37" i="7"/>
  <c r="R37" i="7"/>
  <c r="T33" i="7"/>
  <c r="T29" i="7"/>
  <c r="S28" i="7"/>
  <c r="R28" i="7"/>
  <c r="T28" i="7" s="1"/>
  <c r="T27" i="7"/>
  <c r="T26" i="7"/>
  <c r="S25" i="7"/>
  <c r="R25" i="7"/>
  <c r="T25" i="7" s="1"/>
  <c r="T24" i="7"/>
  <c r="S23" i="7"/>
  <c r="R23" i="7"/>
  <c r="T23" i="7" s="1"/>
  <c r="S22" i="7"/>
  <c r="T21" i="7"/>
  <c r="X28" i="11" s="1"/>
  <c r="S20" i="7"/>
  <c r="R20" i="7"/>
  <c r="T20" i="7" s="1"/>
  <c r="T19" i="7"/>
  <c r="T18" i="7"/>
  <c r="T17" i="7"/>
  <c r="T16" i="7"/>
  <c r="T15" i="7"/>
  <c r="T14" i="7"/>
  <c r="T13" i="7"/>
  <c r="T12" i="7"/>
  <c r="S11" i="7"/>
  <c r="T11" i="7" s="1"/>
  <c r="R11" i="7"/>
  <c r="T10" i="7"/>
  <c r="S9" i="7"/>
  <c r="S8" i="7" s="1"/>
  <c r="R9" i="7"/>
  <c r="R8" i="7" s="1"/>
  <c r="T7" i="7"/>
  <c r="T6" i="7"/>
  <c r="T45" i="18"/>
  <c r="R44" i="18"/>
  <c r="T44" i="18" s="1"/>
  <c r="S43" i="18"/>
  <c r="S42" i="18" s="1"/>
  <c r="R43" i="18"/>
  <c r="R41" i="18"/>
  <c r="T41" i="18" s="1"/>
  <c r="T40" i="18"/>
  <c r="S39" i="18"/>
  <c r="R39" i="18"/>
  <c r="S38" i="18"/>
  <c r="R38" i="18"/>
  <c r="S37" i="18"/>
  <c r="R37" i="18"/>
  <c r="T33" i="18"/>
  <c r="T29" i="18"/>
  <c r="S28" i="18"/>
  <c r="T28" i="18" s="1"/>
  <c r="R28" i="18"/>
  <c r="T27" i="18"/>
  <c r="T26" i="18"/>
  <c r="S25" i="18"/>
  <c r="R25" i="18"/>
  <c r="T24" i="18"/>
  <c r="S23" i="18"/>
  <c r="R23" i="18"/>
  <c r="T23" i="18" s="1"/>
  <c r="T21" i="18"/>
  <c r="S20" i="18"/>
  <c r="R20" i="18"/>
  <c r="T20" i="18" s="1"/>
  <c r="T19" i="18"/>
  <c r="T18" i="18"/>
  <c r="T17" i="18"/>
  <c r="T16" i="18"/>
  <c r="T15" i="18"/>
  <c r="T14" i="18"/>
  <c r="R13" i="18"/>
  <c r="T13" i="18" s="1"/>
  <c r="T12" i="18"/>
  <c r="S11" i="18"/>
  <c r="R11" i="18"/>
  <c r="T11" i="18" s="1"/>
  <c r="T10" i="18"/>
  <c r="S9" i="18"/>
  <c r="S8" i="18" s="1"/>
  <c r="R9" i="18"/>
  <c r="T9" i="18" s="1"/>
  <c r="T7" i="18"/>
  <c r="T6" i="18"/>
  <c r="R6" i="18"/>
  <c r="T45" i="14"/>
  <c r="T44" i="14"/>
  <c r="S43" i="14"/>
  <c r="S42" i="14" s="1"/>
  <c r="R43" i="14"/>
  <c r="R41" i="14"/>
  <c r="T41" i="14" s="1"/>
  <c r="T40" i="14"/>
  <c r="S39" i="14"/>
  <c r="R39" i="14"/>
  <c r="S38" i="14"/>
  <c r="R38" i="14"/>
  <c r="T38" i="14" s="1"/>
  <c r="S37" i="14"/>
  <c r="R37" i="14"/>
  <c r="T33" i="14"/>
  <c r="T29" i="14"/>
  <c r="S28" i="14"/>
  <c r="R28" i="14"/>
  <c r="T28" i="14" s="1"/>
  <c r="T27" i="14"/>
  <c r="T26" i="14"/>
  <c r="S25" i="14"/>
  <c r="R25" i="14"/>
  <c r="T25" i="14" s="1"/>
  <c r="T24" i="14"/>
  <c r="S23" i="14"/>
  <c r="S22" i="14" s="1"/>
  <c r="R23" i="14"/>
  <c r="T23" i="14" s="1"/>
  <c r="R22" i="14"/>
  <c r="T21" i="14"/>
  <c r="S20" i="14"/>
  <c r="R20" i="14"/>
  <c r="T20" i="14" s="1"/>
  <c r="T19" i="14"/>
  <c r="T18" i="14"/>
  <c r="T17" i="14"/>
  <c r="T16" i="14"/>
  <c r="T15" i="14"/>
  <c r="T14" i="14"/>
  <c r="T13" i="14"/>
  <c r="T12" i="14"/>
  <c r="S11" i="14"/>
  <c r="R11" i="14"/>
  <c r="T10" i="14"/>
  <c r="S9" i="14"/>
  <c r="R9" i="14"/>
  <c r="T9" i="14" s="1"/>
  <c r="T7" i="14"/>
  <c r="T6" i="14"/>
  <c r="T45" i="8"/>
  <c r="T44" i="8"/>
  <c r="S43" i="8"/>
  <c r="S42" i="8" s="1"/>
  <c r="R43" i="8"/>
  <c r="R41" i="8"/>
  <c r="T41" i="8" s="1"/>
  <c r="T40" i="8"/>
  <c r="S39" i="8"/>
  <c r="R39" i="8"/>
  <c r="S38" i="8"/>
  <c r="R38" i="8"/>
  <c r="S37" i="8"/>
  <c r="R37" i="8"/>
  <c r="T33" i="8"/>
  <c r="T29" i="8"/>
  <c r="S28" i="8"/>
  <c r="R28" i="8"/>
  <c r="T28" i="8" s="1"/>
  <c r="T27" i="8"/>
  <c r="T26" i="8"/>
  <c r="S25" i="8"/>
  <c r="R25" i="8"/>
  <c r="T25" i="8" s="1"/>
  <c r="T24" i="8"/>
  <c r="S23" i="8"/>
  <c r="R23" i="8"/>
  <c r="T23" i="8" s="1"/>
  <c r="T21" i="8"/>
  <c r="S20" i="8"/>
  <c r="R20" i="8"/>
  <c r="T20" i="8" s="1"/>
  <c r="T19" i="8"/>
  <c r="T18" i="8"/>
  <c r="T17" i="8"/>
  <c r="T16" i="8"/>
  <c r="T15" i="8"/>
  <c r="T14" i="8"/>
  <c r="T13" i="8"/>
  <c r="T12" i="8"/>
  <c r="S11" i="8"/>
  <c r="T11" i="8" s="1"/>
  <c r="R11" i="8"/>
  <c r="T10" i="8"/>
  <c r="S9" i="8"/>
  <c r="R9" i="8"/>
  <c r="R8" i="8" s="1"/>
  <c r="T7" i="8"/>
  <c r="T6" i="8"/>
  <c r="R45" i="37"/>
  <c r="T45" i="37" s="1"/>
  <c r="T44" i="37"/>
  <c r="S43" i="37"/>
  <c r="R43" i="37"/>
  <c r="R41" i="37"/>
  <c r="T41" i="37" s="1"/>
  <c r="T40" i="37"/>
  <c r="S39" i="37"/>
  <c r="R39" i="37"/>
  <c r="S38" i="37"/>
  <c r="R38" i="37"/>
  <c r="S37" i="37"/>
  <c r="R37" i="37"/>
  <c r="T33" i="37"/>
  <c r="T29" i="37"/>
  <c r="S28" i="37"/>
  <c r="R28" i="37"/>
  <c r="T28" i="37" s="1"/>
  <c r="T27" i="37"/>
  <c r="T26" i="37"/>
  <c r="S25" i="37"/>
  <c r="R25" i="37"/>
  <c r="T25" i="37" s="1"/>
  <c r="T24" i="37"/>
  <c r="S23" i="37"/>
  <c r="S22" i="37" s="1"/>
  <c r="R23" i="37"/>
  <c r="T23" i="37" s="1"/>
  <c r="T21" i="37"/>
  <c r="S20" i="37"/>
  <c r="R20" i="37"/>
  <c r="T19" i="37"/>
  <c r="T18" i="37"/>
  <c r="T17" i="37"/>
  <c r="T16" i="37"/>
  <c r="T15" i="37"/>
  <c r="T14" i="37"/>
  <c r="T13" i="37"/>
  <c r="T12" i="37"/>
  <c r="S11" i="37"/>
  <c r="R11" i="37"/>
  <c r="T11" i="37" s="1"/>
  <c r="T10" i="37"/>
  <c r="S9" i="37"/>
  <c r="S8" i="37" s="1"/>
  <c r="R9" i="37"/>
  <c r="T7" i="37"/>
  <c r="T6" i="37"/>
  <c r="T45" i="12"/>
  <c r="T44" i="12"/>
  <c r="R43" i="12"/>
  <c r="T43" i="12" s="1"/>
  <c r="S42" i="12"/>
  <c r="R41" i="12"/>
  <c r="T41" i="12" s="1"/>
  <c r="T40" i="12"/>
  <c r="R39" i="12"/>
  <c r="R38" i="12"/>
  <c r="T38" i="12" s="1"/>
  <c r="R37" i="12"/>
  <c r="T37" i="12" s="1"/>
  <c r="S36" i="12"/>
  <c r="T33" i="12"/>
  <c r="T29" i="12"/>
  <c r="T28" i="12"/>
  <c r="S28" i="12"/>
  <c r="R28" i="12"/>
  <c r="T27" i="12"/>
  <c r="T26" i="12"/>
  <c r="S25" i="12"/>
  <c r="R25" i="12"/>
  <c r="T25" i="12" s="1"/>
  <c r="T24" i="12"/>
  <c r="S23" i="12"/>
  <c r="S22" i="12" s="1"/>
  <c r="R23" i="12"/>
  <c r="T21" i="12"/>
  <c r="S20" i="12"/>
  <c r="T20" i="12" s="1"/>
  <c r="R20" i="12"/>
  <c r="T19" i="12"/>
  <c r="T18" i="12"/>
  <c r="T17" i="12"/>
  <c r="T16" i="12"/>
  <c r="X22" i="11" s="1"/>
  <c r="T15" i="12"/>
  <c r="T14" i="12"/>
  <c r="T13" i="12"/>
  <c r="X19" i="11" s="1"/>
  <c r="T12" i="12"/>
  <c r="S11" i="12"/>
  <c r="R11" i="12"/>
  <c r="T11" i="12" s="1"/>
  <c r="T10" i="12"/>
  <c r="S9" i="12"/>
  <c r="R9" i="12"/>
  <c r="T9" i="12" s="1"/>
  <c r="T7" i="12"/>
  <c r="R6" i="12"/>
  <c r="T6" i="12" s="1"/>
  <c r="T176" i="3"/>
  <c r="Z29" i="30" s="1"/>
  <c r="T171" i="3"/>
  <c r="T165" i="3"/>
  <c r="T156" i="3"/>
  <c r="Z28" i="30" s="1"/>
  <c r="T151" i="3"/>
  <c r="Z27" i="30" s="1"/>
  <c r="T148" i="3"/>
  <c r="Z26" i="30" s="1"/>
  <c r="T137" i="3"/>
  <c r="Z23" i="30" s="1"/>
  <c r="T132" i="3"/>
  <c r="T124" i="3"/>
  <c r="Z40" i="30" s="1"/>
  <c r="T118" i="3"/>
  <c r="Z39" i="30" s="1"/>
  <c r="T105" i="3"/>
  <c r="Z38" i="30" s="1"/>
  <c r="T100" i="3"/>
  <c r="Z37" i="30" s="1"/>
  <c r="T94" i="3"/>
  <c r="Z36" i="30" s="1"/>
  <c r="T87" i="3"/>
  <c r="Z78" i="30" s="1"/>
  <c r="Z35" i="30"/>
  <c r="T75" i="3"/>
  <c r="T68" i="3"/>
  <c r="T57" i="3"/>
  <c r="Z33" i="30" s="1"/>
  <c r="T50" i="3"/>
  <c r="Z32" i="30" s="1"/>
  <c r="T42" i="3"/>
  <c r="Z31" i="30" s="1"/>
  <c r="T36" i="3"/>
  <c r="T22" i="3"/>
  <c r="R5" i="3"/>
  <c r="X39" i="20" l="1"/>
  <c r="X45" i="20"/>
  <c r="Z48" i="20"/>
  <c r="Z8" i="24"/>
  <c r="X26" i="11"/>
  <c r="Z26" i="11" s="1"/>
  <c r="Z28" i="11"/>
  <c r="W5" i="11"/>
  <c r="Z5" i="11" s="1"/>
  <c r="Z6" i="11"/>
  <c r="Z15" i="20"/>
  <c r="W18" i="11"/>
  <c r="X25" i="11"/>
  <c r="Y9" i="24"/>
  <c r="Y4" i="24" s="1"/>
  <c r="Y24" i="24" s="1"/>
  <c r="T9" i="8"/>
  <c r="S8" i="14"/>
  <c r="S22" i="18"/>
  <c r="S30" i="18" s="1"/>
  <c r="X5" i="24"/>
  <c r="T9" i="7"/>
  <c r="S30" i="7"/>
  <c r="S22" i="5"/>
  <c r="S30" i="5" s="1"/>
  <c r="Y8" i="20"/>
  <c r="X14" i="20"/>
  <c r="X8" i="20" s="1"/>
  <c r="X18" i="11"/>
  <c r="X17" i="11" s="1"/>
  <c r="X4" i="11" s="1"/>
  <c r="X45" i="11" s="1"/>
  <c r="X21" i="11"/>
  <c r="X24" i="11"/>
  <c r="Z24" i="11" s="1"/>
  <c r="Z22" i="20"/>
  <c r="Y25" i="11"/>
  <c r="Y25" i="20"/>
  <c r="Y33" i="20" s="1"/>
  <c r="Y39" i="20"/>
  <c r="Y15" i="24"/>
  <c r="X108" i="10"/>
  <c r="Z29" i="10"/>
  <c r="R8" i="37"/>
  <c r="T8" i="37" s="1"/>
  <c r="T91" i="25"/>
  <c r="Z48" i="30" s="1"/>
  <c r="T211" i="25"/>
  <c r="X10" i="23"/>
  <c r="Z10" i="23" s="1"/>
  <c r="Z22" i="11"/>
  <c r="T9" i="37"/>
  <c r="S36" i="37"/>
  <c r="S22" i="8"/>
  <c r="R8" i="18"/>
  <c r="T8" i="18" s="1"/>
  <c r="R8" i="2"/>
  <c r="T25" i="2"/>
  <c r="X23" i="11"/>
  <c r="Z21" i="20"/>
  <c r="Y24" i="11"/>
  <c r="Z28" i="20"/>
  <c r="Z44" i="20"/>
  <c r="Y45" i="20"/>
  <c r="Z47" i="20"/>
  <c r="W10" i="11"/>
  <c r="Z10" i="11" s="1"/>
  <c r="Y6" i="10"/>
  <c r="Y5" i="10" s="1"/>
  <c r="Y91" i="10" s="1"/>
  <c r="Z11" i="11"/>
  <c r="W47" i="11"/>
  <c r="Z36" i="11"/>
  <c r="W34" i="11"/>
  <c r="Z34" i="11" s="1"/>
  <c r="W20" i="11"/>
  <c r="Z20" i="11" s="1"/>
  <c r="X18" i="24"/>
  <c r="Z21" i="11"/>
  <c r="Z19" i="11"/>
  <c r="T35" i="3"/>
  <c r="T34" i="3" s="1"/>
  <c r="S46" i="12"/>
  <c r="T20" i="37"/>
  <c r="S30" i="37"/>
  <c r="R8" i="14"/>
  <c r="T8" i="14" s="1"/>
  <c r="T11" i="14"/>
  <c r="S36" i="14"/>
  <c r="S46" i="14" s="1"/>
  <c r="T43" i="14"/>
  <c r="T25" i="18"/>
  <c r="T8" i="7"/>
  <c r="T25" i="5"/>
  <c r="T28" i="5"/>
  <c r="T23" i="2"/>
  <c r="T43" i="2"/>
  <c r="Z9" i="20"/>
  <c r="Z18" i="20"/>
  <c r="Y14" i="20"/>
  <c r="Y23" i="11"/>
  <c r="Y17" i="11" s="1"/>
  <c r="Z25" i="11"/>
  <c r="Z26" i="20"/>
  <c r="Z43" i="20"/>
  <c r="Z18" i="10"/>
  <c r="Z14" i="11"/>
  <c r="Y5" i="11"/>
  <c r="X91" i="10"/>
  <c r="Z43" i="11"/>
  <c r="W39" i="11"/>
  <c r="S36" i="18"/>
  <c r="T37" i="18"/>
  <c r="Y26" i="24"/>
  <c r="Y25" i="24" s="1"/>
  <c r="Y7" i="23"/>
  <c r="Y30" i="23" s="1"/>
  <c r="S36" i="8"/>
  <c r="R42" i="18"/>
  <c r="S36" i="5"/>
  <c r="S46" i="5" s="1"/>
  <c r="X6" i="24"/>
  <c r="T117" i="3"/>
  <c r="T116" i="3" s="1"/>
  <c r="T37" i="37"/>
  <c r="T39" i="37"/>
  <c r="T37" i="8"/>
  <c r="T43" i="8"/>
  <c r="T37" i="7"/>
  <c r="T39" i="7"/>
  <c r="T43" i="5"/>
  <c r="T38" i="2"/>
  <c r="T39" i="12"/>
  <c r="W7" i="24"/>
  <c r="S36" i="7"/>
  <c r="S46" i="7" s="1"/>
  <c r="S34" i="7" s="1"/>
  <c r="S32" i="7" s="1"/>
  <c r="S31" i="7" s="1"/>
  <c r="S35" i="7" s="1"/>
  <c r="T43" i="37"/>
  <c r="T39" i="8"/>
  <c r="T38" i="5"/>
  <c r="S36" i="2"/>
  <c r="S46" i="2" s="1"/>
  <c r="T67" i="3"/>
  <c r="Z79" i="30"/>
  <c r="X16" i="24"/>
  <c r="T86" i="3"/>
  <c r="T38" i="37"/>
  <c r="T38" i="8"/>
  <c r="T37" i="14"/>
  <c r="T39" i="14"/>
  <c r="T38" i="18"/>
  <c r="T43" i="18"/>
  <c r="T37" i="5"/>
  <c r="T39" i="5"/>
  <c r="T37" i="2"/>
  <c r="T39" i="2"/>
  <c r="X9" i="24"/>
  <c r="W17" i="24"/>
  <c r="Z17" i="24" s="1"/>
  <c r="T39" i="18"/>
  <c r="Z73" i="30"/>
  <c r="T72" i="25"/>
  <c r="R42" i="37"/>
  <c r="T42" i="37" s="1"/>
  <c r="T131" i="3"/>
  <c r="T130" i="3" s="1"/>
  <c r="T74" i="3"/>
  <c r="T73" i="3" s="1"/>
  <c r="Z34" i="30"/>
  <c r="T49" i="3"/>
  <c r="T48" i="3" s="1"/>
  <c r="T38" i="7"/>
  <c r="Z30" i="30"/>
  <c r="X47" i="11"/>
  <c r="X46" i="11" s="1"/>
  <c r="W46" i="11"/>
  <c r="Z33" i="23"/>
  <c r="W27" i="24"/>
  <c r="W21" i="23"/>
  <c r="Z21" i="23" s="1"/>
  <c r="W18" i="24"/>
  <c r="G34" i="29"/>
  <c r="T49" i="25" s="1"/>
  <c r="T213" i="25" s="1"/>
  <c r="W17" i="23"/>
  <c r="W12" i="23" s="1"/>
  <c r="Z12" i="23" s="1"/>
  <c r="T93" i="3"/>
  <c r="T92" i="3" s="1"/>
  <c r="T21" i="3"/>
  <c r="T20" i="3" s="1"/>
  <c r="Z41" i="20"/>
  <c r="W6" i="24"/>
  <c r="Z40" i="20"/>
  <c r="W5" i="24"/>
  <c r="Z46" i="20"/>
  <c r="W16" i="24"/>
  <c r="Z5" i="21"/>
  <c r="Z4" i="21" s="1"/>
  <c r="Z20" i="30"/>
  <c r="Z42" i="20"/>
  <c r="W25" i="10"/>
  <c r="Z25" i="10" s="1"/>
  <c r="Z26" i="10"/>
  <c r="Y108" i="10"/>
  <c r="W92" i="10"/>
  <c r="Z93" i="10"/>
  <c r="W62" i="10"/>
  <c r="Z62" i="10" s="1"/>
  <c r="W5" i="10"/>
  <c r="Z6" i="10"/>
  <c r="W32" i="23"/>
  <c r="W31" i="23" s="1"/>
  <c r="Z24" i="23"/>
  <c r="Z20" i="20"/>
  <c r="Z31" i="20"/>
  <c r="X25" i="20"/>
  <c r="X33" i="20" s="1"/>
  <c r="X37" i="20" s="1"/>
  <c r="X35" i="20" s="1"/>
  <c r="X34" i="20" s="1"/>
  <c r="X38" i="20" s="1"/>
  <c r="W39" i="20"/>
  <c r="Z11" i="20"/>
  <c r="W14" i="20"/>
  <c r="Z14" i="20" s="1"/>
  <c r="W45" i="20"/>
  <c r="Z45" i="20" s="1"/>
  <c r="W25" i="20"/>
  <c r="S34" i="2"/>
  <c r="S32" i="2" s="1"/>
  <c r="S31" i="2" s="1"/>
  <c r="S35" i="2" s="1"/>
  <c r="T8" i="2"/>
  <c r="R22" i="2"/>
  <c r="T22" i="2" s="1"/>
  <c r="R36" i="2"/>
  <c r="R42" i="2"/>
  <c r="T42" i="2" s="1"/>
  <c r="S34" i="5"/>
  <c r="S32" i="5" s="1"/>
  <c r="S31" i="5" s="1"/>
  <c r="S35" i="5" s="1"/>
  <c r="R22" i="5"/>
  <c r="R36" i="5"/>
  <c r="R42" i="5"/>
  <c r="T42" i="5" s="1"/>
  <c r="R22" i="7"/>
  <c r="R36" i="7"/>
  <c r="R42" i="7"/>
  <c r="T42" i="7" s="1"/>
  <c r="S46" i="18"/>
  <c r="S34" i="18"/>
  <c r="S32" i="18" s="1"/>
  <c r="S31" i="18" s="1"/>
  <c r="S35" i="18" s="1"/>
  <c r="T42" i="18"/>
  <c r="R22" i="18"/>
  <c r="R36" i="18"/>
  <c r="S30" i="14"/>
  <c r="S34" i="14" s="1"/>
  <c r="S32" i="14" s="1"/>
  <c r="S31" i="14" s="1"/>
  <c r="S35" i="14" s="1"/>
  <c r="T22" i="14"/>
  <c r="R42" i="14"/>
  <c r="T42" i="14" s="1"/>
  <c r="R36" i="14"/>
  <c r="S46" i="8"/>
  <c r="S8" i="8"/>
  <c r="S30" i="8" s="1"/>
  <c r="S34" i="8" s="1"/>
  <c r="S32" i="8" s="1"/>
  <c r="S31" i="8" s="1"/>
  <c r="S35" i="8" s="1"/>
  <c r="R42" i="8"/>
  <c r="T42" i="8" s="1"/>
  <c r="R22" i="8"/>
  <c r="R36" i="8"/>
  <c r="R22" i="37"/>
  <c r="R36" i="37"/>
  <c r="S42" i="37"/>
  <c r="R36" i="12"/>
  <c r="R42" i="12"/>
  <c r="T42" i="12" s="1"/>
  <c r="R8" i="12"/>
  <c r="T8" i="12" s="1"/>
  <c r="S8" i="12"/>
  <c r="S30" i="12" s="1"/>
  <c r="T23" i="12"/>
  <c r="R22" i="12"/>
  <c r="S16" i="30"/>
  <c r="X7" i="23" l="1"/>
  <c r="X30" i="23" s="1"/>
  <c r="X49" i="20"/>
  <c r="Y35" i="24"/>
  <c r="Y37" i="20"/>
  <c r="Y35" i="20" s="1"/>
  <c r="Y34" i="20" s="1"/>
  <c r="Y38" i="20" s="1"/>
  <c r="Z6" i="24"/>
  <c r="Z41" i="30"/>
  <c r="Z18" i="24"/>
  <c r="X7" i="24"/>
  <c r="X4" i="24" s="1"/>
  <c r="Z23" i="11"/>
  <c r="X60" i="11"/>
  <c r="W4" i="11"/>
  <c r="Z4" i="11" s="1"/>
  <c r="Z18" i="11"/>
  <c r="W17" i="11"/>
  <c r="Z17" i="11" s="1"/>
  <c r="Y4" i="11"/>
  <c r="R30" i="14"/>
  <c r="T30" i="14" s="1"/>
  <c r="S34" i="12"/>
  <c r="S32" i="12" s="1"/>
  <c r="S31" i="12" s="1"/>
  <c r="S35" i="12" s="1"/>
  <c r="S46" i="37"/>
  <c r="X15" i="24"/>
  <c r="Y49" i="20"/>
  <c r="Z39" i="11"/>
  <c r="W29" i="11"/>
  <c r="W60" i="11" s="1"/>
  <c r="Z5" i="24"/>
  <c r="T5" i="3"/>
  <c r="Z46" i="11"/>
  <c r="Z47" i="11"/>
  <c r="Z54" i="11"/>
  <c r="T44" i="25"/>
  <c r="Z16" i="30" s="1"/>
  <c r="X44" i="23"/>
  <c r="Z27" i="24"/>
  <c r="W26" i="24"/>
  <c r="Z17" i="23"/>
  <c r="W9" i="24"/>
  <c r="Z9" i="24" s="1"/>
  <c r="W15" i="24"/>
  <c r="Z16" i="24"/>
  <c r="W108" i="10"/>
  <c r="Z108" i="10" s="1"/>
  <c r="Z111" i="10" s="1"/>
  <c r="Z113" i="10" s="1"/>
  <c r="Z92" i="10"/>
  <c r="W91" i="10"/>
  <c r="Z91" i="10" s="1"/>
  <c r="Z5" i="10"/>
  <c r="W7" i="23"/>
  <c r="Z7" i="23" s="1"/>
  <c r="Z25" i="20"/>
  <c r="Z39" i="20"/>
  <c r="W49" i="20"/>
  <c r="Z49" i="20" s="1"/>
  <c r="W8" i="20"/>
  <c r="Z8" i="20" s="1"/>
  <c r="T36" i="2"/>
  <c r="R46" i="2"/>
  <c r="R30" i="2"/>
  <c r="T22" i="5"/>
  <c r="R30" i="5"/>
  <c r="T30" i="5" s="1"/>
  <c r="T36" i="5"/>
  <c r="R34" i="5"/>
  <c r="R46" i="5"/>
  <c r="T46" i="5" s="1"/>
  <c r="T36" i="7"/>
  <c r="R46" i="7"/>
  <c r="T22" i="7"/>
  <c r="R30" i="7"/>
  <c r="T30" i="7" s="1"/>
  <c r="T22" i="18"/>
  <c r="R30" i="18"/>
  <c r="T30" i="18" s="1"/>
  <c r="T36" i="18"/>
  <c r="R34" i="18"/>
  <c r="R46" i="18"/>
  <c r="T46" i="18" s="1"/>
  <c r="T36" i="14"/>
  <c r="R46" i="14"/>
  <c r="R30" i="8"/>
  <c r="T30" i="8" s="1"/>
  <c r="T22" i="8"/>
  <c r="T8" i="8"/>
  <c r="R46" i="8"/>
  <c r="T46" i="8" s="1"/>
  <c r="T36" i="8"/>
  <c r="T22" i="37"/>
  <c r="R30" i="37"/>
  <c r="T30" i="37" s="1"/>
  <c r="S34" i="37"/>
  <c r="S32" i="37" s="1"/>
  <c r="S31" i="37" s="1"/>
  <c r="S35" i="37" s="1"/>
  <c r="T36" i="37"/>
  <c r="R46" i="37"/>
  <c r="T46" i="37" s="1"/>
  <c r="T36" i="12"/>
  <c r="R46" i="12"/>
  <c r="T46" i="12" s="1"/>
  <c r="T22" i="12"/>
  <c r="R30" i="12"/>
  <c r="T30" i="12" s="1"/>
  <c r="Q47" i="25"/>
  <c r="Q140" i="25"/>
  <c r="Q138" i="25" s="1"/>
  <c r="Q92" i="25"/>
  <c r="Q91" i="25" s="1"/>
  <c r="F3" i="29"/>
  <c r="X24" i="24" l="1"/>
  <c r="X35" i="24" s="1"/>
  <c r="Z7" i="24"/>
  <c r="Q211" i="25"/>
  <c r="Z15" i="24"/>
  <c r="Y60" i="11"/>
  <c r="Z60" i="11" s="1"/>
  <c r="Y45" i="11"/>
  <c r="Z29" i="11"/>
  <c r="W45" i="11"/>
  <c r="T6" i="25"/>
  <c r="Z26" i="24"/>
  <c r="W25" i="24"/>
  <c r="Z25" i="24" s="1"/>
  <c r="W4" i="24"/>
  <c r="W30" i="23"/>
  <c r="Z30" i="23" s="1"/>
  <c r="W33" i="20"/>
  <c r="T30" i="2"/>
  <c r="T46" i="2"/>
  <c r="R34" i="2"/>
  <c r="R32" i="5"/>
  <c r="T34" i="5"/>
  <c r="T46" i="7"/>
  <c r="R34" i="7"/>
  <c r="R32" i="18"/>
  <c r="T34" i="18"/>
  <c r="T46" i="14"/>
  <c r="R34" i="14"/>
  <c r="R34" i="8"/>
  <c r="R34" i="37"/>
  <c r="R34" i="12"/>
  <c r="H132" i="39"/>
  <c r="D132" i="39"/>
  <c r="D128" i="39"/>
  <c r="D127" i="39"/>
  <c r="D126" i="39"/>
  <c r="D125" i="39"/>
  <c r="D124" i="39"/>
  <c r="D123" i="39"/>
  <c r="H122" i="39"/>
  <c r="G122" i="39"/>
  <c r="F122" i="39"/>
  <c r="D118" i="39"/>
  <c r="D110" i="39"/>
  <c r="D107" i="39"/>
  <c r="H106" i="39"/>
  <c r="G106" i="39"/>
  <c r="F106" i="39"/>
  <c r="D104" i="39"/>
  <c r="D103" i="39" s="1"/>
  <c r="H103" i="39"/>
  <c r="G103" i="39"/>
  <c r="F103" i="39"/>
  <c r="D92" i="39"/>
  <c r="D87" i="39"/>
  <c r="D85" i="39"/>
  <c r="H84" i="39"/>
  <c r="G84" i="39"/>
  <c r="F84" i="39"/>
  <c r="D78" i="39"/>
  <c r="D76" i="39"/>
  <c r="D74" i="39"/>
  <c r="H73" i="39"/>
  <c r="G73" i="39"/>
  <c r="F73" i="39"/>
  <c r="D64" i="39"/>
  <c r="D61" i="39"/>
  <c r="D56" i="39"/>
  <c r="H55" i="39"/>
  <c r="G55" i="39"/>
  <c r="F55" i="39"/>
  <c r="G54" i="39"/>
  <c r="G29" i="39" s="1"/>
  <c r="D54" i="39"/>
  <c r="H51" i="39"/>
  <c r="H29" i="39" s="1"/>
  <c r="D51" i="39"/>
  <c r="D47" i="39"/>
  <c r="D45" i="39"/>
  <c r="D43" i="39"/>
  <c r="D41" i="39"/>
  <c r="D39" i="39"/>
  <c r="D37" i="39"/>
  <c r="D35" i="39"/>
  <c r="D30" i="39"/>
  <c r="F29" i="39"/>
  <c r="D22" i="39"/>
  <c r="D21" i="39"/>
  <c r="D19" i="39"/>
  <c r="D18" i="39"/>
  <c r="D16" i="39"/>
  <c r="D14" i="39"/>
  <c r="D11" i="39"/>
  <c r="D8" i="39"/>
  <c r="D5" i="39"/>
  <c r="H4" i="39"/>
  <c r="G4" i="39"/>
  <c r="F4" i="39"/>
  <c r="D106" i="39" l="1"/>
  <c r="D73" i="39"/>
  <c r="Z45" i="11"/>
  <c r="Z4" i="24"/>
  <c r="W24" i="24"/>
  <c r="Z24" i="24" s="1"/>
  <c r="D122" i="39"/>
  <c r="D84" i="39"/>
  <c r="G130" i="39"/>
  <c r="G134" i="39" s="1"/>
  <c r="D29" i="39"/>
  <c r="D4" i="39"/>
  <c r="H130" i="39"/>
  <c r="H134" i="39" s="1"/>
  <c r="F130" i="39"/>
  <c r="F134" i="39" s="1"/>
  <c r="D55" i="39"/>
  <c r="W44" i="23"/>
  <c r="Z33" i="20"/>
  <c r="W37" i="20"/>
  <c r="R32" i="2"/>
  <c r="T34" i="2"/>
  <c r="T32" i="5"/>
  <c r="R31" i="5"/>
  <c r="R32" i="7"/>
  <c r="T34" i="7"/>
  <c r="T32" i="18"/>
  <c r="R31" i="18"/>
  <c r="T34" i="14"/>
  <c r="R32" i="14"/>
  <c r="T34" i="8"/>
  <c r="R32" i="8"/>
  <c r="R32" i="37"/>
  <c r="T34" i="37"/>
  <c r="R32" i="12"/>
  <c r="T34" i="12"/>
  <c r="D130" i="39" l="1"/>
  <c r="D134" i="39" s="1"/>
  <c r="W35" i="24"/>
  <c r="Z35" i="24" s="1"/>
  <c r="Z37" i="20"/>
  <c r="T204" i="25" s="1"/>
  <c r="W35" i="20"/>
  <c r="T32" i="2"/>
  <c r="R31" i="2"/>
  <c r="R35" i="5"/>
  <c r="T35" i="5" s="1"/>
  <c r="T31" i="5"/>
  <c r="T32" i="7"/>
  <c r="R31" i="7"/>
  <c r="R35" i="18"/>
  <c r="T35" i="18" s="1"/>
  <c r="T31" i="18"/>
  <c r="T32" i="14"/>
  <c r="R31" i="14"/>
  <c r="T32" i="8"/>
  <c r="R31" i="8"/>
  <c r="T32" i="37"/>
  <c r="R31" i="37"/>
  <c r="T32" i="12"/>
  <c r="R31" i="12"/>
  <c r="R35" i="12" s="1"/>
  <c r="T35" i="12" s="1"/>
  <c r="T203" i="25" l="1"/>
  <c r="T5" i="25" s="1"/>
  <c r="Y38" i="23"/>
  <c r="W34" i="20"/>
  <c r="Z35" i="20"/>
  <c r="T31" i="2"/>
  <c r="R35" i="2"/>
  <c r="T35" i="2" s="1"/>
  <c r="R35" i="7"/>
  <c r="T35" i="7" s="1"/>
  <c r="T31" i="7"/>
  <c r="R35" i="14"/>
  <c r="T35" i="14" s="1"/>
  <c r="T31" i="14"/>
  <c r="R35" i="8"/>
  <c r="T35" i="8" s="1"/>
  <c r="T31" i="8"/>
  <c r="R35" i="37"/>
  <c r="T35" i="37" s="1"/>
  <c r="T31" i="37"/>
  <c r="T31" i="12"/>
  <c r="Q148" i="3"/>
  <c r="Q137" i="3"/>
  <c r="Q132" i="3"/>
  <c r="Z22" i="30" s="1"/>
  <c r="Z5" i="30" s="1"/>
  <c r="Z4" i="30" s="1"/>
  <c r="Q176" i="3"/>
  <c r="Q171" i="3"/>
  <c r="Q165" i="3"/>
  <c r="Q156" i="3"/>
  <c r="Q151" i="3"/>
  <c r="S10" i="23"/>
  <c r="T10" i="23"/>
  <c r="Q163" i="25"/>
  <c r="Q93" i="25"/>
  <c r="Q105" i="3"/>
  <c r="Q100" i="3"/>
  <c r="Q94" i="3"/>
  <c r="Q87" i="3"/>
  <c r="Q86" i="3" s="1"/>
  <c r="Q81" i="3"/>
  <c r="Q75" i="3"/>
  <c r="Q68" i="3"/>
  <c r="Q67" i="3" s="1"/>
  <c r="Q57" i="3"/>
  <c r="Q50" i="3"/>
  <c r="Q36" i="3"/>
  <c r="Q42" i="3"/>
  <c r="Q22" i="3"/>
  <c r="Q21" i="3" s="1"/>
  <c r="Q20" i="3" s="1"/>
  <c r="Q35" i="3" l="1"/>
  <c r="Q34" i="3" s="1"/>
  <c r="T220" i="25"/>
  <c r="T221" i="25" s="1"/>
  <c r="Z38" i="23"/>
  <c r="Y32" i="23"/>
  <c r="W38" i="20"/>
  <c r="Z38" i="20" s="1"/>
  <c r="Z34" i="20"/>
  <c r="Q131" i="3"/>
  <c r="Q130" i="3" s="1"/>
  <c r="Q93" i="3"/>
  <c r="Q92" i="3" s="1"/>
  <c r="Q74" i="3"/>
  <c r="Q73" i="3" s="1"/>
  <c r="Q49" i="3"/>
  <c r="Q48" i="3" s="1"/>
  <c r="Q125" i="25"/>
  <c r="Q72" i="25"/>
  <c r="Y31" i="23" l="1"/>
  <c r="Z32" i="23"/>
  <c r="O54" i="11"/>
  <c r="R50" i="11"/>
  <c r="R104" i="10"/>
  <c r="R15" i="10"/>
  <c r="Y44" i="23" l="1"/>
  <c r="Z31" i="23"/>
  <c r="V90" i="30"/>
  <c r="V6" i="21"/>
  <c r="V5" i="21" s="1"/>
  <c r="V4" i="21" s="1"/>
  <c r="Z44" i="23" l="1"/>
  <c r="Z47" i="23" s="1"/>
  <c r="Q71" i="25"/>
  <c r="Q53" i="25"/>
  <c r="V17" i="30" s="1"/>
  <c r="Q68" i="25" l="1"/>
  <c r="Q215" i="25"/>
  <c r="D22" i="38"/>
  <c r="D19" i="38"/>
  <c r="D18" i="38"/>
  <c r="D16" i="38"/>
  <c r="D8" i="38"/>
  <c r="O5" i="3"/>
  <c r="Q118" i="3"/>
  <c r="Q124" i="3"/>
  <c r="S28" i="10"/>
  <c r="S27" i="10"/>
  <c r="Q117" i="3" l="1"/>
  <c r="Q116" i="3" s="1"/>
  <c r="Q5" i="3" s="1"/>
  <c r="S30" i="10" l="1"/>
  <c r="S85" i="10"/>
  <c r="S84" i="10"/>
  <c r="S37" i="10"/>
  <c r="S102" i="10"/>
  <c r="S72" i="10" l="1"/>
  <c r="R88" i="10" l="1"/>
  <c r="D93" i="38"/>
  <c r="D92" i="38" s="1"/>
  <c r="O75" i="10"/>
  <c r="R89" i="10"/>
  <c r="O89" i="10"/>
  <c r="O57" i="10"/>
  <c r="O45" i="10"/>
  <c r="E8" i="31" l="1"/>
  <c r="E7" i="31" s="1"/>
  <c r="E9" i="31" l="1"/>
  <c r="E6" i="31" s="1"/>
  <c r="O6" i="18"/>
  <c r="O13" i="18" l="1"/>
  <c r="S34" i="23" l="1"/>
  <c r="S33" i="23" s="1"/>
  <c r="S11" i="23"/>
  <c r="S23" i="23" l="1"/>
  <c r="S10" i="10" l="1"/>
  <c r="S11" i="10"/>
  <c r="S9" i="10"/>
  <c r="O44" i="18" l="1"/>
  <c r="G18" i="36" l="1"/>
  <c r="F18" i="36"/>
  <c r="D117" i="38" l="1"/>
  <c r="D116" i="38"/>
  <c r="D115" i="38"/>
  <c r="D114" i="38"/>
  <c r="D111" i="38" s="1"/>
  <c r="D113" i="38"/>
  <c r="D112" i="38"/>
  <c r="D107" i="38"/>
  <c r="D99" i="38"/>
  <c r="D96" i="38"/>
  <c r="D84" i="38"/>
  <c r="D79" i="38"/>
  <c r="D77" i="38"/>
  <c r="D76" i="38" s="1"/>
  <c r="D70" i="38"/>
  <c r="D68" i="38"/>
  <c r="D66" i="38"/>
  <c r="D60" i="38"/>
  <c r="D57" i="38"/>
  <c r="D52" i="38"/>
  <c r="D43" i="38"/>
  <c r="D41" i="38"/>
  <c r="D39" i="38"/>
  <c r="D37" i="38"/>
  <c r="D35" i="38"/>
  <c r="D33" i="38"/>
  <c r="D31" i="38"/>
  <c r="D26" i="38"/>
  <c r="D21" i="38"/>
  <c r="D14" i="38"/>
  <c r="D11" i="38"/>
  <c r="D5" i="38"/>
  <c r="D51" i="38" l="1"/>
  <c r="H31" i="38"/>
  <c r="D4" i="38"/>
  <c r="D25" i="38"/>
  <c r="D95" i="38"/>
  <c r="D65" i="38"/>
  <c r="D2" i="38" l="1"/>
  <c r="U28" i="11"/>
  <c r="Q28" i="11"/>
  <c r="H44" i="11"/>
  <c r="E28" i="11"/>
  <c r="J74" i="30"/>
  <c r="V12" i="30"/>
  <c r="R12" i="30"/>
  <c r="J12" i="30"/>
  <c r="F74" i="30"/>
  <c r="V29" i="30"/>
  <c r="R29" i="30"/>
  <c r="V28" i="30"/>
  <c r="R28" i="30"/>
  <c r="V27" i="30"/>
  <c r="R27" i="30"/>
  <c r="V26" i="30"/>
  <c r="R26" i="30"/>
  <c r="V24" i="30"/>
  <c r="R24" i="30"/>
  <c r="R23" i="30"/>
  <c r="V23" i="30"/>
  <c r="J90" i="10"/>
  <c r="J89" i="10"/>
  <c r="G44" i="11" s="1"/>
  <c r="J44" i="11" s="1"/>
  <c r="G89" i="10"/>
  <c r="H72" i="10"/>
  <c r="J61" i="10"/>
  <c r="J60" i="10"/>
  <c r="J59" i="10"/>
  <c r="J58" i="10"/>
  <c r="I57" i="10"/>
  <c r="I28" i="11" s="1"/>
  <c r="G57" i="10"/>
  <c r="H57" i="10"/>
  <c r="G49" i="10"/>
  <c r="J44" i="10"/>
  <c r="J45" i="10"/>
  <c r="I7" i="10"/>
  <c r="H7" i="10"/>
  <c r="G7" i="10"/>
  <c r="J15" i="10"/>
  <c r="C49" i="10"/>
  <c r="O43" i="10"/>
  <c r="T16" i="23"/>
  <c r="P16" i="23"/>
  <c r="P10" i="23"/>
  <c r="L16" i="23"/>
  <c r="L10" i="23"/>
  <c r="J9" i="30"/>
  <c r="H28" i="23"/>
  <c r="H10" i="23"/>
  <c r="G16" i="23"/>
  <c r="H16" i="23"/>
  <c r="G10" i="23"/>
  <c r="H8" i="23"/>
  <c r="D16" i="23"/>
  <c r="C10" i="23"/>
  <c r="C9" i="23"/>
  <c r="C8" i="23"/>
  <c r="D10" i="23"/>
  <c r="J85" i="30"/>
  <c r="J84" i="30"/>
  <c r="R76" i="30"/>
  <c r="J76" i="30"/>
  <c r="R13" i="30"/>
  <c r="J57" i="10" l="1"/>
  <c r="D23" i="23"/>
  <c r="C13" i="23"/>
  <c r="B23" i="29"/>
  <c r="B21" i="29"/>
  <c r="B19" i="29"/>
  <c r="B18" i="29"/>
  <c r="B4" i="29" s="1"/>
  <c r="B5" i="29"/>
  <c r="E42" i="28"/>
  <c r="D42" i="28"/>
  <c r="E41" i="28"/>
  <c r="D41" i="28"/>
  <c r="E40" i="28"/>
  <c r="D40" i="28"/>
  <c r="D39" i="28" s="1"/>
  <c r="E39" i="28"/>
  <c r="E22" i="28"/>
  <c r="D22" i="28"/>
  <c r="E21" i="28"/>
  <c r="D21" i="28"/>
  <c r="E19" i="28"/>
  <c r="D19" i="28"/>
  <c r="E18" i="28"/>
  <c r="E8" i="28" s="1"/>
  <c r="D18" i="28"/>
  <c r="D8" i="28" s="1"/>
  <c r="D7" i="28"/>
  <c r="E7" i="28" s="1"/>
  <c r="D6" i="28"/>
  <c r="E6" i="28" s="1"/>
  <c r="C41" i="28"/>
  <c r="C39" i="28" s="1"/>
  <c r="C40" i="28"/>
  <c r="C22" i="28"/>
  <c r="C21" i="28" s="1"/>
  <c r="C8" i="28"/>
  <c r="E118" i="27"/>
  <c r="D118" i="27"/>
  <c r="E115" i="27"/>
  <c r="D115" i="27"/>
  <c r="E113" i="27"/>
  <c r="D113" i="27"/>
  <c r="E112" i="27"/>
  <c r="D112" i="27"/>
  <c r="E110" i="27"/>
  <c r="D110" i="27"/>
  <c r="E106" i="27"/>
  <c r="D106" i="27"/>
  <c r="D101" i="27"/>
  <c r="E101" i="27"/>
  <c r="E98" i="27"/>
  <c r="D98" i="27"/>
  <c r="E97" i="27"/>
  <c r="D97" i="27"/>
  <c r="E96" i="27"/>
  <c r="D96" i="27"/>
  <c r="E95" i="27"/>
  <c r="D95" i="27"/>
  <c r="G42" i="27" l="1"/>
  <c r="E92" i="27"/>
  <c r="D92" i="27"/>
  <c r="E90" i="27"/>
  <c r="D90" i="27"/>
  <c r="E79" i="27"/>
  <c r="D79" i="27"/>
  <c r="D78" i="27" s="1"/>
  <c r="E78" i="27"/>
  <c r="D77" i="27"/>
  <c r="E77" i="27" s="1"/>
  <c r="E75" i="27"/>
  <c r="D75" i="27"/>
  <c r="D74" i="27"/>
  <c r="E74" i="27" s="1"/>
  <c r="D73" i="27"/>
  <c r="E73" i="27" s="1"/>
  <c r="D72" i="27"/>
  <c r="E72" i="27" s="1"/>
  <c r="D71" i="27"/>
  <c r="E71" i="27" s="1"/>
  <c r="D70" i="27"/>
  <c r="E70" i="27" s="1"/>
  <c r="D69" i="27"/>
  <c r="E69" i="27" s="1"/>
  <c r="D68" i="27"/>
  <c r="E68" i="27" s="1"/>
  <c r="D67" i="27"/>
  <c r="E67" i="27" s="1"/>
  <c r="D66" i="27"/>
  <c r="E66" i="27" s="1"/>
  <c r="D65" i="27"/>
  <c r="E65" i="27" s="1"/>
  <c r="E62" i="27"/>
  <c r="D62" i="27"/>
  <c r="E61" i="27"/>
  <c r="D61" i="27"/>
  <c r="D60" i="27" s="1"/>
  <c r="E60" i="27"/>
  <c r="E51" i="27"/>
  <c r="D51" i="27"/>
  <c r="D49" i="27"/>
  <c r="E49" i="27" s="1"/>
  <c r="D47" i="27"/>
  <c r="E47" i="27" s="1"/>
  <c r="D46" i="27"/>
  <c r="E46" i="27" s="1"/>
  <c r="D45" i="27"/>
  <c r="E45" i="27" s="1"/>
  <c r="E44" i="27"/>
  <c r="D44" i="27"/>
  <c r="E43" i="27"/>
  <c r="D43" i="27"/>
  <c r="E41" i="27"/>
  <c r="D41" i="27"/>
  <c r="E40" i="27"/>
  <c r="E38" i="27" s="1"/>
  <c r="D40" i="27"/>
  <c r="D38" i="27"/>
  <c r="E30" i="27"/>
  <c r="D30" i="27"/>
  <c r="E29" i="27"/>
  <c r="D29" i="27"/>
  <c r="D28" i="27"/>
  <c r="E28" i="27" s="1"/>
  <c r="E27" i="27"/>
  <c r="D27" i="27"/>
  <c r="D26" i="27"/>
  <c r="E25" i="27"/>
  <c r="D25" i="27"/>
  <c r="E18" i="27"/>
  <c r="D18" i="27"/>
  <c r="E17" i="27"/>
  <c r="D17" i="27"/>
  <c r="D16" i="27"/>
  <c r="E16" i="27" s="1"/>
  <c r="E14" i="27"/>
  <c r="D14" i="27"/>
  <c r="E11" i="27"/>
  <c r="D11" i="27"/>
  <c r="E9" i="27"/>
  <c r="D9" i="27"/>
  <c r="E7" i="27"/>
  <c r="D7" i="27"/>
  <c r="D6" i="27"/>
  <c r="G113" i="27"/>
  <c r="C92" i="27"/>
  <c r="C89" i="27"/>
  <c r="D89" i="27" s="1"/>
  <c r="E89" i="27" s="1"/>
  <c r="E80" i="27" s="1"/>
  <c r="C81" i="27"/>
  <c r="C78" i="27"/>
  <c r="C64" i="27"/>
  <c r="C63" i="27" s="1"/>
  <c r="C61" i="27"/>
  <c r="C60" i="27" s="1"/>
  <c r="C50" i="27"/>
  <c r="D50" i="27" s="1"/>
  <c r="E50" i="27" s="1"/>
  <c r="C48" i="27"/>
  <c r="D48" i="27" s="1"/>
  <c r="E48" i="27" s="1"/>
  <c r="C43" i="27"/>
  <c r="C42" i="27" s="1"/>
  <c r="C38" i="27"/>
  <c r="C33" i="27"/>
  <c r="D33" i="27" s="1"/>
  <c r="E33" i="27" s="1"/>
  <c r="C27" i="27"/>
  <c r="C25" i="27"/>
  <c r="C14" i="27"/>
  <c r="C12" i="27"/>
  <c r="C6" i="27" s="1"/>
  <c r="C7" i="27"/>
  <c r="F21" i="30"/>
  <c r="F9" i="30"/>
  <c r="C9" i="31"/>
  <c r="C7" i="31"/>
  <c r="D33" i="29"/>
  <c r="C33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6" i="29"/>
  <c r="C16" i="29"/>
  <c r="D15" i="29"/>
  <c r="C15" i="29"/>
  <c r="D12" i="29"/>
  <c r="C12" i="29"/>
  <c r="D11" i="29"/>
  <c r="C11" i="29"/>
  <c r="D10" i="29"/>
  <c r="C10" i="29"/>
  <c r="D9" i="29"/>
  <c r="C9" i="29"/>
  <c r="D7" i="29"/>
  <c r="C7" i="29"/>
  <c r="D6" i="29"/>
  <c r="C6" i="29"/>
  <c r="D5" i="29"/>
  <c r="C5" i="29"/>
  <c r="D3" i="29"/>
  <c r="C3" i="29"/>
  <c r="T42" i="20"/>
  <c r="T41" i="20"/>
  <c r="T40" i="20"/>
  <c r="P42" i="20"/>
  <c r="P41" i="20"/>
  <c r="P40" i="20"/>
  <c r="L42" i="20"/>
  <c r="L41" i="20"/>
  <c r="L40" i="20"/>
  <c r="H42" i="20"/>
  <c r="H41" i="20"/>
  <c r="H40" i="20"/>
  <c r="T46" i="20"/>
  <c r="P46" i="20"/>
  <c r="L46" i="20"/>
  <c r="H46" i="20"/>
  <c r="D46" i="20"/>
  <c r="D42" i="20"/>
  <c r="D41" i="20"/>
  <c r="D40" i="20"/>
  <c r="S42" i="20"/>
  <c r="S41" i="20"/>
  <c r="S40" i="20"/>
  <c r="O42" i="20"/>
  <c r="O41" i="20"/>
  <c r="O40" i="20"/>
  <c r="K42" i="20"/>
  <c r="K41" i="20"/>
  <c r="K40" i="20"/>
  <c r="G42" i="20"/>
  <c r="G41" i="20"/>
  <c r="G40" i="20"/>
  <c r="C42" i="20"/>
  <c r="C41" i="20"/>
  <c r="C40" i="20"/>
  <c r="C43" i="2"/>
  <c r="C39" i="2"/>
  <c r="C38" i="2"/>
  <c r="C37" i="2"/>
  <c r="C43" i="5"/>
  <c r="C39" i="5"/>
  <c r="C38" i="5"/>
  <c r="C37" i="5"/>
  <c r="C43" i="7"/>
  <c r="C39" i="7"/>
  <c r="C38" i="7"/>
  <c r="C37" i="7"/>
  <c r="C43" i="18"/>
  <c r="D43" i="18"/>
  <c r="D39" i="18"/>
  <c r="D38" i="18"/>
  <c r="D37" i="18"/>
  <c r="J43" i="8"/>
  <c r="J39" i="8"/>
  <c r="J38" i="8"/>
  <c r="J37" i="8"/>
  <c r="G43" i="8"/>
  <c r="G39" i="8"/>
  <c r="G38" i="8"/>
  <c r="G37" i="8"/>
  <c r="M37" i="8"/>
  <c r="C39" i="8"/>
  <c r="C38" i="8"/>
  <c r="C37" i="8"/>
  <c r="D20" i="8"/>
  <c r="C20" i="8"/>
  <c r="D20" i="37"/>
  <c r="C20" i="37"/>
  <c r="D11" i="37"/>
  <c r="C11" i="37"/>
  <c r="D9" i="37"/>
  <c r="C9" i="37"/>
  <c r="E7" i="37"/>
  <c r="E6" i="37"/>
  <c r="O41" i="12"/>
  <c r="L41" i="12"/>
  <c r="C41" i="12"/>
  <c r="J44" i="12"/>
  <c r="I44" i="12"/>
  <c r="J43" i="12"/>
  <c r="J20" i="12"/>
  <c r="I20" i="12"/>
  <c r="J11" i="12"/>
  <c r="I11" i="12"/>
  <c r="J9" i="12"/>
  <c r="I9" i="12"/>
  <c r="G20" i="12"/>
  <c r="F20" i="12"/>
  <c r="G11" i="12"/>
  <c r="F11" i="12"/>
  <c r="G9" i="12"/>
  <c r="F9" i="12"/>
  <c r="D20" i="12"/>
  <c r="C20" i="12"/>
  <c r="D11" i="12"/>
  <c r="C11" i="12"/>
  <c r="D9" i="12"/>
  <c r="C9" i="12"/>
  <c r="C6" i="12"/>
  <c r="O43" i="12"/>
  <c r="L43" i="12"/>
  <c r="C43" i="12"/>
  <c r="O39" i="12"/>
  <c r="L39" i="12"/>
  <c r="O38" i="12"/>
  <c r="C38" i="12"/>
  <c r="C37" i="12"/>
  <c r="I43" i="12"/>
  <c r="I39" i="12"/>
  <c r="I38" i="12"/>
  <c r="F41" i="12"/>
  <c r="J13" i="30"/>
  <c r="J28" i="30"/>
  <c r="J27" i="30"/>
  <c r="J26" i="30"/>
  <c r="J25" i="30"/>
  <c r="J24" i="30"/>
  <c r="F43" i="12"/>
  <c r="F39" i="12"/>
  <c r="F38" i="12"/>
  <c r="F37" i="12"/>
  <c r="F28" i="30"/>
  <c r="F27" i="30"/>
  <c r="F26" i="30"/>
  <c r="F25" i="30"/>
  <c r="F24" i="30"/>
  <c r="F23" i="30"/>
  <c r="F22" i="30"/>
  <c r="V22" i="30"/>
  <c r="E6" i="27" l="1"/>
  <c r="C23" i="27"/>
  <c r="D80" i="27"/>
  <c r="C4" i="29"/>
  <c r="J29" i="30"/>
  <c r="F13" i="30"/>
  <c r="L38" i="12"/>
  <c r="F29" i="30"/>
  <c r="J83" i="30"/>
  <c r="R22" i="30"/>
  <c r="C80" i="27"/>
  <c r="D64" i="27"/>
  <c r="D42" i="27"/>
  <c r="D23" i="27"/>
  <c r="E42" i="27"/>
  <c r="E26" i="27"/>
  <c r="E23" i="27" s="1"/>
  <c r="C39" i="12"/>
  <c r="I37" i="12"/>
  <c r="O37" i="12"/>
  <c r="L37" i="12"/>
  <c r="J23" i="30"/>
  <c r="J22" i="30"/>
  <c r="C5" i="27" l="1"/>
  <c r="E64" i="27"/>
  <c r="E63" i="27" s="1"/>
  <c r="D63" i="27"/>
  <c r="E5" i="27" l="1"/>
  <c r="D5" i="27"/>
  <c r="K22" i="23" l="1"/>
  <c r="K117" i="27" l="1"/>
  <c r="L8" i="28" l="1"/>
  <c r="L21" i="28"/>
  <c r="L39" i="28"/>
  <c r="K114" i="27"/>
  <c r="K111" i="27"/>
  <c r="K109" i="27"/>
  <c r="K105" i="27"/>
  <c r="K99" i="27"/>
  <c r="K79" i="27"/>
  <c r="K78" i="27"/>
  <c r="K60" i="27"/>
  <c r="K38" i="27"/>
  <c r="K21" i="28" l="1"/>
  <c r="K39" i="28"/>
  <c r="K8" i="28"/>
  <c r="L5" i="28"/>
  <c r="L49" i="28" s="1"/>
  <c r="E8" i="36" l="1"/>
  <c r="E19" i="36" l="1"/>
  <c r="J109" i="27" l="1"/>
  <c r="J21" i="28" l="1"/>
  <c r="J8" i="28" l="1"/>
  <c r="J105" i="27"/>
  <c r="O22" i="28" l="1"/>
  <c r="L33" i="27" l="1"/>
  <c r="L117" i="27"/>
  <c r="L103" i="27"/>
  <c r="L105" i="27"/>
  <c r="L107" i="27"/>
  <c r="L109" i="27"/>
  <c r="L94" i="27"/>
  <c r="J99" i="27"/>
  <c r="J79" i="27"/>
  <c r="J78" i="27" s="1"/>
  <c r="J38" i="27"/>
  <c r="L99" i="27"/>
  <c r="L79" i="27"/>
  <c r="L78" i="27" s="1"/>
  <c r="L60" i="27"/>
  <c r="L38" i="27"/>
  <c r="J28" i="35" l="1"/>
  <c r="J31" i="35"/>
  <c r="J30" i="35" s="1"/>
  <c r="J24" i="35"/>
  <c r="I20" i="35"/>
  <c r="I19" i="35" s="1"/>
  <c r="I13" i="35"/>
  <c r="I10" i="35"/>
  <c r="I6" i="35"/>
  <c r="I5" i="35" l="1"/>
  <c r="I18" i="35" s="1"/>
  <c r="I3" i="35" s="1"/>
  <c r="J23" i="35"/>
  <c r="J34" i="35" s="1"/>
  <c r="J3" i="35" s="1"/>
  <c r="I38" i="27" l="1"/>
  <c r="XEK89" i="10" l="1"/>
  <c r="I79" i="27" l="1"/>
  <c r="I21" i="28"/>
  <c r="I78" i="27" l="1"/>
  <c r="I99" i="27"/>
  <c r="L22" i="16" l="1"/>
  <c r="H15" i="27" l="1"/>
  <c r="H13" i="27"/>
  <c r="H11" i="27"/>
  <c r="H10" i="27"/>
  <c r="H9" i="27"/>
  <c r="H8" i="27"/>
  <c r="H66" i="27"/>
  <c r="I66" i="27" s="1"/>
  <c r="H65" i="27"/>
  <c r="I65" i="27" s="1"/>
  <c r="H77" i="27"/>
  <c r="I77" i="27" s="1"/>
  <c r="K23" i="27" l="1"/>
  <c r="J23" i="27"/>
  <c r="L65" i="27"/>
  <c r="J65" i="27"/>
  <c r="K65" i="27" s="1"/>
  <c r="L6" i="27"/>
  <c r="L66" i="27"/>
  <c r="J66" i="27"/>
  <c r="K66" i="27" s="1"/>
  <c r="L77" i="27"/>
  <c r="J77" i="27"/>
  <c r="K77" i="27" s="1"/>
  <c r="L23" i="27"/>
  <c r="I23" i="27"/>
  <c r="J6" i="27" l="1"/>
  <c r="K6" i="27"/>
  <c r="K5" i="28" l="1"/>
  <c r="K49" i="28" s="1"/>
  <c r="H14" i="27" l="1"/>
  <c r="H99" i="27" l="1"/>
  <c r="F31" i="31" l="1"/>
  <c r="F28" i="31"/>
  <c r="F21" i="31"/>
  <c r="F18" i="31"/>
  <c r="F17" i="31" s="1"/>
  <c r="E14" i="31"/>
  <c r="E13" i="31" s="1"/>
  <c r="E5" i="31" l="1"/>
  <c r="E12" i="31" s="1"/>
  <c r="E3" i="31" s="1"/>
  <c r="F20" i="31"/>
  <c r="F33" i="31" s="1"/>
  <c r="F3" i="31" s="1"/>
  <c r="H28" i="35" l="1"/>
  <c r="H31" i="35"/>
  <c r="H30" i="35" s="1"/>
  <c r="H26" i="35"/>
  <c r="H24" i="35"/>
  <c r="G20" i="35"/>
  <c r="G19" i="35" s="1"/>
  <c r="G13" i="35"/>
  <c r="G10" i="35"/>
  <c r="G6" i="35"/>
  <c r="G5" i="35" l="1"/>
  <c r="G18" i="35" s="1"/>
  <c r="G3" i="35" s="1"/>
  <c r="H23" i="35"/>
  <c r="H34" i="35" s="1"/>
  <c r="H3" i="35" s="1"/>
  <c r="I60" i="27" l="1"/>
  <c r="J60" i="27"/>
  <c r="N15" i="8" l="1"/>
  <c r="G8" i="28" l="1"/>
  <c r="H8" i="28" s="1"/>
  <c r="I8" i="28" l="1"/>
  <c r="H12" i="27"/>
  <c r="J80" i="27" l="1"/>
  <c r="K80" i="27"/>
  <c r="I80" i="27"/>
  <c r="L80" i="27"/>
  <c r="L42" i="27"/>
  <c r="I42" i="27"/>
  <c r="H23" i="27"/>
  <c r="H7" i="27"/>
  <c r="J42" i="27" l="1"/>
  <c r="K42" i="27"/>
  <c r="I6" i="27"/>
  <c r="H6" i="27"/>
  <c r="Q83" i="27" l="1"/>
  <c r="Q81" i="27"/>
  <c r="Q80" i="27"/>
  <c r="Q87" i="27" l="1"/>
  <c r="O15" i="23" l="1"/>
  <c r="G23" i="27" l="1"/>
  <c r="G39" i="28" l="1"/>
  <c r="G63" i="27"/>
  <c r="H63" i="27" s="1"/>
  <c r="H39" i="28" l="1"/>
  <c r="J39" i="28" l="1"/>
  <c r="J5" i="28" s="1"/>
  <c r="J49" i="28" s="1"/>
  <c r="L63" i="27"/>
  <c r="L5" i="27" s="1"/>
  <c r="I39" i="28"/>
  <c r="I5" i="28" s="1"/>
  <c r="I49" i="28" s="1"/>
  <c r="I63" i="27"/>
  <c r="K63" i="27" l="1"/>
  <c r="J63" i="27"/>
  <c r="G81" i="27"/>
  <c r="V50" i="11" l="1"/>
  <c r="V96" i="10"/>
  <c r="V95" i="10"/>
  <c r="V59" i="10"/>
  <c r="V58" i="10"/>
  <c r="G118" i="27" l="1"/>
  <c r="H118" i="27" s="1"/>
  <c r="I118" i="27" s="1"/>
  <c r="J118" i="27" s="1"/>
  <c r="G115" i="27"/>
  <c r="H115" i="27" s="1"/>
  <c r="J114" i="27" s="1"/>
  <c r="H113" i="27"/>
  <c r="G112" i="27"/>
  <c r="H112" i="27" s="1"/>
  <c r="J111" i="27" s="1"/>
  <c r="G110" i="27"/>
  <c r="H110" i="27" s="1"/>
  <c r="I110" i="27" s="1"/>
  <c r="G108" i="27"/>
  <c r="H108" i="27" s="1"/>
  <c r="I108" i="27" s="1"/>
  <c r="J108" i="27" s="1"/>
  <c r="K108" i="27" s="1"/>
  <c r="G106" i="27"/>
  <c r="H106" i="27" s="1"/>
  <c r="I106" i="27" s="1"/>
  <c r="G104" i="27"/>
  <c r="H104" i="27" s="1"/>
  <c r="I104" i="27" s="1"/>
  <c r="J104" i="27" s="1"/>
  <c r="K104" i="27" s="1"/>
  <c r="I111" i="27" l="1"/>
  <c r="L111" i="27"/>
  <c r="I114" i="27"/>
  <c r="L114" i="27"/>
  <c r="G117" i="27"/>
  <c r="H117" i="27" s="1"/>
  <c r="I117" i="27" s="1"/>
  <c r="J117" i="27" s="1"/>
  <c r="G114" i="27"/>
  <c r="H114" i="27" s="1"/>
  <c r="G111" i="27"/>
  <c r="H111" i="27" s="1"/>
  <c r="G109" i="27"/>
  <c r="H109" i="27" s="1"/>
  <c r="I109" i="27" s="1"/>
  <c r="G107" i="27"/>
  <c r="H107" i="27" s="1"/>
  <c r="I107" i="27" s="1"/>
  <c r="J107" i="27" s="1"/>
  <c r="K107" i="27" s="1"/>
  <c r="G105" i="27"/>
  <c r="H105" i="27" s="1"/>
  <c r="I105" i="27" s="1"/>
  <c r="G103" i="27"/>
  <c r="H103" i="27" s="1"/>
  <c r="I103" i="27" s="1"/>
  <c r="J103" i="27" s="1"/>
  <c r="K103" i="27" s="1"/>
  <c r="G99" i="27"/>
  <c r="G94" i="27"/>
  <c r="H94" i="27" s="1"/>
  <c r="G80" i="27"/>
  <c r="G78" i="27"/>
  <c r="H78" i="27" s="1"/>
  <c r="G60" i="27"/>
  <c r="H60" i="27" s="1"/>
  <c r="H42" i="27"/>
  <c r="G38" i="27"/>
  <c r="H38" i="27" s="1"/>
  <c r="G33" i="27"/>
  <c r="H33" i="27" s="1"/>
  <c r="I33" i="27" s="1"/>
  <c r="G6" i="27"/>
  <c r="O6" i="12"/>
  <c r="J18" i="36"/>
  <c r="H15" i="36"/>
  <c r="H14" i="36"/>
  <c r="H13" i="36"/>
  <c r="H12" i="36"/>
  <c r="H11" i="36"/>
  <c r="H10" i="36"/>
  <c r="G8" i="36"/>
  <c r="F8" i="36"/>
  <c r="G21" i="28"/>
  <c r="J33" i="27" l="1"/>
  <c r="J5" i="27" s="1"/>
  <c r="I5" i="27"/>
  <c r="G5" i="27"/>
  <c r="K33" i="27"/>
  <c r="K5" i="27" s="1"/>
  <c r="H93" i="27"/>
  <c r="I94" i="27"/>
  <c r="J94" i="27" s="1"/>
  <c r="H18" i="36"/>
  <c r="H80" i="27"/>
  <c r="H5" i="27" s="1"/>
  <c r="G5" i="28"/>
  <c r="H21" i="28"/>
  <c r="H5" i="28" s="1"/>
  <c r="H49" i="28" s="1"/>
  <c r="F19" i="36"/>
  <c r="G93" i="27"/>
  <c r="G19" i="36"/>
  <c r="Q33" i="5"/>
  <c r="J93" i="27" l="1"/>
  <c r="J119" i="27" s="1"/>
  <c r="K94" i="27"/>
  <c r="K93" i="27" s="1"/>
  <c r="K119" i="27" s="1"/>
  <c r="I93" i="27"/>
  <c r="L93" i="27"/>
  <c r="L119" i="27" s="1"/>
  <c r="H119" i="27"/>
  <c r="G49" i="28"/>
  <c r="T15" i="23"/>
  <c r="G119" i="27"/>
  <c r="R58" i="10"/>
  <c r="R59" i="10"/>
  <c r="F111" i="27"/>
  <c r="F114" i="27"/>
  <c r="F99" i="27"/>
  <c r="F117" i="27"/>
  <c r="F109" i="27"/>
  <c r="F107" i="27"/>
  <c r="F105" i="27"/>
  <c r="F103" i="27"/>
  <c r="F80" i="27"/>
  <c r="R25" i="30"/>
  <c r="I119" i="27" l="1"/>
  <c r="F94" i="27"/>
  <c r="F93" i="27" s="1"/>
  <c r="F8" i="28" l="1"/>
  <c r="F21" i="28"/>
  <c r="F39" i="28"/>
  <c r="F42" i="27"/>
  <c r="F63" i="27"/>
  <c r="F6" i="27"/>
  <c r="F78" i="27"/>
  <c r="F60" i="27"/>
  <c r="F38" i="27"/>
  <c r="F33" i="27"/>
  <c r="R21" i="30"/>
  <c r="O22" i="23" l="1"/>
  <c r="P15" i="23"/>
  <c r="F23" i="27"/>
  <c r="F5" i="27" s="1"/>
  <c r="F5" i="28"/>
  <c r="F49" i="28" s="1"/>
  <c r="F119" i="27" l="1"/>
  <c r="R9" i="30"/>
  <c r="S49" i="11" l="1"/>
  <c r="S48" i="11" s="1"/>
  <c r="S56" i="11"/>
  <c r="S57" i="11"/>
  <c r="S31" i="11"/>
  <c r="S32" i="11"/>
  <c r="S33" i="11"/>
  <c r="S35" i="11"/>
  <c r="S37" i="11"/>
  <c r="S38" i="11"/>
  <c r="S40" i="11"/>
  <c r="S41" i="11"/>
  <c r="S7" i="11"/>
  <c r="S8" i="11"/>
  <c r="S15" i="11"/>
  <c r="S16" i="11"/>
  <c r="S27" i="11"/>
  <c r="S28" i="11"/>
  <c r="T49" i="11"/>
  <c r="T48" i="11" s="1"/>
  <c r="T56" i="11"/>
  <c r="T57" i="11"/>
  <c r="T31" i="11"/>
  <c r="T32" i="11"/>
  <c r="T33" i="11"/>
  <c r="T35" i="11"/>
  <c r="T37" i="11"/>
  <c r="T38" i="11"/>
  <c r="T40" i="11"/>
  <c r="T41" i="11"/>
  <c r="T7" i="11"/>
  <c r="T8" i="11"/>
  <c r="T15" i="11"/>
  <c r="T16" i="11"/>
  <c r="T27" i="11"/>
  <c r="U49" i="11"/>
  <c r="U48" i="11" s="1"/>
  <c r="U56" i="11"/>
  <c r="U57" i="11"/>
  <c r="U31" i="11"/>
  <c r="U32" i="11"/>
  <c r="U33" i="11"/>
  <c r="U35" i="11"/>
  <c r="U37" i="11"/>
  <c r="U38" i="11"/>
  <c r="U40" i="11"/>
  <c r="U41" i="11"/>
  <c r="U7" i="11"/>
  <c r="U8" i="11"/>
  <c r="U15" i="11"/>
  <c r="U16" i="11"/>
  <c r="U27" i="11"/>
  <c r="V59" i="11"/>
  <c r="V58" i="11"/>
  <c r="V55" i="11"/>
  <c r="V53" i="11"/>
  <c r="F21" i="16" s="1"/>
  <c r="V52" i="11"/>
  <c r="V51" i="11"/>
  <c r="O49" i="11"/>
  <c r="O48" i="11" s="1"/>
  <c r="O56" i="11"/>
  <c r="O57" i="11"/>
  <c r="O31" i="11"/>
  <c r="O32" i="11"/>
  <c r="O33" i="11"/>
  <c r="O35" i="11"/>
  <c r="O37" i="11"/>
  <c r="O38" i="11"/>
  <c r="O40" i="11"/>
  <c r="O41" i="11"/>
  <c r="O7" i="11"/>
  <c r="O8" i="11"/>
  <c r="O15" i="11"/>
  <c r="O16" i="11"/>
  <c r="O25" i="11"/>
  <c r="O27" i="11"/>
  <c r="O28" i="11"/>
  <c r="P49" i="11"/>
  <c r="P48" i="11" s="1"/>
  <c r="P56" i="11"/>
  <c r="P57" i="11"/>
  <c r="P31" i="11"/>
  <c r="P32" i="11"/>
  <c r="P33" i="11"/>
  <c r="P35" i="11"/>
  <c r="P37" i="11"/>
  <c r="P38" i="11"/>
  <c r="P40" i="11"/>
  <c r="P41" i="11"/>
  <c r="P7" i="11"/>
  <c r="P8" i="11"/>
  <c r="P15" i="11"/>
  <c r="P16" i="11"/>
  <c r="P27" i="11"/>
  <c r="Q49" i="11"/>
  <c r="Q48" i="11" s="1"/>
  <c r="Q56" i="11"/>
  <c r="Q57" i="11"/>
  <c r="R57" i="11" s="1"/>
  <c r="E24" i="16" s="1"/>
  <c r="Q31" i="11"/>
  <c r="Q32" i="11"/>
  <c r="Q33" i="11"/>
  <c r="Q35" i="11"/>
  <c r="Q37" i="11"/>
  <c r="Q38" i="11"/>
  <c r="Q40" i="11"/>
  <c r="Q41" i="11"/>
  <c r="Q7" i="11"/>
  <c r="Q8" i="11"/>
  <c r="Q15" i="11"/>
  <c r="Q16" i="11"/>
  <c r="Q27" i="11"/>
  <c r="R59" i="11"/>
  <c r="R58" i="11"/>
  <c r="R55" i="11"/>
  <c r="R53" i="11"/>
  <c r="E21" i="16" s="1"/>
  <c r="R52" i="11"/>
  <c r="R51" i="11"/>
  <c r="O43" i="2"/>
  <c r="O42" i="2" s="1"/>
  <c r="O41" i="2"/>
  <c r="O39" i="2"/>
  <c r="O38" i="2"/>
  <c r="O37" i="2"/>
  <c r="L41" i="2"/>
  <c r="L38" i="2"/>
  <c r="L37" i="2"/>
  <c r="O43" i="5"/>
  <c r="O42" i="5" s="1"/>
  <c r="O41" i="5"/>
  <c r="O39" i="5"/>
  <c r="O38" i="5"/>
  <c r="O37" i="5"/>
  <c r="L43" i="5"/>
  <c r="L41" i="5"/>
  <c r="L39" i="5"/>
  <c r="L38" i="5"/>
  <c r="L37" i="5"/>
  <c r="O43" i="7"/>
  <c r="O42" i="7" s="1"/>
  <c r="O41" i="7"/>
  <c r="O39" i="7"/>
  <c r="O38" i="7"/>
  <c r="O37" i="7"/>
  <c r="L43" i="7"/>
  <c r="L42" i="7" s="1"/>
  <c r="L41" i="7"/>
  <c r="L39" i="7"/>
  <c r="L38" i="7"/>
  <c r="L37" i="7"/>
  <c r="O41" i="18"/>
  <c r="Q41" i="18" s="1"/>
  <c r="O43" i="18"/>
  <c r="O39" i="18"/>
  <c r="O38" i="18"/>
  <c r="P43" i="18"/>
  <c r="P42" i="18" s="1"/>
  <c r="P39" i="18"/>
  <c r="P38" i="18"/>
  <c r="P37" i="18"/>
  <c r="O37" i="18"/>
  <c r="L43" i="18"/>
  <c r="L39" i="18"/>
  <c r="L38" i="18"/>
  <c r="L41" i="18"/>
  <c r="N41" i="18" s="1"/>
  <c r="L37" i="18"/>
  <c r="O41" i="14"/>
  <c r="Q41" i="14" s="1"/>
  <c r="O39" i="14"/>
  <c r="O38" i="14"/>
  <c r="O43" i="14"/>
  <c r="O42" i="14" s="1"/>
  <c r="P43" i="14"/>
  <c r="P39" i="14"/>
  <c r="P38" i="14"/>
  <c r="P37" i="14"/>
  <c r="O37" i="14"/>
  <c r="M43" i="14"/>
  <c r="M42" i="14" s="1"/>
  <c r="L43" i="14"/>
  <c r="L42" i="14" s="1"/>
  <c r="L38" i="14"/>
  <c r="L39" i="14"/>
  <c r="L41" i="14"/>
  <c r="N41" i="14" s="1"/>
  <c r="M39" i="14"/>
  <c r="M38" i="14"/>
  <c r="M37" i="14"/>
  <c r="L37" i="14"/>
  <c r="O43" i="8"/>
  <c r="O42" i="8" s="1"/>
  <c r="O41" i="8"/>
  <c r="Q41" i="8" s="1"/>
  <c r="O39" i="8"/>
  <c r="O38" i="8"/>
  <c r="O37" i="8"/>
  <c r="L43" i="8"/>
  <c r="L42" i="8" s="1"/>
  <c r="L41" i="8"/>
  <c r="N41" i="8" s="1"/>
  <c r="L39" i="8"/>
  <c r="L38" i="8"/>
  <c r="L37" i="8"/>
  <c r="N37" i="8" s="1"/>
  <c r="O43" i="37"/>
  <c r="O41" i="37"/>
  <c r="Q41" i="37" s="1"/>
  <c r="O39" i="37"/>
  <c r="O38" i="37"/>
  <c r="O37" i="37"/>
  <c r="L41" i="37"/>
  <c r="N41" i="37" s="1"/>
  <c r="L38" i="37"/>
  <c r="L37" i="37"/>
  <c r="S27" i="24"/>
  <c r="S28" i="24"/>
  <c r="S29" i="24"/>
  <c r="S30" i="24"/>
  <c r="S31" i="24"/>
  <c r="S33" i="24"/>
  <c r="S34" i="24"/>
  <c r="T27" i="24"/>
  <c r="T28" i="24"/>
  <c r="T29" i="24"/>
  <c r="T30" i="24"/>
  <c r="T31" i="24"/>
  <c r="T33" i="24"/>
  <c r="T34" i="24"/>
  <c r="U27" i="24"/>
  <c r="U28" i="24"/>
  <c r="U31" i="24"/>
  <c r="U33" i="24"/>
  <c r="U34" i="24"/>
  <c r="U32" i="24" s="1"/>
  <c r="V23" i="24"/>
  <c r="V22" i="24"/>
  <c r="V21" i="24"/>
  <c r="V20" i="24"/>
  <c r="V19" i="24"/>
  <c r="V14" i="24"/>
  <c r="V13" i="24"/>
  <c r="V12" i="24"/>
  <c r="V11" i="24"/>
  <c r="V10" i="24"/>
  <c r="O27" i="24"/>
  <c r="O28" i="24"/>
  <c r="O29" i="24"/>
  <c r="O30" i="24"/>
  <c r="O31" i="24"/>
  <c r="O33" i="24"/>
  <c r="O32" i="24" s="1"/>
  <c r="O34" i="24"/>
  <c r="P27" i="24"/>
  <c r="P28" i="24"/>
  <c r="P29" i="24"/>
  <c r="P30" i="24"/>
  <c r="P31" i="24"/>
  <c r="P33" i="24"/>
  <c r="P34" i="24"/>
  <c r="Q27" i="24"/>
  <c r="Q28" i="24"/>
  <c r="Q31" i="24"/>
  <c r="Q33" i="24"/>
  <c r="Q34" i="24"/>
  <c r="R23" i="24"/>
  <c r="R22" i="24"/>
  <c r="R21" i="24"/>
  <c r="R20" i="24"/>
  <c r="R19" i="24"/>
  <c r="R14" i="24"/>
  <c r="R13" i="24"/>
  <c r="R12" i="24"/>
  <c r="R11" i="24"/>
  <c r="R10" i="24"/>
  <c r="V91" i="30"/>
  <c r="R91" i="30"/>
  <c r="R78" i="30"/>
  <c r="R36" i="30"/>
  <c r="R35" i="30"/>
  <c r="R34" i="30"/>
  <c r="S41" i="30"/>
  <c r="R90" i="30"/>
  <c r="O41" i="30"/>
  <c r="S94" i="10"/>
  <c r="S100" i="10"/>
  <c r="S54" i="11" s="1"/>
  <c r="S105" i="10"/>
  <c r="S63" i="10"/>
  <c r="S69" i="10"/>
  <c r="S36" i="11" s="1"/>
  <c r="S78" i="10"/>
  <c r="S82" i="10"/>
  <c r="S7" i="10"/>
  <c r="S6" i="11" s="1"/>
  <c r="S18" i="10"/>
  <c r="S9" i="11" s="1"/>
  <c r="S26" i="10"/>
  <c r="S11" i="11" s="1"/>
  <c r="S29" i="10"/>
  <c r="S12" i="11" s="1"/>
  <c r="S32" i="10"/>
  <c r="S13" i="11" s="1"/>
  <c r="S36" i="10"/>
  <c r="S43" i="10"/>
  <c r="S19" i="11" s="1"/>
  <c r="S46" i="10"/>
  <c r="S51" i="10"/>
  <c r="S22" i="11" s="1"/>
  <c r="S55" i="10"/>
  <c r="T94" i="10"/>
  <c r="T100" i="10"/>
  <c r="T54" i="11" s="1"/>
  <c r="T105" i="10"/>
  <c r="T63" i="10"/>
  <c r="T69" i="10"/>
  <c r="T42" i="11"/>
  <c r="T82" i="10"/>
  <c r="T43" i="11" s="1"/>
  <c r="T7" i="10"/>
  <c r="T6" i="11" s="1"/>
  <c r="T18" i="10"/>
  <c r="T26" i="10"/>
  <c r="T11" i="11" s="1"/>
  <c r="T29" i="10"/>
  <c r="T12" i="11" s="1"/>
  <c r="T32" i="10"/>
  <c r="T13" i="11" s="1"/>
  <c r="T36" i="10"/>
  <c r="T43" i="10"/>
  <c r="T19" i="11" s="1"/>
  <c r="T46" i="10"/>
  <c r="T51" i="10"/>
  <c r="T57" i="10"/>
  <c r="T28" i="11" s="1"/>
  <c r="U94" i="10"/>
  <c r="U100" i="10"/>
  <c r="U54" i="11" s="1"/>
  <c r="U105" i="10"/>
  <c r="U63" i="10"/>
  <c r="U69" i="10"/>
  <c r="U67" i="10" s="1"/>
  <c r="U78" i="10"/>
  <c r="U42" i="11" s="1"/>
  <c r="U82" i="10"/>
  <c r="U7" i="10"/>
  <c r="U20" i="10"/>
  <c r="U18" i="10" s="1"/>
  <c r="U26" i="10"/>
  <c r="U11" i="11" s="1"/>
  <c r="U29" i="10"/>
  <c r="U32" i="10"/>
  <c r="U13" i="11" s="1"/>
  <c r="U36" i="10"/>
  <c r="U43" i="10"/>
  <c r="U19" i="11" s="1"/>
  <c r="U46" i="10"/>
  <c r="U51" i="10"/>
  <c r="U22" i="11" s="1"/>
  <c r="U55" i="10"/>
  <c r="V107" i="10"/>
  <c r="V106" i="10"/>
  <c r="V103" i="10"/>
  <c r="V102" i="10"/>
  <c r="V101" i="10"/>
  <c r="V99" i="10"/>
  <c r="V98" i="10"/>
  <c r="V97" i="10"/>
  <c r="V88" i="10"/>
  <c r="V87" i="10"/>
  <c r="V86" i="10"/>
  <c r="V85" i="10"/>
  <c r="V84" i="10"/>
  <c r="V83" i="10"/>
  <c r="V81" i="10"/>
  <c r="V80" i="10"/>
  <c r="V79" i="10"/>
  <c r="V77" i="10"/>
  <c r="V76" i="10"/>
  <c r="V74" i="10"/>
  <c r="V73" i="10"/>
  <c r="V72" i="10"/>
  <c r="V71" i="10"/>
  <c r="V70" i="10"/>
  <c r="V68" i="10"/>
  <c r="V66" i="10"/>
  <c r="V65" i="10"/>
  <c r="V64" i="10"/>
  <c r="V60" i="10"/>
  <c r="V57" i="10" s="1"/>
  <c r="V56" i="10"/>
  <c r="V54" i="10"/>
  <c r="V53" i="10"/>
  <c r="V52" i="10"/>
  <c r="V50" i="10"/>
  <c r="V49" i="10"/>
  <c r="V48" i="10"/>
  <c r="V47" i="10"/>
  <c r="V45" i="10"/>
  <c r="V44" i="10"/>
  <c r="V42" i="10"/>
  <c r="V40" i="10"/>
  <c r="V39" i="10"/>
  <c r="V38" i="10"/>
  <c r="V37" i="10"/>
  <c r="V35" i="10"/>
  <c r="V34" i="10"/>
  <c r="V33" i="10"/>
  <c r="V31" i="10"/>
  <c r="V30" i="10"/>
  <c r="V28" i="10"/>
  <c r="V27" i="10"/>
  <c r="V24" i="10"/>
  <c r="V23" i="10"/>
  <c r="V22" i="10"/>
  <c r="V21" i="10"/>
  <c r="V20" i="10"/>
  <c r="V19" i="10"/>
  <c r="V17" i="10"/>
  <c r="V16" i="10"/>
  <c r="V14" i="10"/>
  <c r="V13" i="10"/>
  <c r="V12" i="10"/>
  <c r="V11" i="10"/>
  <c r="V10" i="10"/>
  <c r="V9" i="10"/>
  <c r="V8" i="10"/>
  <c r="O94" i="10"/>
  <c r="O100" i="10"/>
  <c r="O105" i="10"/>
  <c r="O63" i="10"/>
  <c r="O69" i="10"/>
  <c r="O67" i="10" s="1"/>
  <c r="O42" i="11"/>
  <c r="O43" i="11"/>
  <c r="O7" i="10"/>
  <c r="O6" i="11" s="1"/>
  <c r="O9" i="11"/>
  <c r="O26" i="10"/>
  <c r="O11" i="11" s="1"/>
  <c r="O29" i="10"/>
  <c r="O12" i="11" s="1"/>
  <c r="O32" i="10"/>
  <c r="O36" i="10"/>
  <c r="O46" i="10"/>
  <c r="O22" i="11"/>
  <c r="O55" i="10"/>
  <c r="P94" i="10"/>
  <c r="P100" i="10"/>
  <c r="P54" i="11" s="1"/>
  <c r="P105" i="10"/>
  <c r="P63" i="10"/>
  <c r="P69" i="10"/>
  <c r="P36" i="11" s="1"/>
  <c r="P78" i="10"/>
  <c r="P82" i="10"/>
  <c r="P43" i="11" s="1"/>
  <c r="P7" i="10"/>
  <c r="P6" i="11" s="1"/>
  <c r="P18" i="10"/>
  <c r="P26" i="10"/>
  <c r="P11" i="11" s="1"/>
  <c r="P29" i="10"/>
  <c r="P12" i="11" s="1"/>
  <c r="P32" i="10"/>
  <c r="P13" i="11" s="1"/>
  <c r="P36" i="10"/>
  <c r="P43" i="10"/>
  <c r="P19" i="11" s="1"/>
  <c r="P46" i="10"/>
  <c r="P51" i="10"/>
  <c r="P57" i="10"/>
  <c r="P55" i="10" s="1"/>
  <c r="Q94" i="10"/>
  <c r="Q100" i="10"/>
  <c r="Q54" i="11" s="1"/>
  <c r="Q105" i="10"/>
  <c r="Q63" i="10"/>
  <c r="Q69" i="10"/>
  <c r="Q36" i="11" s="1"/>
  <c r="Q78" i="10"/>
  <c r="Q82" i="10"/>
  <c r="Q43" i="11" s="1"/>
  <c r="Q7" i="10"/>
  <c r="Q6" i="11" s="1"/>
  <c r="Q20" i="10"/>
  <c r="Q18" i="10" s="1"/>
  <c r="Q9" i="11" s="1"/>
  <c r="Q26" i="10"/>
  <c r="Q11" i="11" s="1"/>
  <c r="Q29" i="10"/>
  <c r="Q12" i="11" s="1"/>
  <c r="Q32" i="10"/>
  <c r="Q13" i="11" s="1"/>
  <c r="Q36" i="10"/>
  <c r="Q43" i="10"/>
  <c r="Q19" i="11" s="1"/>
  <c r="Q46" i="10"/>
  <c r="Q51" i="10"/>
  <c r="Q22" i="11" s="1"/>
  <c r="Q55" i="10"/>
  <c r="R107" i="10"/>
  <c r="R106" i="10"/>
  <c r="R103" i="10"/>
  <c r="R102" i="10"/>
  <c r="R101" i="10"/>
  <c r="R99" i="10"/>
  <c r="R98" i="10"/>
  <c r="R97" i="10"/>
  <c r="R87" i="10"/>
  <c r="R86" i="10"/>
  <c r="R85" i="10"/>
  <c r="R84" i="10"/>
  <c r="R83" i="10"/>
  <c r="R81" i="10"/>
  <c r="R80" i="10"/>
  <c r="R79" i="10"/>
  <c r="R77" i="10"/>
  <c r="R76" i="10"/>
  <c r="R74" i="10"/>
  <c r="R73" i="10"/>
  <c r="R72" i="10"/>
  <c r="R71" i="10"/>
  <c r="R70" i="10"/>
  <c r="R68" i="10"/>
  <c r="R66" i="10"/>
  <c r="R65" i="10"/>
  <c r="R64" i="10"/>
  <c r="R60" i="10"/>
  <c r="R57" i="10" s="1"/>
  <c r="R56" i="10"/>
  <c r="R54" i="10"/>
  <c r="R53" i="10"/>
  <c r="R52" i="10"/>
  <c r="R50" i="10"/>
  <c r="R49" i="10"/>
  <c r="R48" i="10"/>
  <c r="R47" i="10"/>
  <c r="R45" i="10"/>
  <c r="R44" i="10"/>
  <c r="R42" i="10"/>
  <c r="R40" i="10"/>
  <c r="R39" i="10"/>
  <c r="R38" i="10"/>
  <c r="R37" i="10"/>
  <c r="R35" i="10"/>
  <c r="R34" i="10"/>
  <c r="R33" i="10"/>
  <c r="R31" i="10"/>
  <c r="R30" i="10"/>
  <c r="R28" i="10"/>
  <c r="R27" i="10"/>
  <c r="R24" i="10"/>
  <c r="R23" i="10"/>
  <c r="R22" i="10"/>
  <c r="R21" i="10"/>
  <c r="R19" i="10"/>
  <c r="R17" i="10"/>
  <c r="R16" i="10"/>
  <c r="R14" i="10"/>
  <c r="R13" i="10"/>
  <c r="R12" i="10"/>
  <c r="R11" i="10"/>
  <c r="R10" i="10"/>
  <c r="R9" i="10"/>
  <c r="R8" i="10"/>
  <c r="U39" i="23"/>
  <c r="U30" i="24" s="1"/>
  <c r="Q39" i="23"/>
  <c r="Q30" i="24" s="1"/>
  <c r="P38" i="23"/>
  <c r="P32" i="23" s="1"/>
  <c r="S18" i="23"/>
  <c r="V18" i="23" s="1"/>
  <c r="P23" i="23"/>
  <c r="P11" i="23"/>
  <c r="F4" i="29"/>
  <c r="F26" i="29"/>
  <c r="S20" i="23" s="1"/>
  <c r="E26" i="29"/>
  <c r="O20" i="23" s="1"/>
  <c r="O18" i="23"/>
  <c r="R18" i="23" s="1"/>
  <c r="P9" i="23"/>
  <c r="O29" i="23"/>
  <c r="R29" i="23" s="1"/>
  <c r="O23" i="23"/>
  <c r="O10" i="23"/>
  <c r="O9" i="23"/>
  <c r="O8" i="23"/>
  <c r="S32" i="23"/>
  <c r="S41" i="23"/>
  <c r="T32" i="23"/>
  <c r="T41" i="23"/>
  <c r="T24" i="23"/>
  <c r="T20" i="23"/>
  <c r="T17" i="23" s="1"/>
  <c r="U41" i="23"/>
  <c r="U24" i="23"/>
  <c r="U19" i="23"/>
  <c r="U20" i="23"/>
  <c r="V43" i="23"/>
  <c r="V42" i="23"/>
  <c r="V40" i="23"/>
  <c r="V36" i="23"/>
  <c r="V35" i="23"/>
  <c r="V34" i="23"/>
  <c r="V33" i="23"/>
  <c r="V28" i="23"/>
  <c r="V27" i="23"/>
  <c r="V26" i="23"/>
  <c r="V25" i="23"/>
  <c r="V14" i="23"/>
  <c r="V6" i="23"/>
  <c r="H6" i="36" s="1"/>
  <c r="V5" i="23"/>
  <c r="D6" i="36" s="1"/>
  <c r="O32" i="23"/>
  <c r="O41" i="23"/>
  <c r="P41" i="23"/>
  <c r="P24" i="23"/>
  <c r="P17" i="23"/>
  <c r="Q41" i="23"/>
  <c r="Q24" i="23"/>
  <c r="Q19" i="23"/>
  <c r="Q20" i="23"/>
  <c r="R43" i="23"/>
  <c r="R42" i="23"/>
  <c r="R40" i="23"/>
  <c r="R36" i="23"/>
  <c r="R35" i="23"/>
  <c r="R34" i="23"/>
  <c r="R33" i="23"/>
  <c r="R28" i="23"/>
  <c r="R27" i="23"/>
  <c r="R26" i="23"/>
  <c r="R25" i="23"/>
  <c r="R14" i="23"/>
  <c r="R6" i="23"/>
  <c r="R5" i="23"/>
  <c r="U37" i="23"/>
  <c r="U29" i="24" s="1"/>
  <c r="V82" i="30"/>
  <c r="V80" i="30"/>
  <c r="V75" i="30"/>
  <c r="V81" i="30"/>
  <c r="V77" i="30"/>
  <c r="T8" i="23"/>
  <c r="T11" i="23"/>
  <c r="V70" i="30"/>
  <c r="V69" i="30"/>
  <c r="V68" i="30"/>
  <c r="V67" i="30"/>
  <c r="V66" i="30"/>
  <c r="V65" i="30"/>
  <c r="V64" i="30"/>
  <c r="V63" i="30"/>
  <c r="V62" i="30"/>
  <c r="V61" i="30"/>
  <c r="V60" i="30"/>
  <c r="V59" i="30"/>
  <c r="V15" i="23"/>
  <c r="V57" i="30"/>
  <c r="V56" i="30"/>
  <c r="T9" i="23"/>
  <c r="V54" i="30"/>
  <c r="V53" i="30"/>
  <c r="V52" i="30"/>
  <c r="V51" i="30"/>
  <c r="V50" i="30"/>
  <c r="V49" i="30"/>
  <c r="V48" i="30"/>
  <c r="V47" i="30"/>
  <c r="V46" i="30"/>
  <c r="V45" i="30"/>
  <c r="V44" i="30"/>
  <c r="V43" i="30"/>
  <c r="V19" i="30"/>
  <c r="Q37" i="23"/>
  <c r="Q29" i="24" s="1"/>
  <c r="R82" i="30"/>
  <c r="R80" i="30"/>
  <c r="R81" i="30"/>
  <c r="R77" i="30"/>
  <c r="P22" i="23"/>
  <c r="R73" i="30"/>
  <c r="R72" i="30"/>
  <c r="R71" i="30"/>
  <c r="R70" i="30"/>
  <c r="R69" i="30"/>
  <c r="R68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3" i="30"/>
  <c r="R52" i="30"/>
  <c r="R51" i="30"/>
  <c r="R50" i="30"/>
  <c r="R49" i="30"/>
  <c r="R48" i="30"/>
  <c r="R47" i="30"/>
  <c r="R46" i="30"/>
  <c r="R45" i="30"/>
  <c r="R44" i="30"/>
  <c r="R42" i="30"/>
  <c r="R19" i="30"/>
  <c r="R14" i="30"/>
  <c r="R11" i="30"/>
  <c r="R10" i="30"/>
  <c r="R8" i="30"/>
  <c r="S43" i="20"/>
  <c r="S8" i="24" s="1"/>
  <c r="S44" i="20"/>
  <c r="S46" i="20"/>
  <c r="S47" i="20"/>
  <c r="S48" i="20"/>
  <c r="T43" i="20"/>
  <c r="T44" i="20"/>
  <c r="T47" i="20"/>
  <c r="T48" i="20"/>
  <c r="U40" i="20"/>
  <c r="U41" i="20"/>
  <c r="U42" i="20"/>
  <c r="U43" i="20"/>
  <c r="U44" i="20"/>
  <c r="U46" i="20"/>
  <c r="U47" i="20"/>
  <c r="U48" i="20"/>
  <c r="U18" i="24" s="1"/>
  <c r="S26" i="20"/>
  <c r="S28" i="20"/>
  <c r="S31" i="20"/>
  <c r="S9" i="20"/>
  <c r="S11" i="20"/>
  <c r="S15" i="20"/>
  <c r="S18" i="11" s="1"/>
  <c r="S17" i="20"/>
  <c r="S18" i="20"/>
  <c r="S21" i="11" s="1"/>
  <c r="S20" i="20"/>
  <c r="S21" i="20"/>
  <c r="S24" i="11" s="1"/>
  <c r="S22" i="20"/>
  <c r="S25" i="11" s="1"/>
  <c r="T26" i="20"/>
  <c r="T28" i="20"/>
  <c r="T31" i="20"/>
  <c r="T9" i="20"/>
  <c r="T11" i="20"/>
  <c r="T15" i="20"/>
  <c r="T17" i="20"/>
  <c r="T18" i="20"/>
  <c r="T20" i="20"/>
  <c r="T23" i="11" s="1"/>
  <c r="T21" i="20"/>
  <c r="T24" i="11" s="1"/>
  <c r="T22" i="20"/>
  <c r="T25" i="11" s="1"/>
  <c r="U26" i="20"/>
  <c r="U28" i="20"/>
  <c r="U31" i="20"/>
  <c r="U9" i="20"/>
  <c r="U11" i="20"/>
  <c r="U15" i="20"/>
  <c r="U18" i="11" s="1"/>
  <c r="U17" i="20"/>
  <c r="U18" i="20"/>
  <c r="U21" i="11" s="1"/>
  <c r="U20" i="20"/>
  <c r="U23" i="11" s="1"/>
  <c r="U21" i="20"/>
  <c r="U24" i="11" s="1"/>
  <c r="U22" i="20"/>
  <c r="U25" i="11" s="1"/>
  <c r="V36" i="20"/>
  <c r="V32" i="20"/>
  <c r="V30" i="20"/>
  <c r="V29" i="20"/>
  <c r="V27" i="20"/>
  <c r="V24" i="20"/>
  <c r="S23" i="20"/>
  <c r="T23" i="20"/>
  <c r="U23" i="20"/>
  <c r="V19" i="20"/>
  <c r="V16" i="20"/>
  <c r="V13" i="20"/>
  <c r="V12" i="20"/>
  <c r="V10" i="20"/>
  <c r="V7" i="20"/>
  <c r="J7" i="36" s="1"/>
  <c r="J8" i="36" s="1"/>
  <c r="J19" i="36" s="1"/>
  <c r="V6" i="20"/>
  <c r="H7" i="36" s="1"/>
  <c r="V5" i="20"/>
  <c r="D7" i="36" s="1"/>
  <c r="O43" i="20"/>
  <c r="O8" i="24" s="1"/>
  <c r="O44" i="20"/>
  <c r="O46" i="20"/>
  <c r="O47" i="20"/>
  <c r="O48" i="20"/>
  <c r="P43" i="20"/>
  <c r="P44" i="20"/>
  <c r="P47" i="20"/>
  <c r="P48" i="20"/>
  <c r="Q40" i="20"/>
  <c r="Q5" i="24" s="1"/>
  <c r="Q41" i="20"/>
  <c r="Q6" i="24" s="1"/>
  <c r="Q42" i="20"/>
  <c r="Q7" i="24" s="1"/>
  <c r="Q43" i="20"/>
  <c r="Q8" i="24" s="1"/>
  <c r="Q44" i="20"/>
  <c r="Q46" i="20"/>
  <c r="Q16" i="24" s="1"/>
  <c r="Q47" i="20"/>
  <c r="Q17" i="24" s="1"/>
  <c r="Q48" i="20"/>
  <c r="Q18" i="24" s="1"/>
  <c r="O26" i="20"/>
  <c r="O28" i="20"/>
  <c r="O31" i="20"/>
  <c r="O9" i="20"/>
  <c r="O11" i="20"/>
  <c r="O15" i="20"/>
  <c r="O18" i="11" s="1"/>
  <c r="O17" i="20"/>
  <c r="O18" i="20"/>
  <c r="O21" i="11" s="1"/>
  <c r="O20" i="20"/>
  <c r="O21" i="20"/>
  <c r="O24" i="11" s="1"/>
  <c r="P26" i="20"/>
  <c r="P28" i="20"/>
  <c r="P31" i="20"/>
  <c r="P9" i="20"/>
  <c r="P11" i="20"/>
  <c r="P15" i="20"/>
  <c r="P18" i="11" s="1"/>
  <c r="P17" i="20"/>
  <c r="P18" i="20"/>
  <c r="P21" i="11" s="1"/>
  <c r="P20" i="20"/>
  <c r="P21" i="20"/>
  <c r="P24" i="11" s="1"/>
  <c r="P22" i="20"/>
  <c r="Q26" i="20"/>
  <c r="Q28" i="20"/>
  <c r="Q31" i="20"/>
  <c r="Q9" i="20"/>
  <c r="Q11" i="20"/>
  <c r="Q15" i="20"/>
  <c r="Q18" i="11" s="1"/>
  <c r="Q17" i="20"/>
  <c r="Q18" i="20"/>
  <c r="Q21" i="11" s="1"/>
  <c r="Q20" i="20"/>
  <c r="Q23" i="11" s="1"/>
  <c r="Q21" i="20"/>
  <c r="Q24" i="11" s="1"/>
  <c r="Q22" i="20"/>
  <c r="Q25" i="11" s="1"/>
  <c r="R36" i="20"/>
  <c r="R32" i="20"/>
  <c r="R30" i="20"/>
  <c r="R29" i="20"/>
  <c r="R27" i="20"/>
  <c r="R24" i="20"/>
  <c r="O23" i="20"/>
  <c r="P23" i="20"/>
  <c r="Q23" i="20"/>
  <c r="R19" i="20"/>
  <c r="R16" i="20"/>
  <c r="R13" i="20"/>
  <c r="R12" i="20"/>
  <c r="R10" i="20"/>
  <c r="R7" i="20"/>
  <c r="R6" i="20"/>
  <c r="R5" i="20"/>
  <c r="V88" i="30"/>
  <c r="V87" i="30"/>
  <c r="R88" i="30"/>
  <c r="R87" i="30"/>
  <c r="R74" i="30"/>
  <c r="O20" i="30"/>
  <c r="Q41" i="12"/>
  <c r="N41" i="12"/>
  <c r="Q45" i="12"/>
  <c r="Q40" i="12"/>
  <c r="O23" i="12"/>
  <c r="O25" i="12"/>
  <c r="O28" i="12"/>
  <c r="O9" i="12"/>
  <c r="O11" i="12"/>
  <c r="O20" i="12"/>
  <c r="P23" i="12"/>
  <c r="P25" i="12"/>
  <c r="P28" i="12"/>
  <c r="P9" i="12"/>
  <c r="P11" i="12"/>
  <c r="P20" i="12"/>
  <c r="Q33" i="12"/>
  <c r="Q29" i="12"/>
  <c r="Q27" i="12"/>
  <c r="Q26" i="12"/>
  <c r="Q24" i="12"/>
  <c r="Q21" i="12"/>
  <c r="Q19" i="12"/>
  <c r="Q18" i="12"/>
  <c r="Q17" i="12"/>
  <c r="Q16" i="12"/>
  <c r="Q15" i="12"/>
  <c r="Q14" i="12"/>
  <c r="Q13" i="12"/>
  <c r="Q12" i="12"/>
  <c r="Q10" i="12"/>
  <c r="Q7" i="12"/>
  <c r="Q6" i="12"/>
  <c r="M42" i="12"/>
  <c r="N45" i="12"/>
  <c r="N40" i="12"/>
  <c r="L23" i="12"/>
  <c r="L25" i="12"/>
  <c r="L28" i="12"/>
  <c r="L9" i="12"/>
  <c r="L11" i="12"/>
  <c r="L20" i="12"/>
  <c r="M23" i="12"/>
  <c r="M25" i="12"/>
  <c r="M28" i="12"/>
  <c r="M9" i="12"/>
  <c r="M11" i="12"/>
  <c r="M20" i="12"/>
  <c r="N33" i="12"/>
  <c r="N29" i="12"/>
  <c r="N27" i="12"/>
  <c r="N26" i="12"/>
  <c r="N24" i="12"/>
  <c r="N21" i="12"/>
  <c r="N19" i="12"/>
  <c r="N18" i="12"/>
  <c r="N17" i="12"/>
  <c r="N16" i="12"/>
  <c r="N15" i="12"/>
  <c r="N14" i="12"/>
  <c r="N13" i="12"/>
  <c r="N12" i="12"/>
  <c r="N10" i="12"/>
  <c r="N7" i="12"/>
  <c r="L6" i="12"/>
  <c r="N6" i="12" s="1"/>
  <c r="P41" i="2"/>
  <c r="P39" i="2"/>
  <c r="P38" i="2"/>
  <c r="P37" i="2"/>
  <c r="P43" i="2"/>
  <c r="M41" i="2"/>
  <c r="M39" i="2"/>
  <c r="M38" i="2"/>
  <c r="M37" i="2"/>
  <c r="M43" i="2"/>
  <c r="Q45" i="2"/>
  <c r="Q44" i="2"/>
  <c r="Q40" i="2"/>
  <c r="O9" i="2"/>
  <c r="O11" i="2"/>
  <c r="O20" i="2"/>
  <c r="O23" i="2"/>
  <c r="O25" i="2"/>
  <c r="O28" i="2"/>
  <c r="P9" i="2"/>
  <c r="P11" i="2"/>
  <c r="P20" i="2"/>
  <c r="P23" i="2"/>
  <c r="P25" i="2"/>
  <c r="P28" i="2"/>
  <c r="Q33" i="2"/>
  <c r="Q29" i="2"/>
  <c r="Q27" i="2"/>
  <c r="Q26" i="2"/>
  <c r="Q24" i="2"/>
  <c r="Q21" i="2"/>
  <c r="Q19" i="2"/>
  <c r="Q18" i="2"/>
  <c r="Q17" i="2"/>
  <c r="Q16" i="2"/>
  <c r="Q15" i="2"/>
  <c r="Q14" i="2"/>
  <c r="Q13" i="2"/>
  <c r="Q12" i="2"/>
  <c r="Q10" i="2"/>
  <c r="Q7" i="2"/>
  <c r="Q6" i="2"/>
  <c r="D10" i="36" s="1"/>
  <c r="N45" i="2"/>
  <c r="N44" i="2"/>
  <c r="N40" i="2"/>
  <c r="L9" i="2"/>
  <c r="L11" i="2"/>
  <c r="L20" i="2"/>
  <c r="L23" i="2"/>
  <c r="L25" i="2"/>
  <c r="L28" i="2"/>
  <c r="M9" i="2"/>
  <c r="M11" i="2"/>
  <c r="M20" i="2"/>
  <c r="M23" i="2"/>
  <c r="M25" i="2"/>
  <c r="M28" i="2"/>
  <c r="N33" i="2"/>
  <c r="N29" i="2"/>
  <c r="N27" i="2"/>
  <c r="N26" i="2"/>
  <c r="N24" i="2"/>
  <c r="N21" i="2"/>
  <c r="N19" i="2"/>
  <c r="N18" i="2"/>
  <c r="N17" i="2"/>
  <c r="N16" i="2"/>
  <c r="N15" i="2"/>
  <c r="N14" i="2"/>
  <c r="N13" i="2"/>
  <c r="N12" i="2"/>
  <c r="N10" i="2"/>
  <c r="N7" i="2"/>
  <c r="N6" i="2"/>
  <c r="P41" i="5"/>
  <c r="P39" i="5"/>
  <c r="P38" i="5"/>
  <c r="P37" i="5"/>
  <c r="P43" i="5"/>
  <c r="P42" i="5" s="1"/>
  <c r="M41" i="5"/>
  <c r="M39" i="5"/>
  <c r="M38" i="5"/>
  <c r="M37" i="5"/>
  <c r="M43" i="5"/>
  <c r="M42" i="5" s="1"/>
  <c r="Q45" i="5"/>
  <c r="Q44" i="5"/>
  <c r="Q40" i="5"/>
  <c r="O9" i="5"/>
  <c r="O11" i="5"/>
  <c r="O20" i="5"/>
  <c r="O23" i="5"/>
  <c r="O25" i="5"/>
  <c r="O28" i="5"/>
  <c r="P9" i="5"/>
  <c r="P11" i="5"/>
  <c r="P20" i="5"/>
  <c r="P23" i="5"/>
  <c r="P25" i="5"/>
  <c r="P28" i="5"/>
  <c r="Q29" i="5"/>
  <c r="Q27" i="5"/>
  <c r="Q26" i="5"/>
  <c r="Q24" i="5"/>
  <c r="Q21" i="5"/>
  <c r="Q19" i="5"/>
  <c r="Q18" i="5"/>
  <c r="Q17" i="5"/>
  <c r="Q16" i="5"/>
  <c r="Q15" i="5"/>
  <c r="Q14" i="5"/>
  <c r="Q13" i="5"/>
  <c r="Q12" i="5"/>
  <c r="Q10" i="5"/>
  <c r="Q7" i="5"/>
  <c r="Q6" i="5"/>
  <c r="D11" i="36" s="1"/>
  <c r="N45" i="5"/>
  <c r="N44" i="5"/>
  <c r="N40" i="5"/>
  <c r="L9" i="5"/>
  <c r="L11" i="5"/>
  <c r="L20" i="5"/>
  <c r="L23" i="5"/>
  <c r="L25" i="5"/>
  <c r="L28" i="5"/>
  <c r="M9" i="5"/>
  <c r="M11" i="5"/>
  <c r="M20" i="5"/>
  <c r="M23" i="5"/>
  <c r="M25" i="5"/>
  <c r="M28" i="5"/>
  <c r="N33" i="5"/>
  <c r="N29" i="5"/>
  <c r="N27" i="5"/>
  <c r="N26" i="5"/>
  <c r="N24" i="5"/>
  <c r="N21" i="5"/>
  <c r="N19" i="5"/>
  <c r="N18" i="5"/>
  <c r="N17" i="5"/>
  <c r="N16" i="5"/>
  <c r="N15" i="5"/>
  <c r="N14" i="5"/>
  <c r="N13" i="5"/>
  <c r="N12" i="5"/>
  <c r="N10" i="5"/>
  <c r="N7" i="5"/>
  <c r="N6" i="5"/>
  <c r="P41" i="7"/>
  <c r="P39" i="7"/>
  <c r="P38" i="7"/>
  <c r="P37" i="7"/>
  <c r="P43" i="7"/>
  <c r="M41" i="7"/>
  <c r="M39" i="7"/>
  <c r="M38" i="7"/>
  <c r="M37" i="7"/>
  <c r="M43" i="7"/>
  <c r="Q45" i="7"/>
  <c r="Q44" i="7"/>
  <c r="Q40" i="7"/>
  <c r="O23" i="7"/>
  <c r="O25" i="7"/>
  <c r="O28" i="7"/>
  <c r="O9" i="7"/>
  <c r="O11" i="7"/>
  <c r="O20" i="7"/>
  <c r="P23" i="7"/>
  <c r="P25" i="7"/>
  <c r="P28" i="7"/>
  <c r="P9" i="7"/>
  <c r="P11" i="7"/>
  <c r="P20" i="7"/>
  <c r="Q33" i="7"/>
  <c r="Q29" i="7"/>
  <c r="Q27" i="7"/>
  <c r="Q26" i="7"/>
  <c r="Q24" i="7"/>
  <c r="Q21" i="7"/>
  <c r="Q19" i="7"/>
  <c r="Q18" i="7"/>
  <c r="Q17" i="7"/>
  <c r="Q16" i="7"/>
  <c r="Q15" i="7"/>
  <c r="Q14" i="7"/>
  <c r="Q13" i="7"/>
  <c r="Q12" i="7"/>
  <c r="Q10" i="7"/>
  <c r="Q7" i="7"/>
  <c r="Q6" i="7"/>
  <c r="D12" i="36" s="1"/>
  <c r="N45" i="7"/>
  <c r="N44" i="7"/>
  <c r="N40" i="7"/>
  <c r="L23" i="7"/>
  <c r="L25" i="7"/>
  <c r="L28" i="7"/>
  <c r="L9" i="7"/>
  <c r="L11" i="7"/>
  <c r="L20" i="7"/>
  <c r="M23" i="7"/>
  <c r="M25" i="7"/>
  <c r="M28" i="7"/>
  <c r="M9" i="7"/>
  <c r="M11" i="7"/>
  <c r="M20" i="7"/>
  <c r="N33" i="7"/>
  <c r="N29" i="7"/>
  <c r="N27" i="7"/>
  <c r="N26" i="7"/>
  <c r="N24" i="7"/>
  <c r="N21" i="7"/>
  <c r="N19" i="7"/>
  <c r="N18" i="7"/>
  <c r="N17" i="7"/>
  <c r="N16" i="7"/>
  <c r="N15" i="7"/>
  <c r="N14" i="7"/>
  <c r="N13" i="7"/>
  <c r="N12" i="7"/>
  <c r="N10" i="7"/>
  <c r="N7" i="7"/>
  <c r="N6" i="7"/>
  <c r="M43" i="18"/>
  <c r="M42" i="18" s="1"/>
  <c r="Q45" i="18"/>
  <c r="Q44" i="18"/>
  <c r="Q40" i="18"/>
  <c r="O9" i="18"/>
  <c r="O11" i="18"/>
  <c r="O20" i="18"/>
  <c r="O23" i="18"/>
  <c r="O25" i="18"/>
  <c r="O28" i="18"/>
  <c r="P9" i="18"/>
  <c r="P11" i="18"/>
  <c r="P20" i="18"/>
  <c r="P23" i="18"/>
  <c r="P25" i="18"/>
  <c r="P28" i="18"/>
  <c r="Q33" i="18"/>
  <c r="Q29" i="18"/>
  <c r="Q27" i="18"/>
  <c r="Q26" i="18"/>
  <c r="Q24" i="18"/>
  <c r="Q21" i="18"/>
  <c r="Q19" i="18"/>
  <c r="Q18" i="18"/>
  <c r="Q17" i="18"/>
  <c r="Q16" i="18"/>
  <c r="Q15" i="18"/>
  <c r="Q14" i="18"/>
  <c r="Q13" i="18"/>
  <c r="Q12" i="18"/>
  <c r="Q10" i="18"/>
  <c r="Q7" i="18"/>
  <c r="Q6" i="18"/>
  <c r="D13" i="36" s="1"/>
  <c r="N45" i="18"/>
  <c r="N44" i="18"/>
  <c r="N40" i="18"/>
  <c r="L9" i="18"/>
  <c r="L11" i="18"/>
  <c r="L20" i="18"/>
  <c r="L23" i="18"/>
  <c r="L25" i="18"/>
  <c r="L28" i="18"/>
  <c r="M9" i="18"/>
  <c r="M11" i="18"/>
  <c r="M20" i="18"/>
  <c r="M23" i="18"/>
  <c r="M25" i="18"/>
  <c r="M28" i="18"/>
  <c r="N33" i="18"/>
  <c r="N29" i="18"/>
  <c r="N27" i="18"/>
  <c r="N26" i="18"/>
  <c r="N24" i="18"/>
  <c r="N21" i="18"/>
  <c r="N19" i="18"/>
  <c r="N18" i="18"/>
  <c r="N17" i="18"/>
  <c r="N16" i="18"/>
  <c r="N15" i="18"/>
  <c r="N14" i="18"/>
  <c r="N13" i="18"/>
  <c r="N12" i="18"/>
  <c r="N10" i="18"/>
  <c r="N7" i="18"/>
  <c r="N6" i="18"/>
  <c r="Q45" i="14"/>
  <c r="Q44" i="14"/>
  <c r="Q40" i="14"/>
  <c r="O23" i="14"/>
  <c r="O25" i="14"/>
  <c r="O28" i="14"/>
  <c r="O9" i="14"/>
  <c r="O11" i="14"/>
  <c r="O20" i="14"/>
  <c r="P23" i="14"/>
  <c r="P25" i="14"/>
  <c r="P28" i="14"/>
  <c r="P9" i="14"/>
  <c r="P11" i="14"/>
  <c r="P20" i="14"/>
  <c r="Q33" i="14"/>
  <c r="Q29" i="14"/>
  <c r="Q27" i="14"/>
  <c r="Q26" i="14"/>
  <c r="Q24" i="14"/>
  <c r="Q21" i="14"/>
  <c r="Q19" i="14"/>
  <c r="Q18" i="14"/>
  <c r="Q17" i="14"/>
  <c r="Q16" i="14"/>
  <c r="Q15" i="14"/>
  <c r="Q14" i="14"/>
  <c r="Q13" i="14"/>
  <c r="Q12" i="14"/>
  <c r="Q10" i="14"/>
  <c r="Q7" i="14"/>
  <c r="Q6" i="14"/>
  <c r="D14" i="36" s="1"/>
  <c r="N45" i="14"/>
  <c r="N44" i="14"/>
  <c r="N40" i="14"/>
  <c r="L23" i="14"/>
  <c r="L25" i="14"/>
  <c r="L28" i="14"/>
  <c r="L9" i="14"/>
  <c r="L11" i="14"/>
  <c r="L20" i="14"/>
  <c r="M23" i="14"/>
  <c r="M25" i="14"/>
  <c r="M28" i="14"/>
  <c r="M9" i="14"/>
  <c r="M11" i="14"/>
  <c r="M20" i="14"/>
  <c r="N33" i="14"/>
  <c r="N29" i="14"/>
  <c r="N27" i="14"/>
  <c r="N26" i="14"/>
  <c r="N24" i="14"/>
  <c r="N21" i="14"/>
  <c r="N19" i="14"/>
  <c r="N18" i="14"/>
  <c r="N17" i="14"/>
  <c r="N16" i="14"/>
  <c r="N15" i="14"/>
  <c r="N14" i="14"/>
  <c r="N13" i="14"/>
  <c r="N12" i="14"/>
  <c r="N10" i="14"/>
  <c r="N7" i="14"/>
  <c r="N6" i="14"/>
  <c r="P43" i="8"/>
  <c r="P39" i="8"/>
  <c r="P38" i="8"/>
  <c r="P37" i="8"/>
  <c r="M43" i="8"/>
  <c r="M39" i="8"/>
  <c r="M38" i="8"/>
  <c r="Q45" i="8"/>
  <c r="Q44" i="8"/>
  <c r="Q40" i="8"/>
  <c r="O23" i="8"/>
  <c r="O25" i="8"/>
  <c r="O28" i="8"/>
  <c r="O9" i="8"/>
  <c r="O11" i="8"/>
  <c r="O20" i="8"/>
  <c r="P23" i="8"/>
  <c r="P25" i="8"/>
  <c r="P28" i="8"/>
  <c r="P9" i="8"/>
  <c r="P11" i="8"/>
  <c r="P20" i="8"/>
  <c r="Q33" i="8"/>
  <c r="Q29" i="8"/>
  <c r="Q27" i="8"/>
  <c r="Q26" i="8"/>
  <c r="Q24" i="8"/>
  <c r="Q21" i="8"/>
  <c r="Q19" i="8"/>
  <c r="Q18" i="8"/>
  <c r="Q17" i="8"/>
  <c r="Q16" i="8"/>
  <c r="Q15" i="8"/>
  <c r="Q14" i="8"/>
  <c r="Q13" i="8"/>
  <c r="Q12" i="8"/>
  <c r="Q10" i="8"/>
  <c r="Q7" i="8"/>
  <c r="Q6" i="8"/>
  <c r="D15" i="36" s="1"/>
  <c r="N45" i="8"/>
  <c r="N44" i="8"/>
  <c r="N40" i="8"/>
  <c r="L23" i="8"/>
  <c r="L25" i="8"/>
  <c r="L28" i="8"/>
  <c r="L9" i="8"/>
  <c r="L11" i="8"/>
  <c r="L20" i="8"/>
  <c r="M23" i="8"/>
  <c r="M25" i="8"/>
  <c r="M28" i="8"/>
  <c r="M9" i="8"/>
  <c r="M11" i="8"/>
  <c r="M20" i="8"/>
  <c r="N33" i="8"/>
  <c r="N29" i="8"/>
  <c r="N27" i="8"/>
  <c r="N26" i="8"/>
  <c r="N24" i="8"/>
  <c r="N21" i="8"/>
  <c r="N19" i="8"/>
  <c r="N18" i="8"/>
  <c r="N17" i="8"/>
  <c r="N16" i="8"/>
  <c r="N14" i="8"/>
  <c r="N13" i="8"/>
  <c r="N12" i="8"/>
  <c r="N10" i="8"/>
  <c r="N7" i="8"/>
  <c r="N6" i="8"/>
  <c r="P43" i="37"/>
  <c r="P42" i="37" s="1"/>
  <c r="P39" i="37"/>
  <c r="P38" i="37"/>
  <c r="P37" i="37"/>
  <c r="O45" i="37"/>
  <c r="Q45" i="37" s="1"/>
  <c r="M43" i="37"/>
  <c r="M42" i="37" s="1"/>
  <c r="M39" i="37"/>
  <c r="M38" i="37"/>
  <c r="M37" i="37"/>
  <c r="Q44" i="37"/>
  <c r="Q40" i="37"/>
  <c r="O23" i="37"/>
  <c r="O25" i="37"/>
  <c r="O28" i="37"/>
  <c r="O9" i="37"/>
  <c r="O11" i="37"/>
  <c r="O20" i="37"/>
  <c r="P23" i="37"/>
  <c r="P25" i="37"/>
  <c r="P28" i="37"/>
  <c r="P9" i="37"/>
  <c r="P11" i="37"/>
  <c r="P20" i="37"/>
  <c r="Q33" i="37"/>
  <c r="Q29" i="37"/>
  <c r="Q27" i="37"/>
  <c r="Q26" i="37"/>
  <c r="Q24" i="37"/>
  <c r="Q21" i="37"/>
  <c r="Q19" i="37"/>
  <c r="Q18" i="37"/>
  <c r="Q17" i="37"/>
  <c r="Q16" i="37"/>
  <c r="Q15" i="37"/>
  <c r="Q14" i="37"/>
  <c r="Q13" i="37"/>
  <c r="Q12" i="37"/>
  <c r="Q10" i="37"/>
  <c r="Q7" i="37"/>
  <c r="Q6" i="37"/>
  <c r="D16" i="36" s="1"/>
  <c r="N44" i="37"/>
  <c r="N40" i="37"/>
  <c r="L23" i="37"/>
  <c r="L25" i="37"/>
  <c r="L28" i="37"/>
  <c r="L9" i="37"/>
  <c r="L11" i="37"/>
  <c r="L20" i="37"/>
  <c r="M23" i="37"/>
  <c r="M25" i="37"/>
  <c r="M28" i="37"/>
  <c r="M9" i="37"/>
  <c r="M11" i="37"/>
  <c r="M20" i="37"/>
  <c r="N33" i="37"/>
  <c r="N29" i="37"/>
  <c r="N27" i="37"/>
  <c r="N26" i="37"/>
  <c r="N24" i="37"/>
  <c r="N21" i="37"/>
  <c r="N19" i="37"/>
  <c r="N18" i="37"/>
  <c r="N17" i="37"/>
  <c r="N16" i="37"/>
  <c r="N15" i="37"/>
  <c r="N14" i="37"/>
  <c r="N13" i="37"/>
  <c r="N12" i="37"/>
  <c r="N10" i="37"/>
  <c r="N7" i="37"/>
  <c r="N6" i="37"/>
  <c r="V40" i="30"/>
  <c r="V39" i="30"/>
  <c r="V38" i="30"/>
  <c r="V36" i="30"/>
  <c r="V35" i="30"/>
  <c r="R38" i="30"/>
  <c r="M39" i="18"/>
  <c r="M38" i="18"/>
  <c r="J43" i="14"/>
  <c r="J42" i="14" s="1"/>
  <c r="I43" i="14"/>
  <c r="I42" i="14" s="1"/>
  <c r="K16" i="30"/>
  <c r="K28" i="30"/>
  <c r="K27" i="30"/>
  <c r="K23" i="30"/>
  <c r="K22" i="30"/>
  <c r="I6" i="12"/>
  <c r="K6" i="12" s="1"/>
  <c r="K9" i="10"/>
  <c r="K10" i="10"/>
  <c r="N10" i="10" s="1"/>
  <c r="K8" i="23"/>
  <c r="I37" i="2"/>
  <c r="I37" i="5"/>
  <c r="I37" i="14"/>
  <c r="N37" i="30"/>
  <c r="K9" i="23"/>
  <c r="I38" i="2"/>
  <c r="I38" i="5"/>
  <c r="I38" i="7"/>
  <c r="I38" i="14"/>
  <c r="I38" i="8"/>
  <c r="I38" i="37"/>
  <c r="I39" i="2"/>
  <c r="I39" i="5"/>
  <c r="I39" i="7"/>
  <c r="I39" i="14"/>
  <c r="I39" i="8"/>
  <c r="I39" i="37"/>
  <c r="K43" i="20"/>
  <c r="K8" i="24" s="1"/>
  <c r="K13" i="23"/>
  <c r="N13" i="23" s="1"/>
  <c r="K18" i="23"/>
  <c r="N18" i="23" s="1"/>
  <c r="D26" i="29"/>
  <c r="K20" i="23" s="1"/>
  <c r="K44" i="20"/>
  <c r="K41" i="12"/>
  <c r="I41" i="2"/>
  <c r="K41" i="2" s="1"/>
  <c r="I41" i="5"/>
  <c r="K41" i="5" s="1"/>
  <c r="I41" i="7"/>
  <c r="K41" i="7" s="1"/>
  <c r="I41" i="18"/>
  <c r="K41" i="18" s="1"/>
  <c r="I41" i="14"/>
  <c r="K41" i="14" s="1"/>
  <c r="I41" i="8"/>
  <c r="K41" i="8" s="1"/>
  <c r="I41" i="37"/>
  <c r="K41" i="37" s="1"/>
  <c r="J37" i="2"/>
  <c r="J37" i="5"/>
  <c r="J37" i="7"/>
  <c r="J37" i="18"/>
  <c r="J37" i="14"/>
  <c r="J37" i="37"/>
  <c r="J38" i="2"/>
  <c r="J38" i="5"/>
  <c r="J38" i="7"/>
  <c r="J38" i="18"/>
  <c r="J38" i="14"/>
  <c r="J38" i="37"/>
  <c r="J39" i="2"/>
  <c r="J39" i="5"/>
  <c r="J39" i="7"/>
  <c r="J39" i="18"/>
  <c r="J39" i="14"/>
  <c r="J39" i="37"/>
  <c r="L11" i="23"/>
  <c r="L43" i="20"/>
  <c r="N59" i="30"/>
  <c r="N65" i="30"/>
  <c r="N67" i="30"/>
  <c r="N68" i="30"/>
  <c r="N80" i="30"/>
  <c r="L19" i="23"/>
  <c r="L20" i="23"/>
  <c r="L44" i="20"/>
  <c r="M8" i="23"/>
  <c r="M40" i="20"/>
  <c r="M9" i="23"/>
  <c r="M41" i="20"/>
  <c r="M10" i="23"/>
  <c r="M42" i="20"/>
  <c r="M11" i="23"/>
  <c r="M43" i="20"/>
  <c r="M19" i="23"/>
  <c r="M20" i="23"/>
  <c r="M44" i="20"/>
  <c r="E99" i="27"/>
  <c r="K23" i="23"/>
  <c r="K5" i="20"/>
  <c r="N5" i="20" s="1"/>
  <c r="K11" i="10"/>
  <c r="K8" i="10"/>
  <c r="N8" i="10" s="1"/>
  <c r="K12" i="10"/>
  <c r="N12" i="10" s="1"/>
  <c r="N60" i="10"/>
  <c r="N57" i="10" s="1"/>
  <c r="L57" i="10"/>
  <c r="L28" i="11" s="1"/>
  <c r="K44" i="10"/>
  <c r="N92" i="30"/>
  <c r="E111" i="27"/>
  <c r="N56" i="30"/>
  <c r="G5" i="30"/>
  <c r="C5" i="30"/>
  <c r="N29" i="30"/>
  <c r="N27" i="30"/>
  <c r="N26" i="30"/>
  <c r="N25" i="30"/>
  <c r="N24" i="30"/>
  <c r="N23" i="30"/>
  <c r="N91" i="30"/>
  <c r="N90" i="30"/>
  <c r="M39" i="23"/>
  <c r="M30" i="24" s="1"/>
  <c r="K29" i="23"/>
  <c r="N29" i="23" s="1"/>
  <c r="N81" i="30"/>
  <c r="N77" i="30"/>
  <c r="N70" i="30"/>
  <c r="N69" i="30"/>
  <c r="N66" i="30"/>
  <c r="N64" i="30"/>
  <c r="N63" i="30"/>
  <c r="N62" i="30"/>
  <c r="N61" i="30"/>
  <c r="N60" i="30"/>
  <c r="N57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15" i="30"/>
  <c r="N14" i="30"/>
  <c r="N12" i="30"/>
  <c r="N11" i="30"/>
  <c r="N10" i="30"/>
  <c r="N8" i="30"/>
  <c r="N7" i="30"/>
  <c r="J43" i="2"/>
  <c r="J42" i="2" s="1"/>
  <c r="I43" i="2"/>
  <c r="I42" i="2" s="1"/>
  <c r="J43" i="5"/>
  <c r="I43" i="5"/>
  <c r="I42" i="5" s="1"/>
  <c r="J43" i="7"/>
  <c r="I43" i="7"/>
  <c r="I42" i="7" s="1"/>
  <c r="G37" i="7"/>
  <c r="J43" i="18"/>
  <c r="J42" i="18" s="1"/>
  <c r="I43" i="18"/>
  <c r="I43" i="8"/>
  <c r="I42" i="8" s="1"/>
  <c r="I45" i="37"/>
  <c r="K45" i="37" s="1"/>
  <c r="I43" i="37"/>
  <c r="N82" i="30"/>
  <c r="N59" i="11"/>
  <c r="N58" i="11"/>
  <c r="M57" i="11"/>
  <c r="L57" i="11"/>
  <c r="K57" i="11"/>
  <c r="M56" i="11"/>
  <c r="L56" i="11"/>
  <c r="K56" i="11"/>
  <c r="N55" i="11"/>
  <c r="M100" i="10"/>
  <c r="M54" i="11" s="1"/>
  <c r="L100" i="10"/>
  <c r="L54" i="11" s="1"/>
  <c r="K54" i="11"/>
  <c r="N53" i="11"/>
  <c r="N52" i="11"/>
  <c r="N51" i="11"/>
  <c r="M49" i="11"/>
  <c r="L49" i="11"/>
  <c r="L48" i="11" s="1"/>
  <c r="K49" i="11"/>
  <c r="K48" i="11" s="1"/>
  <c r="M82" i="10"/>
  <c r="M43" i="11" s="1"/>
  <c r="L82" i="10"/>
  <c r="L43" i="11" s="1"/>
  <c r="K82" i="10"/>
  <c r="K43" i="11" s="1"/>
  <c r="M78" i="10"/>
  <c r="M42" i="11" s="1"/>
  <c r="L78" i="10"/>
  <c r="L42" i="11" s="1"/>
  <c r="K78" i="10"/>
  <c r="K42" i="11" s="1"/>
  <c r="M41" i="11"/>
  <c r="L41" i="11"/>
  <c r="K41" i="11"/>
  <c r="M40" i="11"/>
  <c r="L40" i="11"/>
  <c r="K40" i="11"/>
  <c r="M38" i="11"/>
  <c r="L38" i="11"/>
  <c r="K38" i="11"/>
  <c r="M37" i="11"/>
  <c r="L37" i="11"/>
  <c r="K37" i="11"/>
  <c r="M69" i="10"/>
  <c r="M36" i="11" s="1"/>
  <c r="L69" i="10"/>
  <c r="L67" i="10" s="1"/>
  <c r="K69" i="10"/>
  <c r="K36" i="11" s="1"/>
  <c r="M35" i="11"/>
  <c r="L35" i="11"/>
  <c r="K35" i="11"/>
  <c r="M33" i="11"/>
  <c r="L33" i="11"/>
  <c r="K33" i="11"/>
  <c r="M32" i="11"/>
  <c r="L32" i="11"/>
  <c r="K32" i="11"/>
  <c r="M31" i="11"/>
  <c r="L31" i="11"/>
  <c r="K31" i="11"/>
  <c r="M28" i="11"/>
  <c r="K28" i="11"/>
  <c r="M27" i="11"/>
  <c r="L27" i="11"/>
  <c r="K27" i="11"/>
  <c r="M22" i="20"/>
  <c r="M25" i="11" s="1"/>
  <c r="L22" i="20"/>
  <c r="L25" i="11" s="1"/>
  <c r="K22" i="20"/>
  <c r="M21" i="20"/>
  <c r="M24" i="11" s="1"/>
  <c r="L21" i="20"/>
  <c r="K21" i="20"/>
  <c r="K24" i="11" s="1"/>
  <c r="M20" i="20"/>
  <c r="M23" i="11" s="1"/>
  <c r="L20" i="20"/>
  <c r="K20" i="20"/>
  <c r="K23" i="11" s="1"/>
  <c r="M51" i="10"/>
  <c r="M22" i="11" s="1"/>
  <c r="L51" i="10"/>
  <c r="K51" i="10"/>
  <c r="K22" i="11" s="1"/>
  <c r="M18" i="20"/>
  <c r="M21" i="11" s="1"/>
  <c r="L18" i="20"/>
  <c r="L21" i="11" s="1"/>
  <c r="K18" i="20"/>
  <c r="M46" i="10"/>
  <c r="M17" i="20"/>
  <c r="L46" i="10"/>
  <c r="L17" i="20"/>
  <c r="M43" i="10"/>
  <c r="L43" i="10"/>
  <c r="L19" i="11" s="1"/>
  <c r="M15" i="20"/>
  <c r="M18" i="11" s="1"/>
  <c r="L15" i="20"/>
  <c r="K15" i="20"/>
  <c r="K18" i="11" s="1"/>
  <c r="M16" i="11"/>
  <c r="L16" i="11"/>
  <c r="L15" i="11"/>
  <c r="L26" i="10"/>
  <c r="L11" i="11" s="1"/>
  <c r="L29" i="10"/>
  <c r="L32" i="10"/>
  <c r="L13" i="11" s="1"/>
  <c r="K16" i="11"/>
  <c r="M15" i="11"/>
  <c r="K15" i="11"/>
  <c r="M32" i="10"/>
  <c r="M13" i="11" s="1"/>
  <c r="K32" i="10"/>
  <c r="K13" i="11" s="1"/>
  <c r="M29" i="10"/>
  <c r="M12" i="11" s="1"/>
  <c r="M26" i="10"/>
  <c r="K26" i="10"/>
  <c r="M20" i="10"/>
  <c r="M18" i="10" s="1"/>
  <c r="M9" i="11" s="1"/>
  <c r="M8" i="11"/>
  <c r="L8" i="11"/>
  <c r="K8" i="11"/>
  <c r="M7" i="11"/>
  <c r="L7" i="11"/>
  <c r="K7" i="11"/>
  <c r="M7" i="10"/>
  <c r="M6" i="11" s="1"/>
  <c r="L7" i="10"/>
  <c r="L6" i="11" s="1"/>
  <c r="M34" i="24"/>
  <c r="L34" i="24"/>
  <c r="K34" i="24"/>
  <c r="M33" i="24"/>
  <c r="L33" i="24"/>
  <c r="K33" i="24"/>
  <c r="M31" i="24"/>
  <c r="L31" i="24"/>
  <c r="K31" i="24"/>
  <c r="L30" i="24"/>
  <c r="L29" i="24"/>
  <c r="K29" i="24"/>
  <c r="M28" i="24"/>
  <c r="L28" i="24"/>
  <c r="K28" i="24"/>
  <c r="M27" i="24"/>
  <c r="L27" i="24"/>
  <c r="K27" i="24"/>
  <c r="N23" i="24"/>
  <c r="N22" i="24"/>
  <c r="N21" i="24"/>
  <c r="N20" i="24"/>
  <c r="N19" i="24"/>
  <c r="M24" i="23"/>
  <c r="M48" i="20"/>
  <c r="L24" i="23"/>
  <c r="L48" i="20"/>
  <c r="N14" i="24"/>
  <c r="N13" i="24"/>
  <c r="N12" i="24"/>
  <c r="N11" i="24"/>
  <c r="N10" i="24"/>
  <c r="N88" i="30"/>
  <c r="N87" i="30"/>
  <c r="K41" i="30"/>
  <c r="N19" i="30"/>
  <c r="N107" i="10"/>
  <c r="N106" i="10"/>
  <c r="M105" i="10"/>
  <c r="L105" i="10"/>
  <c r="K105" i="10"/>
  <c r="N103" i="10"/>
  <c r="N102" i="10"/>
  <c r="N101" i="10"/>
  <c r="M94" i="10"/>
  <c r="K100" i="10"/>
  <c r="N99" i="10"/>
  <c r="N98" i="10"/>
  <c r="N97" i="10"/>
  <c r="L94" i="10"/>
  <c r="K94" i="10"/>
  <c r="N88" i="10"/>
  <c r="N87" i="10"/>
  <c r="N86" i="10"/>
  <c r="N85" i="10"/>
  <c r="N84" i="10"/>
  <c r="N83" i="10"/>
  <c r="N81" i="10"/>
  <c r="N80" i="10"/>
  <c r="N79" i="10"/>
  <c r="N77" i="10"/>
  <c r="N76" i="10"/>
  <c r="N74" i="10"/>
  <c r="N73" i="10"/>
  <c r="N72" i="10"/>
  <c r="N71" i="10"/>
  <c r="N70" i="10"/>
  <c r="N68" i="10"/>
  <c r="N66" i="10"/>
  <c r="N65" i="10"/>
  <c r="N64" i="10"/>
  <c r="M63" i="10"/>
  <c r="L63" i="10"/>
  <c r="K63" i="10"/>
  <c r="N56" i="10"/>
  <c r="K55" i="10"/>
  <c r="M55" i="10"/>
  <c r="N54" i="10"/>
  <c r="N53" i="10"/>
  <c r="N52" i="10"/>
  <c r="N50" i="10"/>
  <c r="N49" i="10"/>
  <c r="N48" i="10"/>
  <c r="N47" i="10"/>
  <c r="N45" i="10"/>
  <c r="N42" i="10"/>
  <c r="N40" i="10"/>
  <c r="N39" i="10"/>
  <c r="N38" i="10"/>
  <c r="N37" i="10"/>
  <c r="M36" i="10"/>
  <c r="L36" i="10"/>
  <c r="K36" i="10"/>
  <c r="N35" i="10"/>
  <c r="N34" i="10"/>
  <c r="N33" i="10"/>
  <c r="N31" i="10"/>
  <c r="N30" i="10"/>
  <c r="K29" i="10"/>
  <c r="K12" i="11" s="1"/>
  <c r="N28" i="10"/>
  <c r="N27" i="10"/>
  <c r="N24" i="10"/>
  <c r="N23" i="10"/>
  <c r="N22" i="10"/>
  <c r="N21" i="10"/>
  <c r="N19" i="10"/>
  <c r="L18" i="10"/>
  <c r="K18" i="10"/>
  <c r="K9" i="11" s="1"/>
  <c r="N17" i="10"/>
  <c r="N16" i="10"/>
  <c r="N14" i="10"/>
  <c r="N13" i="10"/>
  <c r="N11" i="10"/>
  <c r="N9" i="10"/>
  <c r="N43" i="23"/>
  <c r="N42" i="23"/>
  <c r="M41" i="23"/>
  <c r="K41" i="23"/>
  <c r="L41" i="23"/>
  <c r="N40" i="23"/>
  <c r="K30" i="24"/>
  <c r="L38" i="23"/>
  <c r="N36" i="23"/>
  <c r="N35" i="23"/>
  <c r="N34" i="23"/>
  <c r="N33" i="23"/>
  <c r="N28" i="23"/>
  <c r="N27" i="23"/>
  <c r="N26" i="23"/>
  <c r="N25" i="23"/>
  <c r="M23" i="23"/>
  <c r="L47" i="20"/>
  <c r="K47" i="20"/>
  <c r="M22" i="23"/>
  <c r="N14" i="23"/>
  <c r="N6" i="23"/>
  <c r="N5" i="23"/>
  <c r="F31" i="35"/>
  <c r="F30" i="35" s="1"/>
  <c r="F28" i="35"/>
  <c r="F24" i="35"/>
  <c r="E20" i="35"/>
  <c r="E19" i="35" s="1"/>
  <c r="E13" i="35"/>
  <c r="E10" i="35"/>
  <c r="E6" i="35"/>
  <c r="K48" i="20"/>
  <c r="M47" i="20"/>
  <c r="M46" i="20"/>
  <c r="K46" i="20"/>
  <c r="N36" i="20"/>
  <c r="N32" i="20"/>
  <c r="K31" i="20"/>
  <c r="L31" i="20"/>
  <c r="M31" i="20"/>
  <c r="K26" i="20"/>
  <c r="K28" i="20"/>
  <c r="N30" i="20"/>
  <c r="N29" i="20"/>
  <c r="M28" i="20"/>
  <c r="L28" i="20"/>
  <c r="L26" i="20"/>
  <c r="N27" i="20"/>
  <c r="M26" i="20"/>
  <c r="N24" i="20"/>
  <c r="K23" i="20"/>
  <c r="L23" i="20"/>
  <c r="M23" i="20"/>
  <c r="N19" i="20"/>
  <c r="K17" i="20"/>
  <c r="N16" i="20"/>
  <c r="M9" i="20"/>
  <c r="M11" i="20"/>
  <c r="L9" i="20"/>
  <c r="L11" i="20"/>
  <c r="N13" i="20"/>
  <c r="N12" i="20"/>
  <c r="K11" i="20"/>
  <c r="N10" i="20"/>
  <c r="K9" i="20"/>
  <c r="N7" i="20"/>
  <c r="N6" i="20"/>
  <c r="K45" i="12"/>
  <c r="K40" i="12"/>
  <c r="K33" i="12"/>
  <c r="K29" i="12"/>
  <c r="J28" i="12"/>
  <c r="I28" i="12"/>
  <c r="K27" i="12"/>
  <c r="K26" i="12"/>
  <c r="I25" i="12"/>
  <c r="J25" i="12"/>
  <c r="K24" i="12"/>
  <c r="J23" i="12"/>
  <c r="I23" i="12"/>
  <c r="K21" i="12"/>
  <c r="K20" i="12"/>
  <c r="K19" i="12"/>
  <c r="K18" i="12"/>
  <c r="K17" i="12"/>
  <c r="K16" i="12"/>
  <c r="K15" i="12"/>
  <c r="K14" i="12"/>
  <c r="K13" i="12"/>
  <c r="K12" i="12"/>
  <c r="K10" i="12"/>
  <c r="K7" i="12"/>
  <c r="K45" i="2"/>
  <c r="K44" i="2"/>
  <c r="K40" i="2"/>
  <c r="K33" i="2"/>
  <c r="K29" i="2"/>
  <c r="I28" i="2"/>
  <c r="J28" i="2"/>
  <c r="K27" i="2"/>
  <c r="K26" i="2"/>
  <c r="J25" i="2"/>
  <c r="I25" i="2"/>
  <c r="K24" i="2"/>
  <c r="J23" i="2"/>
  <c r="I23" i="2"/>
  <c r="J9" i="2"/>
  <c r="J11" i="2"/>
  <c r="J20" i="2"/>
  <c r="K21" i="2"/>
  <c r="I20" i="2"/>
  <c r="K19" i="2"/>
  <c r="K18" i="2"/>
  <c r="K17" i="2"/>
  <c r="K16" i="2"/>
  <c r="K15" i="2"/>
  <c r="K14" i="2"/>
  <c r="K13" i="2"/>
  <c r="K12" i="2"/>
  <c r="I11" i="2"/>
  <c r="K10" i="2"/>
  <c r="I9" i="2"/>
  <c r="K7" i="2"/>
  <c r="K6" i="2"/>
  <c r="K45" i="5"/>
  <c r="K44" i="5"/>
  <c r="K40" i="5"/>
  <c r="K33" i="5"/>
  <c r="K29" i="5"/>
  <c r="I28" i="5"/>
  <c r="J28" i="5"/>
  <c r="K27" i="5"/>
  <c r="K26" i="5"/>
  <c r="J25" i="5"/>
  <c r="I25" i="5"/>
  <c r="K24" i="5"/>
  <c r="J23" i="5"/>
  <c r="I23" i="5"/>
  <c r="J9" i="5"/>
  <c r="J11" i="5"/>
  <c r="J20" i="5"/>
  <c r="K21" i="5"/>
  <c r="I20" i="5"/>
  <c r="K19" i="5"/>
  <c r="K18" i="5"/>
  <c r="K17" i="5"/>
  <c r="K16" i="5"/>
  <c r="K15" i="5"/>
  <c r="K14" i="5"/>
  <c r="K13" i="5"/>
  <c r="K12" i="5"/>
  <c r="I11" i="5"/>
  <c r="K10" i="5"/>
  <c r="I9" i="5"/>
  <c r="K7" i="5"/>
  <c r="K6" i="5"/>
  <c r="K45" i="7"/>
  <c r="K44" i="7"/>
  <c r="K40" i="7"/>
  <c r="K33" i="7"/>
  <c r="K29" i="7"/>
  <c r="I28" i="7"/>
  <c r="J28" i="7"/>
  <c r="I23" i="7"/>
  <c r="I25" i="7"/>
  <c r="K27" i="7"/>
  <c r="K26" i="7"/>
  <c r="J25" i="7"/>
  <c r="J23" i="7"/>
  <c r="J9" i="7"/>
  <c r="J11" i="7"/>
  <c r="J20" i="7"/>
  <c r="K24" i="7"/>
  <c r="K21" i="7"/>
  <c r="I20" i="7"/>
  <c r="K19" i="7"/>
  <c r="K18" i="7"/>
  <c r="K17" i="7"/>
  <c r="K16" i="7"/>
  <c r="K15" i="7"/>
  <c r="K14" i="7"/>
  <c r="K13" i="7"/>
  <c r="K12" i="7"/>
  <c r="I11" i="7"/>
  <c r="K10" i="7"/>
  <c r="I9" i="7"/>
  <c r="K7" i="7"/>
  <c r="K6" i="7"/>
  <c r="K45" i="18"/>
  <c r="K44" i="18"/>
  <c r="K40" i="18"/>
  <c r="K33" i="18"/>
  <c r="K29" i="18"/>
  <c r="I28" i="18"/>
  <c r="J28" i="18"/>
  <c r="K27" i="18"/>
  <c r="K26" i="18"/>
  <c r="J25" i="18"/>
  <c r="I25" i="18"/>
  <c r="K24" i="18"/>
  <c r="J23" i="18"/>
  <c r="I23" i="18"/>
  <c r="J9" i="18"/>
  <c r="J11" i="18"/>
  <c r="J20" i="18"/>
  <c r="K21" i="18"/>
  <c r="I20" i="18"/>
  <c r="K19" i="18"/>
  <c r="K18" i="18"/>
  <c r="K17" i="18"/>
  <c r="K16" i="18"/>
  <c r="K15" i="18"/>
  <c r="K14" i="18"/>
  <c r="K13" i="18"/>
  <c r="K12" i="18"/>
  <c r="I11" i="18"/>
  <c r="K10" i="18"/>
  <c r="I9" i="18"/>
  <c r="K7" i="18"/>
  <c r="K6" i="18"/>
  <c r="K45" i="14"/>
  <c r="K44" i="14"/>
  <c r="K40" i="14"/>
  <c r="K33" i="14"/>
  <c r="K29" i="14"/>
  <c r="J28" i="14"/>
  <c r="J23" i="14"/>
  <c r="J25" i="14"/>
  <c r="J9" i="14"/>
  <c r="J11" i="14"/>
  <c r="J20" i="14"/>
  <c r="I28" i="14"/>
  <c r="K27" i="14"/>
  <c r="K26" i="14"/>
  <c r="I25" i="14"/>
  <c r="K24" i="14"/>
  <c r="I23" i="14"/>
  <c r="K21" i="14"/>
  <c r="I20" i="14"/>
  <c r="K19" i="14"/>
  <c r="K18" i="14"/>
  <c r="K17" i="14"/>
  <c r="K16" i="14"/>
  <c r="K15" i="14"/>
  <c r="K14" i="14"/>
  <c r="K13" i="14"/>
  <c r="K12" i="14"/>
  <c r="I11" i="14"/>
  <c r="K10" i="14"/>
  <c r="I9" i="14"/>
  <c r="K7" i="14"/>
  <c r="K6" i="14"/>
  <c r="K45" i="8"/>
  <c r="K44" i="8"/>
  <c r="J42" i="8"/>
  <c r="K40" i="8"/>
  <c r="K33" i="8"/>
  <c r="K29" i="8"/>
  <c r="J28" i="8"/>
  <c r="I28" i="8"/>
  <c r="K27" i="8"/>
  <c r="K26" i="8"/>
  <c r="I25" i="8"/>
  <c r="J25" i="8"/>
  <c r="K24" i="8"/>
  <c r="J23" i="8"/>
  <c r="I23" i="8"/>
  <c r="K21" i="8"/>
  <c r="J20" i="8"/>
  <c r="I20" i="8"/>
  <c r="K19" i="8"/>
  <c r="K18" i="8"/>
  <c r="K17" i="8"/>
  <c r="K16" i="8"/>
  <c r="K15" i="8"/>
  <c r="K14" i="8"/>
  <c r="K13" i="8"/>
  <c r="K12" i="8"/>
  <c r="J11" i="8"/>
  <c r="J9" i="8"/>
  <c r="I9" i="8"/>
  <c r="I11" i="8"/>
  <c r="K10" i="8"/>
  <c r="K7" i="8"/>
  <c r="K6" i="8"/>
  <c r="K44" i="37"/>
  <c r="J43" i="37"/>
  <c r="K40" i="37"/>
  <c r="K33" i="37"/>
  <c r="K29" i="37"/>
  <c r="J28" i="37"/>
  <c r="I28" i="37"/>
  <c r="K27" i="37"/>
  <c r="K26" i="37"/>
  <c r="I25" i="37"/>
  <c r="J25" i="37"/>
  <c r="K24" i="37"/>
  <c r="J23" i="37"/>
  <c r="I23" i="37"/>
  <c r="K21" i="37"/>
  <c r="J20" i="37"/>
  <c r="I20" i="37"/>
  <c r="K19" i="37"/>
  <c r="K18" i="37"/>
  <c r="K17" i="37"/>
  <c r="K16" i="37"/>
  <c r="K15" i="37"/>
  <c r="K14" i="37"/>
  <c r="K13" i="37"/>
  <c r="K12" i="37"/>
  <c r="J11" i="37"/>
  <c r="J9" i="37"/>
  <c r="I9" i="37"/>
  <c r="I11" i="37"/>
  <c r="K10" i="37"/>
  <c r="K7" i="37"/>
  <c r="K6" i="37"/>
  <c r="N40" i="30"/>
  <c r="N38" i="30"/>
  <c r="N35" i="30"/>
  <c r="E117" i="27"/>
  <c r="E114" i="27"/>
  <c r="E109" i="27"/>
  <c r="E107" i="27"/>
  <c r="E105" i="27"/>
  <c r="E103" i="27"/>
  <c r="E94" i="27"/>
  <c r="K46" i="10"/>
  <c r="F39" i="7"/>
  <c r="F38" i="7"/>
  <c r="F38" i="2"/>
  <c r="K32" i="23"/>
  <c r="K31" i="23" s="1"/>
  <c r="J68" i="30"/>
  <c r="G54" i="11"/>
  <c r="D111" i="27"/>
  <c r="D94" i="27"/>
  <c r="F37" i="37"/>
  <c r="I37" i="23"/>
  <c r="F39" i="18"/>
  <c r="F38" i="18"/>
  <c r="G9" i="23"/>
  <c r="J66" i="30"/>
  <c r="J65" i="30"/>
  <c r="G29" i="23"/>
  <c r="G24" i="23" s="1"/>
  <c r="J15" i="30"/>
  <c r="J14" i="30"/>
  <c r="G8" i="23"/>
  <c r="J81" i="30"/>
  <c r="J71" i="30"/>
  <c r="G18" i="23"/>
  <c r="J18" i="23" s="1"/>
  <c r="J46" i="30"/>
  <c r="C26" i="29"/>
  <c r="G20" i="23" s="1"/>
  <c r="J75" i="30"/>
  <c r="J70" i="30"/>
  <c r="J69" i="30"/>
  <c r="J67" i="30"/>
  <c r="J64" i="30"/>
  <c r="J63" i="30"/>
  <c r="J62" i="30"/>
  <c r="J61" i="30"/>
  <c r="J60" i="30"/>
  <c r="J59" i="30"/>
  <c r="J57" i="30"/>
  <c r="J56" i="30"/>
  <c r="J54" i="30"/>
  <c r="J53" i="30"/>
  <c r="J52" i="30"/>
  <c r="J51" i="30"/>
  <c r="J49" i="30"/>
  <c r="J48" i="30"/>
  <c r="J47" i="30"/>
  <c r="J45" i="30"/>
  <c r="J43" i="30"/>
  <c r="J21" i="30"/>
  <c r="J11" i="30"/>
  <c r="J10" i="30"/>
  <c r="J8" i="30"/>
  <c r="J10" i="10"/>
  <c r="G46" i="20"/>
  <c r="H41" i="12"/>
  <c r="F41" i="2"/>
  <c r="H41" i="2" s="1"/>
  <c r="F41" i="5"/>
  <c r="H41" i="5" s="1"/>
  <c r="F41" i="8"/>
  <c r="H41" i="8" s="1"/>
  <c r="F41" i="7"/>
  <c r="H41" i="7" s="1"/>
  <c r="F41" i="18"/>
  <c r="H41" i="18" s="1"/>
  <c r="F41" i="14"/>
  <c r="H41" i="14" s="1"/>
  <c r="F39" i="14"/>
  <c r="F41" i="37"/>
  <c r="H41" i="37" s="1"/>
  <c r="F82" i="30"/>
  <c r="F43" i="14"/>
  <c r="H31" i="24"/>
  <c r="H30" i="24"/>
  <c r="H29" i="24"/>
  <c r="H28" i="24"/>
  <c r="H27" i="24"/>
  <c r="J92" i="30"/>
  <c r="J91" i="30"/>
  <c r="J90" i="30"/>
  <c r="J19" i="30"/>
  <c r="H24" i="23"/>
  <c r="H19" i="23"/>
  <c r="H20" i="23"/>
  <c r="G15" i="23"/>
  <c r="J13" i="23"/>
  <c r="G37" i="2"/>
  <c r="G38" i="2"/>
  <c r="G39" i="2"/>
  <c r="G43" i="2"/>
  <c r="G42" i="2" s="1"/>
  <c r="G43" i="5"/>
  <c r="G42" i="5" s="1"/>
  <c r="G37" i="5"/>
  <c r="G38" i="5"/>
  <c r="G39" i="5"/>
  <c r="G43" i="7"/>
  <c r="G42" i="7" s="1"/>
  <c r="G38" i="7"/>
  <c r="G39" i="7"/>
  <c r="G37" i="18"/>
  <c r="G38" i="18"/>
  <c r="G39" i="18"/>
  <c r="F43" i="18"/>
  <c r="F42" i="18" s="1"/>
  <c r="C38" i="18"/>
  <c r="C39" i="18"/>
  <c r="C37" i="18"/>
  <c r="G43" i="14"/>
  <c r="G42" i="14" s="1"/>
  <c r="G38" i="14"/>
  <c r="G39" i="14"/>
  <c r="G37" i="14"/>
  <c r="F38" i="14"/>
  <c r="C38" i="14"/>
  <c r="C39" i="14"/>
  <c r="C37" i="14"/>
  <c r="G42" i="8"/>
  <c r="G43" i="37"/>
  <c r="G42" i="37" s="1"/>
  <c r="F43" i="37"/>
  <c r="G37" i="37"/>
  <c r="G38" i="37"/>
  <c r="G39" i="37"/>
  <c r="F38" i="37"/>
  <c r="J59" i="11"/>
  <c r="J58" i="11"/>
  <c r="I57" i="11"/>
  <c r="G57" i="11"/>
  <c r="H57" i="11"/>
  <c r="I56" i="11"/>
  <c r="H56" i="11"/>
  <c r="G56" i="11"/>
  <c r="J55" i="11"/>
  <c r="I100" i="10"/>
  <c r="I54" i="11" s="1"/>
  <c r="J53" i="11"/>
  <c r="D21" i="16" s="1"/>
  <c r="J52" i="11"/>
  <c r="J51" i="11"/>
  <c r="I49" i="11"/>
  <c r="I48" i="11" s="1"/>
  <c r="H49" i="11"/>
  <c r="H48" i="11" s="1"/>
  <c r="G49" i="11"/>
  <c r="G48" i="11" s="1"/>
  <c r="I82" i="10"/>
  <c r="I43" i="11" s="1"/>
  <c r="H82" i="10"/>
  <c r="G82" i="10"/>
  <c r="G43" i="11" s="1"/>
  <c r="I78" i="10"/>
  <c r="H78" i="10"/>
  <c r="G78" i="10"/>
  <c r="I41" i="11"/>
  <c r="H41" i="11"/>
  <c r="G41" i="11"/>
  <c r="I40" i="11"/>
  <c r="H40" i="11"/>
  <c r="G40" i="11"/>
  <c r="I38" i="11"/>
  <c r="H38" i="11"/>
  <c r="G38" i="11"/>
  <c r="I37" i="11"/>
  <c r="H37" i="11"/>
  <c r="G37" i="11"/>
  <c r="I69" i="10"/>
  <c r="H69" i="10"/>
  <c r="G69" i="10"/>
  <c r="G67" i="10" s="1"/>
  <c r="I35" i="11"/>
  <c r="G35" i="11"/>
  <c r="H35" i="11"/>
  <c r="I33" i="11"/>
  <c r="H33" i="11"/>
  <c r="G33" i="11"/>
  <c r="I32" i="11"/>
  <c r="H32" i="11"/>
  <c r="G32" i="11"/>
  <c r="I31" i="11"/>
  <c r="H31" i="11"/>
  <c r="G31" i="11"/>
  <c r="G28" i="11"/>
  <c r="I27" i="11"/>
  <c r="H27" i="11"/>
  <c r="G27" i="11"/>
  <c r="I22" i="20"/>
  <c r="I25" i="11" s="1"/>
  <c r="H22" i="20"/>
  <c r="H25" i="11" s="1"/>
  <c r="G22" i="20"/>
  <c r="G25" i="11" s="1"/>
  <c r="I21" i="20"/>
  <c r="I24" i="11" s="1"/>
  <c r="H21" i="20"/>
  <c r="H24" i="11" s="1"/>
  <c r="G21" i="20"/>
  <c r="G24" i="11" s="1"/>
  <c r="I20" i="20"/>
  <c r="I23" i="11" s="1"/>
  <c r="H20" i="20"/>
  <c r="H23" i="11" s="1"/>
  <c r="G20" i="20"/>
  <c r="I51" i="10"/>
  <c r="I22" i="11" s="1"/>
  <c r="G22" i="11"/>
  <c r="I18" i="20"/>
  <c r="I21" i="11" s="1"/>
  <c r="H18" i="20"/>
  <c r="H21" i="11" s="1"/>
  <c r="G18" i="20"/>
  <c r="I46" i="10"/>
  <c r="I17" i="20"/>
  <c r="H46" i="10"/>
  <c r="H17" i="20"/>
  <c r="J49" i="10"/>
  <c r="G17" i="20"/>
  <c r="I43" i="10"/>
  <c r="I19" i="11" s="1"/>
  <c r="H43" i="10"/>
  <c r="H19" i="11" s="1"/>
  <c r="G43" i="10"/>
  <c r="I15" i="20"/>
  <c r="I18" i="11" s="1"/>
  <c r="H15" i="20"/>
  <c r="G15" i="20"/>
  <c r="G18" i="11" s="1"/>
  <c r="I16" i="11"/>
  <c r="H16" i="11"/>
  <c r="G16" i="11"/>
  <c r="I15" i="11"/>
  <c r="G15" i="11"/>
  <c r="H15" i="11"/>
  <c r="H14" i="11" s="1"/>
  <c r="I32" i="10"/>
  <c r="I13" i="11" s="1"/>
  <c r="G32" i="10"/>
  <c r="G13" i="11" s="1"/>
  <c r="H32" i="10"/>
  <c r="H13" i="11" s="1"/>
  <c r="I29" i="10"/>
  <c r="I12" i="11" s="1"/>
  <c r="H29" i="10"/>
  <c r="H12" i="11" s="1"/>
  <c r="G29" i="10"/>
  <c r="G12" i="11" s="1"/>
  <c r="I26" i="10"/>
  <c r="H26" i="10"/>
  <c r="G26" i="10"/>
  <c r="I20" i="10"/>
  <c r="I18" i="10" s="1"/>
  <c r="H20" i="10"/>
  <c r="H18" i="10" s="1"/>
  <c r="G20" i="10"/>
  <c r="G18" i="10" s="1"/>
  <c r="I8" i="11"/>
  <c r="H8" i="11"/>
  <c r="G8" i="11"/>
  <c r="I7" i="11"/>
  <c r="H7" i="11"/>
  <c r="G7" i="11"/>
  <c r="I6" i="11"/>
  <c r="I34" i="24"/>
  <c r="H34" i="24"/>
  <c r="G34" i="24"/>
  <c r="I33" i="24"/>
  <c r="H33" i="24"/>
  <c r="G33" i="24"/>
  <c r="I31" i="24"/>
  <c r="G31" i="24"/>
  <c r="G29" i="24"/>
  <c r="I28" i="24"/>
  <c r="G28" i="24"/>
  <c r="I27" i="24"/>
  <c r="G27" i="24"/>
  <c r="J23" i="24"/>
  <c r="J22" i="24"/>
  <c r="J21" i="24"/>
  <c r="J20" i="24"/>
  <c r="J19" i="24"/>
  <c r="J14" i="24"/>
  <c r="J13" i="24"/>
  <c r="J12" i="24"/>
  <c r="J11" i="24"/>
  <c r="J10" i="24"/>
  <c r="G41" i="30"/>
  <c r="J107" i="10"/>
  <c r="J106" i="10"/>
  <c r="G105" i="10"/>
  <c r="H105" i="10"/>
  <c r="I105" i="10"/>
  <c r="J103" i="10"/>
  <c r="J102" i="10"/>
  <c r="J101" i="10"/>
  <c r="G100" i="10"/>
  <c r="H100" i="10"/>
  <c r="H94" i="10"/>
  <c r="G94" i="10"/>
  <c r="J99" i="10"/>
  <c r="J98" i="10"/>
  <c r="J97" i="10"/>
  <c r="I94" i="10"/>
  <c r="J88" i="10"/>
  <c r="J87" i="10"/>
  <c r="J86" i="10"/>
  <c r="J85" i="10"/>
  <c r="J84" i="10"/>
  <c r="J83" i="10"/>
  <c r="J81" i="10"/>
  <c r="J80" i="10"/>
  <c r="J79" i="10"/>
  <c r="J77" i="10"/>
  <c r="J76" i="10"/>
  <c r="J74" i="10"/>
  <c r="J73" i="10"/>
  <c r="J72" i="10"/>
  <c r="J71" i="10"/>
  <c r="J70" i="10"/>
  <c r="J68" i="10"/>
  <c r="J66" i="10"/>
  <c r="J65" i="10"/>
  <c r="J64" i="10"/>
  <c r="I63" i="10"/>
  <c r="H63" i="10"/>
  <c r="G63" i="10"/>
  <c r="J56" i="10"/>
  <c r="I55" i="10"/>
  <c r="G55" i="10"/>
  <c r="J54" i="10"/>
  <c r="J53" i="10"/>
  <c r="J52" i="10"/>
  <c r="J50" i="10"/>
  <c r="J48" i="10"/>
  <c r="J47" i="10"/>
  <c r="J42" i="10"/>
  <c r="J40" i="10"/>
  <c r="J39" i="10"/>
  <c r="J38" i="10"/>
  <c r="J37" i="10"/>
  <c r="I36" i="10"/>
  <c r="H36" i="10"/>
  <c r="G36" i="10"/>
  <c r="J35" i="10"/>
  <c r="J34" i="10"/>
  <c r="J33" i="10"/>
  <c r="J31" i="10"/>
  <c r="J28" i="10"/>
  <c r="J24" i="10"/>
  <c r="J23" i="10"/>
  <c r="J22" i="10"/>
  <c r="J21" i="10"/>
  <c r="J19" i="10"/>
  <c r="J17" i="10"/>
  <c r="J16" i="10"/>
  <c r="J14" i="10"/>
  <c r="J13" i="10"/>
  <c r="J12" i="10"/>
  <c r="J11" i="10"/>
  <c r="J9" i="10"/>
  <c r="J8" i="10"/>
  <c r="J43" i="23"/>
  <c r="J42" i="23"/>
  <c r="I41" i="23"/>
  <c r="H41" i="23"/>
  <c r="G41" i="23"/>
  <c r="J40" i="23"/>
  <c r="I39" i="23"/>
  <c r="G39" i="23"/>
  <c r="G30" i="24" s="1"/>
  <c r="G38" i="23"/>
  <c r="J36" i="23"/>
  <c r="J35" i="23"/>
  <c r="J34" i="23"/>
  <c r="J33" i="23"/>
  <c r="J28" i="23"/>
  <c r="J27" i="23"/>
  <c r="J25" i="23"/>
  <c r="I24" i="23"/>
  <c r="I48" i="20"/>
  <c r="H48" i="20"/>
  <c r="I23" i="23"/>
  <c r="I22" i="23"/>
  <c r="I20" i="23"/>
  <c r="I19" i="23"/>
  <c r="J14" i="23"/>
  <c r="I11" i="23"/>
  <c r="I10" i="23"/>
  <c r="I9" i="23"/>
  <c r="J6" i="23"/>
  <c r="J5" i="23"/>
  <c r="J77" i="30"/>
  <c r="G48" i="20"/>
  <c r="I47" i="20"/>
  <c r="H47" i="20"/>
  <c r="G47" i="20"/>
  <c r="I46" i="20"/>
  <c r="I44" i="20"/>
  <c r="H44" i="20"/>
  <c r="G44" i="20"/>
  <c r="I43" i="20"/>
  <c r="H43" i="20"/>
  <c r="G43" i="20"/>
  <c r="G8" i="24" s="1"/>
  <c r="I42" i="20"/>
  <c r="I41" i="20"/>
  <c r="I40" i="20"/>
  <c r="J36" i="20"/>
  <c r="J32" i="20"/>
  <c r="G31" i="20"/>
  <c r="H31" i="20"/>
  <c r="I31" i="20"/>
  <c r="G26" i="20"/>
  <c r="G28" i="20"/>
  <c r="J30" i="20"/>
  <c r="J29" i="20"/>
  <c r="I28" i="20"/>
  <c r="H28" i="20"/>
  <c r="H26" i="20"/>
  <c r="J27" i="20"/>
  <c r="I26" i="20"/>
  <c r="J24" i="20"/>
  <c r="G23" i="20"/>
  <c r="H23" i="20"/>
  <c r="I23" i="20"/>
  <c r="J19" i="20"/>
  <c r="J16" i="20"/>
  <c r="I9" i="20"/>
  <c r="I11" i="20"/>
  <c r="H9" i="20"/>
  <c r="H11" i="20"/>
  <c r="J13" i="20"/>
  <c r="J12" i="20"/>
  <c r="G11" i="20"/>
  <c r="J10" i="20"/>
  <c r="G9" i="20"/>
  <c r="J7" i="20"/>
  <c r="J6" i="20"/>
  <c r="J5" i="20"/>
  <c r="J87" i="30"/>
  <c r="H45" i="12"/>
  <c r="H40" i="12"/>
  <c r="H33" i="12"/>
  <c r="H29" i="12"/>
  <c r="F28" i="12"/>
  <c r="G28" i="12"/>
  <c r="F23" i="12"/>
  <c r="F25" i="12"/>
  <c r="H27" i="12"/>
  <c r="H26" i="12"/>
  <c r="G25" i="12"/>
  <c r="G23" i="12"/>
  <c r="H24" i="12"/>
  <c r="H21" i="12"/>
  <c r="H19" i="12"/>
  <c r="H18" i="12"/>
  <c r="H17" i="12"/>
  <c r="H16" i="12"/>
  <c r="H15" i="12"/>
  <c r="H14" i="12"/>
  <c r="H13" i="12"/>
  <c r="H12" i="12"/>
  <c r="H10" i="12"/>
  <c r="H7" i="12"/>
  <c r="H6" i="12"/>
  <c r="H45" i="2"/>
  <c r="H44" i="2"/>
  <c r="F43" i="2"/>
  <c r="F42" i="2" s="1"/>
  <c r="H40" i="2"/>
  <c r="F39" i="2"/>
  <c r="H33" i="2"/>
  <c r="H29" i="2"/>
  <c r="G28" i="2"/>
  <c r="G23" i="2"/>
  <c r="G25" i="2"/>
  <c r="F28" i="2"/>
  <c r="H27" i="2"/>
  <c r="H26" i="2"/>
  <c r="F25" i="2"/>
  <c r="H24" i="2"/>
  <c r="F23" i="2"/>
  <c r="H21" i="2"/>
  <c r="G20" i="2"/>
  <c r="F20" i="2"/>
  <c r="H19" i="2"/>
  <c r="H18" i="2"/>
  <c r="H17" i="2"/>
  <c r="H16" i="2"/>
  <c r="H15" i="2"/>
  <c r="H14" i="2"/>
  <c r="H13" i="2"/>
  <c r="H12" i="2"/>
  <c r="G11" i="2"/>
  <c r="F11" i="2"/>
  <c r="H10" i="2"/>
  <c r="G9" i="2"/>
  <c r="F9" i="2"/>
  <c r="H7" i="2"/>
  <c r="H6" i="2"/>
  <c r="H45" i="5"/>
  <c r="H44" i="5"/>
  <c r="F43" i="5"/>
  <c r="H40" i="5"/>
  <c r="F38" i="5"/>
  <c r="F37" i="5"/>
  <c r="H33" i="5"/>
  <c r="H29" i="5"/>
  <c r="F28" i="5"/>
  <c r="G28" i="5"/>
  <c r="H27" i="5"/>
  <c r="H26" i="5"/>
  <c r="G25" i="5"/>
  <c r="F25" i="5"/>
  <c r="H24" i="5"/>
  <c r="G23" i="5"/>
  <c r="F23" i="5"/>
  <c r="G9" i="5"/>
  <c r="G11" i="5"/>
  <c r="G20" i="5"/>
  <c r="H21" i="5"/>
  <c r="F20" i="5"/>
  <c r="H19" i="5"/>
  <c r="H18" i="5"/>
  <c r="H17" i="5"/>
  <c r="H16" i="5"/>
  <c r="H15" i="5"/>
  <c r="H14" i="5"/>
  <c r="H13" i="5"/>
  <c r="H12" i="5"/>
  <c r="F9" i="5"/>
  <c r="F11" i="5"/>
  <c r="H10" i="5"/>
  <c r="H7" i="5"/>
  <c r="H6" i="5"/>
  <c r="H45" i="7"/>
  <c r="H44" i="7"/>
  <c r="F43" i="7"/>
  <c r="H40" i="7"/>
  <c r="H33" i="7"/>
  <c r="H29" i="7"/>
  <c r="G28" i="7"/>
  <c r="G23" i="7"/>
  <c r="G25" i="7"/>
  <c r="G9" i="7"/>
  <c r="G11" i="7"/>
  <c r="G20" i="7"/>
  <c r="F28" i="7"/>
  <c r="H27" i="7"/>
  <c r="H26" i="7"/>
  <c r="F25" i="7"/>
  <c r="H24" i="7"/>
  <c r="F23" i="7"/>
  <c r="H21" i="7"/>
  <c r="F20" i="7"/>
  <c r="H19" i="7"/>
  <c r="H18" i="7"/>
  <c r="H17" i="7"/>
  <c r="H16" i="7"/>
  <c r="H15" i="7"/>
  <c r="H14" i="7"/>
  <c r="H13" i="7"/>
  <c r="H12" i="7"/>
  <c r="F11" i="7"/>
  <c r="H10" i="7"/>
  <c r="F9" i="7"/>
  <c r="H7" i="7"/>
  <c r="H6" i="7"/>
  <c r="H45" i="18"/>
  <c r="H44" i="18"/>
  <c r="G43" i="18"/>
  <c r="H40" i="18"/>
  <c r="H33" i="18"/>
  <c r="H29" i="18"/>
  <c r="G28" i="18"/>
  <c r="G23" i="18"/>
  <c r="G25" i="18"/>
  <c r="G9" i="18"/>
  <c r="G11" i="18"/>
  <c r="G20" i="18"/>
  <c r="F28" i="18"/>
  <c r="H27" i="18"/>
  <c r="H26" i="18"/>
  <c r="F25" i="18"/>
  <c r="H24" i="18"/>
  <c r="F23" i="18"/>
  <c r="H21" i="18"/>
  <c r="F20" i="18"/>
  <c r="H19" i="18"/>
  <c r="H18" i="18"/>
  <c r="H17" i="18"/>
  <c r="H16" i="18"/>
  <c r="H15" i="18"/>
  <c r="H14" i="18"/>
  <c r="H13" i="18"/>
  <c r="H12" i="18"/>
  <c r="F11" i="18"/>
  <c r="H10" i="18"/>
  <c r="F9" i="18"/>
  <c r="H7" i="18"/>
  <c r="H6" i="18"/>
  <c r="H45" i="14"/>
  <c r="H44" i="14"/>
  <c r="H40" i="14"/>
  <c r="H33" i="14"/>
  <c r="H29" i="14"/>
  <c r="F28" i="14"/>
  <c r="G28" i="14"/>
  <c r="H27" i="14"/>
  <c r="H26" i="14"/>
  <c r="G25" i="14"/>
  <c r="G23" i="14"/>
  <c r="G9" i="14"/>
  <c r="G11" i="14"/>
  <c r="G20" i="14"/>
  <c r="F25" i="14"/>
  <c r="H24" i="14"/>
  <c r="F23" i="14"/>
  <c r="H21" i="14"/>
  <c r="F20" i="14"/>
  <c r="H19" i="14"/>
  <c r="H18" i="14"/>
  <c r="H17" i="14"/>
  <c r="H16" i="14"/>
  <c r="H15" i="14"/>
  <c r="H14" i="14"/>
  <c r="H13" i="14"/>
  <c r="H12" i="14"/>
  <c r="F11" i="14"/>
  <c r="H10" i="14"/>
  <c r="F9" i="14"/>
  <c r="H7" i="14"/>
  <c r="H6" i="14"/>
  <c r="H45" i="8"/>
  <c r="H44" i="8"/>
  <c r="F43" i="8"/>
  <c r="H40" i="8"/>
  <c r="H33" i="8"/>
  <c r="H29" i="8"/>
  <c r="G28" i="8"/>
  <c r="F28" i="8"/>
  <c r="H27" i="8"/>
  <c r="H26" i="8"/>
  <c r="G25" i="8"/>
  <c r="F25" i="8"/>
  <c r="H24" i="8"/>
  <c r="G23" i="8"/>
  <c r="F23" i="8"/>
  <c r="H21" i="8"/>
  <c r="G20" i="8"/>
  <c r="F20" i="8"/>
  <c r="H19" i="8"/>
  <c r="H18" i="8"/>
  <c r="H17" i="8"/>
  <c r="H16" i="8"/>
  <c r="H15" i="8"/>
  <c r="H14" i="8"/>
  <c r="H13" i="8"/>
  <c r="H12" i="8"/>
  <c r="G11" i="8"/>
  <c r="F11" i="8"/>
  <c r="H10" i="8"/>
  <c r="G9" i="8"/>
  <c r="F9" i="8"/>
  <c r="H7" i="8"/>
  <c r="H6" i="8"/>
  <c r="F45" i="37"/>
  <c r="H45" i="37" s="1"/>
  <c r="H44" i="37"/>
  <c r="H40" i="37"/>
  <c r="H33" i="37"/>
  <c r="H29" i="37"/>
  <c r="F28" i="37"/>
  <c r="G28" i="37"/>
  <c r="H27" i="37"/>
  <c r="H26" i="37"/>
  <c r="G25" i="37"/>
  <c r="G23" i="37"/>
  <c r="G9" i="37"/>
  <c r="G11" i="37"/>
  <c r="G20" i="37"/>
  <c r="F25" i="37"/>
  <c r="H24" i="37"/>
  <c r="F23" i="37"/>
  <c r="H21" i="37"/>
  <c r="F20" i="37"/>
  <c r="H19" i="37"/>
  <c r="H18" i="37"/>
  <c r="H17" i="37"/>
  <c r="H16" i="37"/>
  <c r="H15" i="37"/>
  <c r="H14" i="37"/>
  <c r="H13" i="37"/>
  <c r="H12" i="37"/>
  <c r="F11" i="37"/>
  <c r="H10" i="37"/>
  <c r="F9" i="37"/>
  <c r="H7" i="37"/>
  <c r="H6" i="37"/>
  <c r="J40" i="30"/>
  <c r="J37" i="30"/>
  <c r="J35" i="30"/>
  <c r="D117" i="27"/>
  <c r="D114" i="27"/>
  <c r="D109" i="27"/>
  <c r="D107" i="27"/>
  <c r="D105" i="27"/>
  <c r="D103" i="27"/>
  <c r="D99" i="27"/>
  <c r="J26" i="23"/>
  <c r="C94" i="10"/>
  <c r="C100" i="10"/>
  <c r="C105" i="10"/>
  <c r="C63" i="10"/>
  <c r="C69" i="10"/>
  <c r="C36" i="11" s="1"/>
  <c r="C78" i="10"/>
  <c r="C42" i="11" s="1"/>
  <c r="C82" i="10"/>
  <c r="C7" i="10"/>
  <c r="C20" i="10"/>
  <c r="C18" i="10" s="1"/>
  <c r="C9" i="11" s="1"/>
  <c r="C29" i="10"/>
  <c r="C12" i="11" s="1"/>
  <c r="C32" i="10"/>
  <c r="C36" i="10"/>
  <c r="C46" i="10"/>
  <c r="C51" i="10"/>
  <c r="C22" i="11" s="1"/>
  <c r="C55" i="10"/>
  <c r="D94" i="10"/>
  <c r="D100" i="10"/>
  <c r="D54" i="11" s="1"/>
  <c r="D105" i="10"/>
  <c r="D63" i="10"/>
  <c r="D69" i="10"/>
  <c r="D78" i="10"/>
  <c r="D82" i="10"/>
  <c r="D43" i="11" s="1"/>
  <c r="D7" i="10"/>
  <c r="D20" i="10"/>
  <c r="D18" i="10" s="1"/>
  <c r="D9" i="11" s="1"/>
  <c r="D26" i="10"/>
  <c r="D11" i="11" s="1"/>
  <c r="D29" i="10"/>
  <c r="D32" i="10"/>
  <c r="D13" i="11" s="1"/>
  <c r="D36" i="10"/>
  <c r="D43" i="10"/>
  <c r="D46" i="10"/>
  <c r="D51" i="10"/>
  <c r="D22" i="11" s="1"/>
  <c r="D57" i="10"/>
  <c r="D55" i="10" s="1"/>
  <c r="E94" i="10"/>
  <c r="E100" i="10"/>
  <c r="E54" i="11" s="1"/>
  <c r="E105" i="10"/>
  <c r="E63" i="10"/>
  <c r="E69" i="10"/>
  <c r="E67" i="10" s="1"/>
  <c r="E78" i="10"/>
  <c r="E82" i="10"/>
  <c r="E43" i="11" s="1"/>
  <c r="E7" i="10"/>
  <c r="E20" i="10"/>
  <c r="E18" i="10" s="1"/>
  <c r="E9" i="11" s="1"/>
  <c r="E26" i="10"/>
  <c r="E11" i="11" s="1"/>
  <c r="E29" i="10"/>
  <c r="E12" i="11" s="1"/>
  <c r="E32" i="10"/>
  <c r="E36" i="10"/>
  <c r="E43" i="10"/>
  <c r="E19" i="11" s="1"/>
  <c r="E46" i="10"/>
  <c r="E51" i="10"/>
  <c r="E22" i="11" s="1"/>
  <c r="E55" i="10"/>
  <c r="C19" i="23"/>
  <c r="C22" i="23"/>
  <c r="D31" i="31"/>
  <c r="B18" i="36"/>
  <c r="D9" i="23"/>
  <c r="H38" i="23"/>
  <c r="H32" i="23" s="1"/>
  <c r="C101" i="27"/>
  <c r="C99" i="27" s="1"/>
  <c r="C41" i="30"/>
  <c r="C4" i="30"/>
  <c r="F13" i="23"/>
  <c r="F57" i="10"/>
  <c r="C6" i="31"/>
  <c r="C5" i="31" s="1"/>
  <c r="C12" i="31" s="1"/>
  <c r="D22" i="23"/>
  <c r="F76" i="30"/>
  <c r="C94" i="27"/>
  <c r="C117" i="27"/>
  <c r="C111" i="27"/>
  <c r="C107" i="27"/>
  <c r="C114" i="27"/>
  <c r="C109" i="27"/>
  <c r="C105" i="27"/>
  <c r="C103" i="27"/>
  <c r="E57" i="11"/>
  <c r="D57" i="11"/>
  <c r="E56" i="11"/>
  <c r="D56" i="11"/>
  <c r="E49" i="11"/>
  <c r="E48" i="11" s="1"/>
  <c r="D49" i="11"/>
  <c r="D48" i="11" s="1"/>
  <c r="E41" i="11"/>
  <c r="D41" i="11"/>
  <c r="E40" i="11"/>
  <c r="D40" i="11"/>
  <c r="E38" i="11"/>
  <c r="D38" i="11"/>
  <c r="E37" i="11"/>
  <c r="D37" i="11"/>
  <c r="E35" i="11"/>
  <c r="D35" i="11"/>
  <c r="E33" i="11"/>
  <c r="D33" i="11"/>
  <c r="E32" i="11"/>
  <c r="D32" i="11"/>
  <c r="E31" i="11"/>
  <c r="D31" i="11"/>
  <c r="E27" i="11"/>
  <c r="D27" i="11"/>
  <c r="E16" i="11"/>
  <c r="D16" i="11"/>
  <c r="E15" i="11"/>
  <c r="D15" i="11"/>
  <c r="E8" i="11"/>
  <c r="D8" i="11"/>
  <c r="E7" i="11"/>
  <c r="D7" i="11"/>
  <c r="F92" i="30"/>
  <c r="F91" i="30"/>
  <c r="F90" i="30"/>
  <c r="D15" i="23"/>
  <c r="C39" i="23"/>
  <c r="C30" i="24" s="1"/>
  <c r="E39" i="23"/>
  <c r="E30" i="24" s="1"/>
  <c r="D11" i="23"/>
  <c r="C29" i="23"/>
  <c r="F29" i="23" s="1"/>
  <c r="E24" i="23"/>
  <c r="D24" i="23"/>
  <c r="C46" i="20"/>
  <c r="E42" i="20"/>
  <c r="E7" i="24" s="1"/>
  <c r="E41" i="20"/>
  <c r="E6" i="24" s="1"/>
  <c r="E40" i="20"/>
  <c r="E5" i="24" s="1"/>
  <c r="C42" i="2"/>
  <c r="C42" i="5"/>
  <c r="C42" i="7"/>
  <c r="D42" i="18"/>
  <c r="C42" i="18"/>
  <c r="C43" i="14"/>
  <c r="C42" i="14" s="1"/>
  <c r="D39" i="14"/>
  <c r="D38" i="14"/>
  <c r="D37" i="14"/>
  <c r="C43" i="8"/>
  <c r="C42" i="8" s="1"/>
  <c r="F19" i="30"/>
  <c r="E34" i="24"/>
  <c r="D34" i="24"/>
  <c r="C34" i="24"/>
  <c r="E33" i="24"/>
  <c r="D33" i="24"/>
  <c r="C33" i="24"/>
  <c r="E31" i="24"/>
  <c r="D31" i="24"/>
  <c r="C31" i="24"/>
  <c r="E29" i="24"/>
  <c r="D29" i="24"/>
  <c r="C29" i="24"/>
  <c r="E28" i="24"/>
  <c r="D28" i="24"/>
  <c r="C28" i="24"/>
  <c r="E27" i="24"/>
  <c r="D27" i="24"/>
  <c r="C27" i="24"/>
  <c r="C57" i="11"/>
  <c r="C56" i="11"/>
  <c r="C49" i="11"/>
  <c r="C48" i="11" s="1"/>
  <c r="C41" i="11"/>
  <c r="C40" i="11"/>
  <c r="C38" i="11"/>
  <c r="C37" i="11"/>
  <c r="C35" i="11"/>
  <c r="C33" i="11"/>
  <c r="C32" i="11"/>
  <c r="C31" i="11"/>
  <c r="C28" i="11"/>
  <c r="C27" i="11"/>
  <c r="C16" i="11"/>
  <c r="C15" i="11"/>
  <c r="C8" i="11"/>
  <c r="C7" i="11"/>
  <c r="D12" i="11"/>
  <c r="C54" i="11"/>
  <c r="F107" i="10"/>
  <c r="F106" i="10"/>
  <c r="F103" i="10"/>
  <c r="F101" i="10"/>
  <c r="F99" i="10"/>
  <c r="F98" i="10"/>
  <c r="F97" i="10"/>
  <c r="F88" i="10"/>
  <c r="F87" i="10"/>
  <c r="F86" i="10"/>
  <c r="F85" i="10"/>
  <c r="F84" i="10"/>
  <c r="F83" i="10"/>
  <c r="F81" i="10"/>
  <c r="F80" i="10"/>
  <c r="F79" i="10"/>
  <c r="F77" i="10"/>
  <c r="F76" i="10"/>
  <c r="F74" i="10"/>
  <c r="F73" i="10"/>
  <c r="F72" i="10"/>
  <c r="F71" i="10"/>
  <c r="F68" i="10"/>
  <c r="F66" i="10"/>
  <c r="F65" i="10"/>
  <c r="F64" i="10"/>
  <c r="F56" i="10"/>
  <c r="F54" i="10"/>
  <c r="F53" i="10"/>
  <c r="F52" i="10"/>
  <c r="F50" i="10"/>
  <c r="F48" i="10"/>
  <c r="F47" i="10"/>
  <c r="F45" i="10"/>
  <c r="F42" i="10"/>
  <c r="F40" i="10"/>
  <c r="F39" i="10"/>
  <c r="F38" i="10"/>
  <c r="F37" i="10"/>
  <c r="F35" i="10"/>
  <c r="F34" i="10"/>
  <c r="F33" i="10"/>
  <c r="F31" i="10"/>
  <c r="F30" i="10"/>
  <c r="F28" i="10"/>
  <c r="F24" i="10"/>
  <c r="F23" i="10"/>
  <c r="F22" i="10"/>
  <c r="F21" i="10"/>
  <c r="F19" i="10"/>
  <c r="F17" i="10"/>
  <c r="F16" i="10"/>
  <c r="F14" i="10"/>
  <c r="F13" i="10"/>
  <c r="F12" i="10"/>
  <c r="F11" i="10"/>
  <c r="F10" i="10"/>
  <c r="F9" i="10"/>
  <c r="F8" i="10"/>
  <c r="E41" i="23"/>
  <c r="D41" i="23"/>
  <c r="C41" i="23"/>
  <c r="D39" i="23"/>
  <c r="D30" i="24" s="1"/>
  <c r="D38" i="23"/>
  <c r="C38" i="23"/>
  <c r="C15" i="23"/>
  <c r="F43" i="23"/>
  <c r="F42" i="23"/>
  <c r="F40" i="23"/>
  <c r="F37" i="23"/>
  <c r="F36" i="23"/>
  <c r="F35" i="23"/>
  <c r="F34" i="23"/>
  <c r="F33" i="23"/>
  <c r="F28" i="23"/>
  <c r="F27" i="23"/>
  <c r="F26" i="23"/>
  <c r="F25" i="23"/>
  <c r="F14" i="23"/>
  <c r="F6" i="23"/>
  <c r="F5" i="23"/>
  <c r="F80" i="30"/>
  <c r="F75" i="30"/>
  <c r="F81" i="30"/>
  <c r="F77" i="30"/>
  <c r="F73" i="30"/>
  <c r="F72" i="30"/>
  <c r="F71" i="30"/>
  <c r="F70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3" i="30"/>
  <c r="C23" i="23"/>
  <c r="F15" i="30"/>
  <c r="F14" i="30"/>
  <c r="F12" i="30"/>
  <c r="F11" i="30"/>
  <c r="F10" i="30"/>
  <c r="F8" i="30"/>
  <c r="F7" i="30"/>
  <c r="F6" i="30"/>
  <c r="E48" i="20"/>
  <c r="D48" i="20"/>
  <c r="C48" i="20"/>
  <c r="E47" i="20"/>
  <c r="E17" i="24" s="1"/>
  <c r="D47" i="20"/>
  <c r="C47" i="20"/>
  <c r="E46" i="20"/>
  <c r="E16" i="24" s="1"/>
  <c r="E44" i="20"/>
  <c r="D44" i="20"/>
  <c r="C44" i="20"/>
  <c r="E43" i="20"/>
  <c r="E8" i="24" s="1"/>
  <c r="D43" i="20"/>
  <c r="C43" i="20"/>
  <c r="C8" i="24" s="1"/>
  <c r="E31" i="20"/>
  <c r="D31" i="20"/>
  <c r="C31" i="20"/>
  <c r="E28" i="20"/>
  <c r="D28" i="20"/>
  <c r="C28" i="20"/>
  <c r="E26" i="20"/>
  <c r="D26" i="20"/>
  <c r="C26" i="20"/>
  <c r="E23" i="20"/>
  <c r="D23" i="20"/>
  <c r="C23" i="20"/>
  <c r="E22" i="20"/>
  <c r="E25" i="11" s="1"/>
  <c r="D22" i="20"/>
  <c r="D25" i="11" s="1"/>
  <c r="C22" i="20"/>
  <c r="E21" i="20"/>
  <c r="E24" i="11" s="1"/>
  <c r="D21" i="20"/>
  <c r="C21" i="20"/>
  <c r="C24" i="11" s="1"/>
  <c r="E20" i="20"/>
  <c r="E23" i="11" s="1"/>
  <c r="D20" i="20"/>
  <c r="D23" i="11" s="1"/>
  <c r="C20" i="20"/>
  <c r="E18" i="20"/>
  <c r="E21" i="11" s="1"/>
  <c r="D18" i="20"/>
  <c r="C18" i="20"/>
  <c r="C21" i="11" s="1"/>
  <c r="E17" i="20"/>
  <c r="D17" i="20"/>
  <c r="C17" i="20"/>
  <c r="E15" i="20"/>
  <c r="E18" i="11" s="1"/>
  <c r="D15" i="20"/>
  <c r="C15" i="20"/>
  <c r="E11" i="20"/>
  <c r="D11" i="20"/>
  <c r="C11" i="20"/>
  <c r="E9" i="20"/>
  <c r="D9" i="20"/>
  <c r="C9" i="20"/>
  <c r="F36" i="20"/>
  <c r="F32" i="20"/>
  <c r="F30" i="20"/>
  <c r="F29" i="20"/>
  <c r="F27" i="20"/>
  <c r="F24" i="20"/>
  <c r="F19" i="20"/>
  <c r="F16" i="20"/>
  <c r="F13" i="20"/>
  <c r="F12" i="20"/>
  <c r="F10" i="20"/>
  <c r="F7" i="20"/>
  <c r="F6" i="20"/>
  <c r="F5" i="20"/>
  <c r="F88" i="30"/>
  <c r="F87" i="30"/>
  <c r="D28" i="12"/>
  <c r="C28" i="12"/>
  <c r="D25" i="12"/>
  <c r="C25" i="12"/>
  <c r="D23" i="12"/>
  <c r="C23" i="12"/>
  <c r="E45" i="12"/>
  <c r="E41" i="12"/>
  <c r="E40" i="12"/>
  <c r="E33" i="12"/>
  <c r="E29" i="12"/>
  <c r="E27" i="12"/>
  <c r="E26" i="12"/>
  <c r="E24" i="12"/>
  <c r="E21" i="12"/>
  <c r="E19" i="12"/>
  <c r="E18" i="12"/>
  <c r="E17" i="12"/>
  <c r="E16" i="12"/>
  <c r="E15" i="12"/>
  <c r="E14" i="12"/>
  <c r="E13" i="12"/>
  <c r="E12" i="12"/>
  <c r="E10" i="12"/>
  <c r="E7" i="12"/>
  <c r="E6" i="12"/>
  <c r="D43" i="2"/>
  <c r="D42" i="2" s="1"/>
  <c r="D39" i="2"/>
  <c r="D38" i="2"/>
  <c r="D37" i="2"/>
  <c r="D28" i="2"/>
  <c r="C28" i="2"/>
  <c r="D25" i="2"/>
  <c r="C25" i="2"/>
  <c r="D23" i="2"/>
  <c r="C23" i="2"/>
  <c r="D20" i="2"/>
  <c r="C20" i="2"/>
  <c r="D11" i="2"/>
  <c r="C11" i="2"/>
  <c r="D9" i="2"/>
  <c r="C9" i="2"/>
  <c r="E45" i="2"/>
  <c r="E44" i="2"/>
  <c r="E41" i="2"/>
  <c r="E40" i="2"/>
  <c r="E33" i="2"/>
  <c r="E29" i="2"/>
  <c r="E27" i="2"/>
  <c r="E26" i="2"/>
  <c r="E24" i="2"/>
  <c r="E21" i="2"/>
  <c r="E19" i="2"/>
  <c r="E18" i="2"/>
  <c r="E17" i="2"/>
  <c r="E16" i="2"/>
  <c r="E15" i="2"/>
  <c r="E14" i="2"/>
  <c r="E13" i="2"/>
  <c r="E12" i="2"/>
  <c r="E10" i="2"/>
  <c r="E7" i="2"/>
  <c r="E6" i="2"/>
  <c r="D43" i="5"/>
  <c r="D42" i="5" s="1"/>
  <c r="D39" i="5"/>
  <c r="D38" i="5"/>
  <c r="D37" i="5"/>
  <c r="D28" i="5"/>
  <c r="C28" i="5"/>
  <c r="D25" i="5"/>
  <c r="C25" i="5"/>
  <c r="D23" i="5"/>
  <c r="C23" i="5"/>
  <c r="D20" i="5"/>
  <c r="C20" i="5"/>
  <c r="D11" i="5"/>
  <c r="C11" i="5"/>
  <c r="D9" i="5"/>
  <c r="C9" i="5"/>
  <c r="E26" i="5"/>
  <c r="E12" i="5"/>
  <c r="E45" i="5"/>
  <c r="E44" i="5"/>
  <c r="E41" i="5"/>
  <c r="E33" i="5"/>
  <c r="E29" i="5"/>
  <c r="E27" i="5"/>
  <c r="E24" i="5"/>
  <c r="E21" i="5"/>
  <c r="E19" i="5"/>
  <c r="E18" i="5"/>
  <c r="E17" i="5"/>
  <c r="E16" i="5"/>
  <c r="E15" i="5"/>
  <c r="E14" i="5"/>
  <c r="E13" i="5"/>
  <c r="E10" i="5"/>
  <c r="E7" i="5"/>
  <c r="E6" i="5"/>
  <c r="D43" i="7"/>
  <c r="D42" i="7" s="1"/>
  <c r="D39" i="7"/>
  <c r="D38" i="7"/>
  <c r="D37" i="7"/>
  <c r="D28" i="7"/>
  <c r="C28" i="7"/>
  <c r="D25" i="7"/>
  <c r="C25" i="7"/>
  <c r="D23" i="7"/>
  <c r="C23" i="7"/>
  <c r="D20" i="7"/>
  <c r="C20" i="7"/>
  <c r="D11" i="7"/>
  <c r="C11" i="7"/>
  <c r="D9" i="7"/>
  <c r="C9" i="7"/>
  <c r="E45" i="7"/>
  <c r="E44" i="7"/>
  <c r="E41" i="7"/>
  <c r="E40" i="7"/>
  <c r="E33" i="7"/>
  <c r="E29" i="7"/>
  <c r="E27" i="7"/>
  <c r="E26" i="7"/>
  <c r="E24" i="7"/>
  <c r="E21" i="7"/>
  <c r="E19" i="7"/>
  <c r="E18" i="7"/>
  <c r="E17" i="7"/>
  <c r="E16" i="7"/>
  <c r="E15" i="7"/>
  <c r="E14" i="7"/>
  <c r="E13" i="7"/>
  <c r="E12" i="7"/>
  <c r="E10" i="7"/>
  <c r="E7" i="7"/>
  <c r="E6" i="7"/>
  <c r="D28" i="18"/>
  <c r="C28" i="18"/>
  <c r="D25" i="18"/>
  <c r="C25" i="18"/>
  <c r="D23" i="18"/>
  <c r="C23" i="18"/>
  <c r="D20" i="18"/>
  <c r="C20" i="18"/>
  <c r="D11" i="18"/>
  <c r="C11" i="18"/>
  <c r="D9" i="18"/>
  <c r="C9" i="18"/>
  <c r="E45" i="18"/>
  <c r="E44" i="18"/>
  <c r="E41" i="18"/>
  <c r="E40" i="18"/>
  <c r="E33" i="18"/>
  <c r="E29" i="18"/>
  <c r="E27" i="18"/>
  <c r="E26" i="18"/>
  <c r="E24" i="18"/>
  <c r="E21" i="18"/>
  <c r="E19" i="18"/>
  <c r="E18" i="18"/>
  <c r="E17" i="18"/>
  <c r="E16" i="18"/>
  <c r="E15" i="18"/>
  <c r="E14" i="18"/>
  <c r="E13" i="18"/>
  <c r="E12" i="18"/>
  <c r="E10" i="18"/>
  <c r="E7" i="18"/>
  <c r="E6" i="18"/>
  <c r="D43" i="14"/>
  <c r="D28" i="14"/>
  <c r="C28" i="14"/>
  <c r="C25" i="14"/>
  <c r="D25" i="14"/>
  <c r="D23" i="14"/>
  <c r="C23" i="14"/>
  <c r="D20" i="14"/>
  <c r="C20" i="14"/>
  <c r="D11" i="14"/>
  <c r="C11" i="14"/>
  <c r="D9" i="14"/>
  <c r="C9" i="14"/>
  <c r="E45" i="14"/>
  <c r="E44" i="14"/>
  <c r="E41" i="14"/>
  <c r="E40" i="14"/>
  <c r="E33" i="14"/>
  <c r="E29" i="14"/>
  <c r="E27" i="14"/>
  <c r="E26" i="14"/>
  <c r="E24" i="14"/>
  <c r="E21" i="14"/>
  <c r="E19" i="14"/>
  <c r="E18" i="14"/>
  <c r="E17" i="14"/>
  <c r="E16" i="14"/>
  <c r="E15" i="14"/>
  <c r="E14" i="14"/>
  <c r="E13" i="14"/>
  <c r="E12" i="14"/>
  <c r="E10" i="14"/>
  <c r="E7" i="14"/>
  <c r="E6" i="14"/>
  <c r="D43" i="8"/>
  <c r="D42" i="8" s="1"/>
  <c r="D39" i="8"/>
  <c r="D38" i="8"/>
  <c r="D37" i="8"/>
  <c r="C43" i="37"/>
  <c r="C39" i="37"/>
  <c r="C38" i="37"/>
  <c r="C37" i="37"/>
  <c r="F49" i="10"/>
  <c r="C6" i="11"/>
  <c r="F70" i="10"/>
  <c r="E40" i="5"/>
  <c r="D28" i="8"/>
  <c r="C28" i="8"/>
  <c r="D25" i="8"/>
  <c r="C25" i="8"/>
  <c r="D23" i="8"/>
  <c r="C23" i="8"/>
  <c r="D11" i="8"/>
  <c r="C11" i="8"/>
  <c r="D9" i="8"/>
  <c r="C9" i="8"/>
  <c r="E45" i="8"/>
  <c r="E44" i="8"/>
  <c r="E41" i="8"/>
  <c r="E40" i="8"/>
  <c r="E33" i="8"/>
  <c r="E29" i="8"/>
  <c r="E27" i="8"/>
  <c r="E26" i="8"/>
  <c r="E24" i="8"/>
  <c r="E21" i="8"/>
  <c r="E19" i="8"/>
  <c r="E18" i="8"/>
  <c r="E17" i="8"/>
  <c r="E16" i="8"/>
  <c r="E15" i="8"/>
  <c r="E14" i="8"/>
  <c r="E13" i="8"/>
  <c r="E12" i="8"/>
  <c r="E10" i="8"/>
  <c r="E7" i="8"/>
  <c r="E6" i="8"/>
  <c r="D43" i="37"/>
  <c r="D42" i="37" s="1"/>
  <c r="D39" i="37"/>
  <c r="D38" i="37"/>
  <c r="D37" i="37"/>
  <c r="D28" i="37"/>
  <c r="C28" i="37"/>
  <c r="D25" i="37"/>
  <c r="C25" i="37"/>
  <c r="D23" i="37"/>
  <c r="C23" i="37"/>
  <c r="E44" i="37"/>
  <c r="E41" i="37"/>
  <c r="E40" i="37"/>
  <c r="E33" i="37"/>
  <c r="E29" i="37"/>
  <c r="E27" i="37"/>
  <c r="E26" i="37"/>
  <c r="E24" i="37"/>
  <c r="E21" i="37"/>
  <c r="E19" i="37"/>
  <c r="E18" i="37"/>
  <c r="E17" i="37"/>
  <c r="E16" i="37"/>
  <c r="E15" i="37"/>
  <c r="E14" i="37"/>
  <c r="E13" i="37"/>
  <c r="E12" i="37"/>
  <c r="E10" i="37"/>
  <c r="F40" i="30"/>
  <c r="F39" i="30"/>
  <c r="F38" i="30"/>
  <c r="F37" i="30"/>
  <c r="F36" i="30"/>
  <c r="F78" i="30"/>
  <c r="F35" i="30"/>
  <c r="F34" i="30"/>
  <c r="F31" i="30"/>
  <c r="F30" i="30"/>
  <c r="F23" i="24"/>
  <c r="F22" i="24"/>
  <c r="F21" i="24"/>
  <c r="F20" i="24"/>
  <c r="F19" i="24"/>
  <c r="F14" i="24"/>
  <c r="F13" i="24"/>
  <c r="F12" i="24"/>
  <c r="F11" i="24"/>
  <c r="F10" i="24"/>
  <c r="F51" i="11"/>
  <c r="F52" i="11"/>
  <c r="F53" i="11"/>
  <c r="C21" i="16" s="1"/>
  <c r="F55" i="11"/>
  <c r="F58" i="11"/>
  <c r="F59" i="11"/>
  <c r="B26" i="29"/>
  <c r="C20" i="23" s="1"/>
  <c r="F20" i="23" s="1"/>
  <c r="K22" i="16"/>
  <c r="D31" i="35"/>
  <c r="D30" i="35" s="1"/>
  <c r="D28" i="35"/>
  <c r="D26" i="35"/>
  <c r="D24" i="35"/>
  <c r="C20" i="35"/>
  <c r="C19" i="35" s="1"/>
  <c r="C13" i="35"/>
  <c r="C10" i="35"/>
  <c r="C6" i="35"/>
  <c r="D28" i="31"/>
  <c r="D21" i="31"/>
  <c r="D18" i="31"/>
  <c r="D17" i="31" s="1"/>
  <c r="C14" i="31"/>
  <c r="C13" i="31" s="1"/>
  <c r="AF70" i="26"/>
  <c r="AF74" i="26" s="1"/>
  <c r="G102" i="15"/>
  <c r="G99" i="15" s="1"/>
  <c r="DH32" i="26"/>
  <c r="I6" i="17"/>
  <c r="G33" i="4"/>
  <c r="G32" i="4"/>
  <c r="G26" i="4"/>
  <c r="G24" i="4"/>
  <c r="G23" i="4"/>
  <c r="G19" i="4"/>
  <c r="G13" i="4"/>
  <c r="G13" i="1"/>
  <c r="G11" i="1"/>
  <c r="I26" i="9"/>
  <c r="AF15" i="26"/>
  <c r="F15" i="26" s="1"/>
  <c r="G37" i="15"/>
  <c r="G59" i="4"/>
  <c r="M70" i="9"/>
  <c r="I70" i="9"/>
  <c r="G70" i="9"/>
  <c r="G22" i="6"/>
  <c r="G53" i="4"/>
  <c r="G31" i="1"/>
  <c r="Q21" i="19"/>
  <c r="O21" i="19"/>
  <c r="G21" i="19"/>
  <c r="R2" i="26"/>
  <c r="E100" i="17"/>
  <c r="E36" i="17"/>
  <c r="M160" i="17"/>
  <c r="M172" i="17" s="1"/>
  <c r="L160" i="17"/>
  <c r="L172" i="17" s="1"/>
  <c r="M147" i="17"/>
  <c r="L147" i="17"/>
  <c r="M141" i="17"/>
  <c r="L141" i="17"/>
  <c r="M117" i="17"/>
  <c r="L117" i="17"/>
  <c r="M114" i="17"/>
  <c r="L114" i="17"/>
  <c r="M109" i="17"/>
  <c r="L109" i="17"/>
  <c r="M105" i="17"/>
  <c r="L105" i="17"/>
  <c r="L102" i="17"/>
  <c r="M97" i="17"/>
  <c r="M101" i="17" s="1"/>
  <c r="L97" i="17"/>
  <c r="L101" i="17" s="1"/>
  <c r="M91" i="17"/>
  <c r="L91" i="17"/>
  <c r="M87" i="17"/>
  <c r="L87" i="17"/>
  <c r="M84" i="17"/>
  <c r="L84" i="17"/>
  <c r="M80" i="17"/>
  <c r="L80" i="17"/>
  <c r="M78" i="17"/>
  <c r="L78" i="17"/>
  <c r="M74" i="17"/>
  <c r="L74" i="17"/>
  <c r="M70" i="17"/>
  <c r="L70" i="17"/>
  <c r="M63" i="17"/>
  <c r="L63" i="17"/>
  <c r="M59" i="17"/>
  <c r="L59" i="17"/>
  <c r="M52" i="17"/>
  <c r="L52" i="17"/>
  <c r="M45" i="17"/>
  <c r="L45" i="17"/>
  <c r="M38" i="17"/>
  <c r="L38" i="17"/>
  <c r="M30" i="17"/>
  <c r="L30" i="17"/>
  <c r="M28" i="17"/>
  <c r="L28" i="17"/>
  <c r="M26" i="17"/>
  <c r="L26" i="17"/>
  <c r="P32" i="26"/>
  <c r="DH42" i="26"/>
  <c r="H42" i="26" s="1"/>
  <c r="BP33" i="26"/>
  <c r="AF21" i="26"/>
  <c r="M62" i="17"/>
  <c r="U158" i="19"/>
  <c r="U159" i="19" s="1"/>
  <c r="R20" i="26"/>
  <c r="G154" i="19"/>
  <c r="G47" i="4"/>
  <c r="Q158" i="9"/>
  <c r="Q178" i="9" s="1"/>
  <c r="Q153" i="9"/>
  <c r="Q157" i="9" s="1"/>
  <c r="Q147" i="9"/>
  <c r="Q129" i="9"/>
  <c r="Q118" i="9"/>
  <c r="Q91" i="9"/>
  <c r="Q83" i="9"/>
  <c r="Q85" i="9" s="1"/>
  <c r="Q79" i="9"/>
  <c r="Q143" i="9"/>
  <c r="M54" i="9"/>
  <c r="M6" i="9" s="1"/>
  <c r="M78" i="9" s="1"/>
  <c r="M76" i="9" s="1"/>
  <c r="S216" i="9"/>
  <c r="S228" i="9" s="1"/>
  <c r="Q216" i="9"/>
  <c r="Q228" i="9" s="1"/>
  <c r="M216" i="9"/>
  <c r="M228" i="9" s="1"/>
  <c r="G39" i="4"/>
  <c r="CX64" i="26"/>
  <c r="CX66" i="26" s="1"/>
  <c r="CJ64" i="26"/>
  <c r="C18" i="36"/>
  <c r="C8" i="36"/>
  <c r="B8" i="36"/>
  <c r="B19" i="36" s="1"/>
  <c r="G37" i="1"/>
  <c r="BT59" i="26"/>
  <c r="Z38" i="26"/>
  <c r="Z43" i="26" s="1"/>
  <c r="Z33" i="26"/>
  <c r="F33" i="26" s="1"/>
  <c r="H7" i="33"/>
  <c r="G7" i="33"/>
  <c r="F7" i="33"/>
  <c r="E7" i="33"/>
  <c r="D7" i="33"/>
  <c r="C7" i="33"/>
  <c r="B7" i="33"/>
  <c r="I4" i="33"/>
  <c r="I7" i="33" s="1"/>
  <c r="C22" i="32"/>
  <c r="C13" i="32"/>
  <c r="AT17" i="26"/>
  <c r="H17" i="26" s="1"/>
  <c r="N73" i="26"/>
  <c r="N74" i="26" s="1"/>
  <c r="V73" i="26"/>
  <c r="AB73" i="26"/>
  <c r="Z68" i="26"/>
  <c r="O92" i="19"/>
  <c r="AJ52" i="26"/>
  <c r="AJ53" i="26" s="1"/>
  <c r="I148" i="15"/>
  <c r="I152" i="15" s="1"/>
  <c r="G107" i="15"/>
  <c r="G49" i="15"/>
  <c r="G6" i="6"/>
  <c r="G30" i="6" s="1"/>
  <c r="G28" i="6" s="1"/>
  <c r="AB33" i="26"/>
  <c r="Z73" i="26"/>
  <c r="L67" i="26"/>
  <c r="CT106" i="26"/>
  <c r="CT88" i="26"/>
  <c r="CT79" i="26"/>
  <c r="CT74" i="26"/>
  <c r="CT66" i="26"/>
  <c r="CT53" i="26"/>
  <c r="CT37" i="26"/>
  <c r="CT34" i="26"/>
  <c r="CT26" i="26"/>
  <c r="CT23" i="26"/>
  <c r="CT19" i="26"/>
  <c r="H19" i="26" s="1"/>
  <c r="CT18" i="26"/>
  <c r="P29" i="26"/>
  <c r="F29" i="26" s="1"/>
  <c r="AH106" i="26"/>
  <c r="AH88" i="26"/>
  <c r="AH79" i="26"/>
  <c r="AH73" i="26"/>
  <c r="AH74" i="26" s="1"/>
  <c r="AH53" i="26"/>
  <c r="AH44" i="26"/>
  <c r="DH106" i="26"/>
  <c r="DH88" i="26"/>
  <c r="DH79" i="26"/>
  <c r="DH74" i="26"/>
  <c r="DH66" i="26"/>
  <c r="DH53" i="26"/>
  <c r="DH37" i="26"/>
  <c r="DH26" i="26"/>
  <c r="DH23" i="26"/>
  <c r="DH18" i="26"/>
  <c r="AF106" i="26"/>
  <c r="AF88" i="26"/>
  <c r="AF79" i="26"/>
  <c r="AF53" i="26"/>
  <c r="AF37" i="26"/>
  <c r="AF34" i="26"/>
  <c r="AF26" i="26"/>
  <c r="AF23" i="26"/>
  <c r="U126" i="19"/>
  <c r="U123" i="19"/>
  <c r="U118" i="19"/>
  <c r="U114" i="19"/>
  <c r="U106" i="19"/>
  <c r="U110" i="19" s="1"/>
  <c r="U104" i="19"/>
  <c r="U100" i="19" s="1"/>
  <c r="U96" i="19"/>
  <c r="U93" i="19"/>
  <c r="U89" i="19"/>
  <c r="U84" i="19"/>
  <c r="U80" i="19"/>
  <c r="U73" i="19"/>
  <c r="U62" i="19"/>
  <c r="U55" i="19"/>
  <c r="U44" i="19"/>
  <c r="U41" i="19"/>
  <c r="U36" i="19"/>
  <c r="T45" i="19"/>
  <c r="S45" i="19"/>
  <c r="Q126" i="19"/>
  <c r="Q123" i="19"/>
  <c r="Q118" i="19"/>
  <c r="Q114" i="19"/>
  <c r="Q106" i="19"/>
  <c r="Q110" i="19" s="1"/>
  <c r="Q100" i="19"/>
  <c r="Q92" i="19"/>
  <c r="Q89" i="19"/>
  <c r="Q84" i="19"/>
  <c r="Q80" i="19"/>
  <c r="Q73" i="19"/>
  <c r="Q69" i="19"/>
  <c r="Q62" i="19"/>
  <c r="Q72" i="19" s="1"/>
  <c r="Q41" i="19"/>
  <c r="Q44" i="19"/>
  <c r="Q16" i="19"/>
  <c r="Q42" i="19" s="1"/>
  <c r="O158" i="19"/>
  <c r="O159" i="19" s="1"/>
  <c r="O126" i="19"/>
  <c r="O106" i="19"/>
  <c r="O100" i="19"/>
  <c r="O93" i="19"/>
  <c r="O96" i="19"/>
  <c r="O80" i="19"/>
  <c r="O62" i="19"/>
  <c r="O72" i="19" s="1"/>
  <c r="G44" i="19"/>
  <c r="O44" i="19"/>
  <c r="O41" i="19"/>
  <c r="O16" i="19"/>
  <c r="O42" i="19" s="1"/>
  <c r="G126" i="19"/>
  <c r="E126" i="19" s="1"/>
  <c r="G123" i="19"/>
  <c r="G118" i="19"/>
  <c r="G114" i="19"/>
  <c r="G73" i="19"/>
  <c r="G84" i="19"/>
  <c r="G96" i="19"/>
  <c r="G106" i="19"/>
  <c r="G110" i="19" s="1"/>
  <c r="G100" i="19"/>
  <c r="G93" i="19"/>
  <c r="G89" i="19"/>
  <c r="G80" i="19"/>
  <c r="E80" i="19" s="1"/>
  <c r="G69" i="19"/>
  <c r="G62" i="19"/>
  <c r="G55" i="19"/>
  <c r="G36" i="19"/>
  <c r="G35" i="19"/>
  <c r="G34" i="19" s="1"/>
  <c r="G31" i="19"/>
  <c r="G28" i="19"/>
  <c r="E28" i="19" s="1"/>
  <c r="G27" i="19"/>
  <c r="G26" i="19" s="1"/>
  <c r="E26" i="19" s="1"/>
  <c r="G24" i="19"/>
  <c r="E24" i="19" s="1"/>
  <c r="G16" i="19"/>
  <c r="G10" i="19"/>
  <c r="AH19" i="26"/>
  <c r="G77" i="15"/>
  <c r="G75" i="15" s="1"/>
  <c r="G95" i="15"/>
  <c r="K42" i="15"/>
  <c r="K49" i="15"/>
  <c r="K40" i="15"/>
  <c r="K46" i="15" s="1"/>
  <c r="K38" i="15"/>
  <c r="E162" i="17"/>
  <c r="E163" i="17"/>
  <c r="E164" i="17"/>
  <c r="E165" i="17"/>
  <c r="E167" i="17"/>
  <c r="E168" i="17"/>
  <c r="E169" i="17"/>
  <c r="E170" i="17"/>
  <c r="E161" i="17"/>
  <c r="E145" i="17"/>
  <c r="E144" i="17"/>
  <c r="E143" i="17"/>
  <c r="E142" i="17"/>
  <c r="E134" i="17"/>
  <c r="E135" i="17"/>
  <c r="E136" i="17"/>
  <c r="E137" i="17"/>
  <c r="E138" i="17"/>
  <c r="E139" i="17"/>
  <c r="E133" i="17"/>
  <c r="E83" i="17"/>
  <c r="E27" i="17"/>
  <c r="E21" i="17"/>
  <c r="E18" i="17"/>
  <c r="E17" i="17"/>
  <c r="E14" i="17"/>
  <c r="E13" i="17"/>
  <c r="E9" i="17"/>
  <c r="E8" i="17"/>
  <c r="K38" i="17"/>
  <c r="K30" i="17"/>
  <c r="K28" i="17"/>
  <c r="K26" i="17"/>
  <c r="DN106" i="26"/>
  <c r="DN88" i="26"/>
  <c r="DN79" i="26"/>
  <c r="DN74" i="26"/>
  <c r="DN66" i="26"/>
  <c r="DN53" i="26"/>
  <c r="DN43" i="26"/>
  <c r="DN37" i="26"/>
  <c r="DN34" i="26"/>
  <c r="DN26" i="26"/>
  <c r="DN23" i="26"/>
  <c r="DN18" i="26"/>
  <c r="DT106" i="26"/>
  <c r="DT88" i="26"/>
  <c r="DT79" i="26"/>
  <c r="DT74" i="26"/>
  <c r="DT66" i="26"/>
  <c r="DT53" i="26"/>
  <c r="DT43" i="26"/>
  <c r="DT37" i="26"/>
  <c r="DT34" i="26"/>
  <c r="DT18" i="26"/>
  <c r="DL106" i="26"/>
  <c r="DL88" i="26"/>
  <c r="DL74" i="26"/>
  <c r="DL66" i="26"/>
  <c r="DL53" i="26"/>
  <c r="DL43" i="26"/>
  <c r="DL37" i="26"/>
  <c r="DL34" i="26"/>
  <c r="DL26" i="26"/>
  <c r="DL23" i="26"/>
  <c r="DL18" i="26"/>
  <c r="DJ106" i="26"/>
  <c r="DJ88" i="26"/>
  <c r="DJ79" i="26"/>
  <c r="DJ66" i="26"/>
  <c r="DJ53" i="26"/>
  <c r="DJ43" i="26"/>
  <c r="DJ37" i="26"/>
  <c r="DJ34" i="26"/>
  <c r="DJ26" i="26"/>
  <c r="DJ23" i="26"/>
  <c r="DJ18" i="26"/>
  <c r="DF48" i="26"/>
  <c r="H48" i="26" s="1"/>
  <c r="DF50" i="26"/>
  <c r="DF106" i="26"/>
  <c r="DF88" i="26"/>
  <c r="DF79" i="26"/>
  <c r="DF74" i="26"/>
  <c r="DF66" i="26"/>
  <c r="DF43" i="26"/>
  <c r="DF37" i="26"/>
  <c r="DF34" i="26"/>
  <c r="DF26" i="26"/>
  <c r="DF23" i="26"/>
  <c r="DF18" i="26"/>
  <c r="DD106" i="26"/>
  <c r="DD88" i="26"/>
  <c r="DD79" i="26"/>
  <c r="DD74" i="26"/>
  <c r="DD66" i="26"/>
  <c r="DD53" i="26"/>
  <c r="DD43" i="26"/>
  <c r="DD37" i="26"/>
  <c r="DD34" i="26"/>
  <c r="DD26" i="26"/>
  <c r="DD23" i="26"/>
  <c r="DD18" i="26"/>
  <c r="CX106" i="26"/>
  <c r="CX88" i="26"/>
  <c r="CX79" i="26"/>
  <c r="CX74" i="26"/>
  <c r="CX53" i="26"/>
  <c r="CX43" i="26"/>
  <c r="CX37" i="26"/>
  <c r="CX34" i="26"/>
  <c r="CX26" i="26"/>
  <c r="CX23" i="26"/>
  <c r="CX18" i="26"/>
  <c r="CV106" i="26"/>
  <c r="CV88" i="26"/>
  <c r="CV79" i="26"/>
  <c r="CV74" i="26"/>
  <c r="CV64" i="26"/>
  <c r="CV66" i="26" s="1"/>
  <c r="CV53" i="26"/>
  <c r="CV43" i="26"/>
  <c r="CV37" i="26"/>
  <c r="CV34" i="26"/>
  <c r="CV26" i="26"/>
  <c r="CV23" i="26"/>
  <c r="CV18" i="26"/>
  <c r="CR106" i="26"/>
  <c r="CR88" i="26"/>
  <c r="CR79" i="26"/>
  <c r="CR74" i="26"/>
  <c r="CR66" i="26"/>
  <c r="CR53" i="26"/>
  <c r="CR43" i="26"/>
  <c r="CR37" i="26"/>
  <c r="CR34" i="26"/>
  <c r="CR26" i="26"/>
  <c r="CR23" i="26"/>
  <c r="CR18" i="26"/>
  <c r="CP106" i="26"/>
  <c r="CP88" i="26"/>
  <c r="CP79" i="26"/>
  <c r="CP74" i="26"/>
  <c r="CP64" i="26"/>
  <c r="CP66" i="26" s="1"/>
  <c r="CP53" i="26"/>
  <c r="CP43" i="26"/>
  <c r="CP37" i="26"/>
  <c r="CP34" i="26"/>
  <c r="CP26" i="26"/>
  <c r="CP23" i="26"/>
  <c r="CP18" i="26"/>
  <c r="CN106" i="26"/>
  <c r="CN88" i="26"/>
  <c r="CN79" i="26"/>
  <c r="CN74" i="26"/>
  <c r="CN66" i="26"/>
  <c r="CN53" i="26"/>
  <c r="CN43" i="26"/>
  <c r="CN37" i="26"/>
  <c r="CN34" i="26"/>
  <c r="CN26" i="26"/>
  <c r="CN23" i="26"/>
  <c r="CN18" i="26"/>
  <c r="CB64" i="26"/>
  <c r="H64" i="26" s="1"/>
  <c r="CL106" i="26"/>
  <c r="CL88" i="26"/>
  <c r="CL79" i="26"/>
  <c r="CL74" i="26"/>
  <c r="CL66" i="26"/>
  <c r="CL53" i="26"/>
  <c r="CL43" i="26"/>
  <c r="CL37" i="26"/>
  <c r="CL34" i="26"/>
  <c r="CL26" i="26"/>
  <c r="CL23" i="26"/>
  <c r="CL18" i="26"/>
  <c r="CJ106" i="26"/>
  <c r="CJ88" i="26"/>
  <c r="CJ79" i="26"/>
  <c r="CJ74" i="26"/>
  <c r="CJ66" i="26"/>
  <c r="CJ53" i="26"/>
  <c r="CJ37" i="26"/>
  <c r="CJ34" i="26"/>
  <c r="CJ26" i="26"/>
  <c r="CJ23" i="26"/>
  <c r="CJ18" i="26"/>
  <c r="CH106" i="26"/>
  <c r="CH88" i="26"/>
  <c r="CH79" i="26"/>
  <c r="CH74" i="26"/>
  <c r="CH66" i="26"/>
  <c r="CH53" i="26"/>
  <c r="CH43" i="26"/>
  <c r="CH37" i="26"/>
  <c r="CH34" i="26"/>
  <c r="CH26" i="26"/>
  <c r="CH23" i="26"/>
  <c r="CH18" i="26"/>
  <c r="CF106" i="26"/>
  <c r="CF88" i="26"/>
  <c r="CF79" i="26"/>
  <c r="CF74" i="26"/>
  <c r="CF66" i="26"/>
  <c r="CF53" i="26"/>
  <c r="CF43" i="26"/>
  <c r="CF37" i="26"/>
  <c r="CF34" i="26"/>
  <c r="CF26" i="26"/>
  <c r="CF23" i="26"/>
  <c r="CF18" i="26"/>
  <c r="CD106" i="26"/>
  <c r="CD88" i="26"/>
  <c r="CD79" i="26"/>
  <c r="CD74" i="26"/>
  <c r="CD66" i="26"/>
  <c r="CD53" i="26"/>
  <c r="CD43" i="26"/>
  <c r="CD37" i="26"/>
  <c r="CD34" i="26"/>
  <c r="CD26" i="26"/>
  <c r="CD23" i="26"/>
  <c r="CD18" i="26"/>
  <c r="CB106" i="26"/>
  <c r="CB88" i="26"/>
  <c r="CB79" i="26"/>
  <c r="CB74" i="26"/>
  <c r="CB66" i="26"/>
  <c r="CB53" i="26"/>
  <c r="CB43" i="26"/>
  <c r="CB37" i="26"/>
  <c r="CB34" i="26"/>
  <c r="CB26" i="26"/>
  <c r="CB23" i="26"/>
  <c r="CB18" i="26"/>
  <c r="BZ59" i="26"/>
  <c r="BZ66" i="26" s="1"/>
  <c r="BZ106" i="26"/>
  <c r="BZ88" i="26"/>
  <c r="BZ79" i="26"/>
  <c r="BZ74" i="26"/>
  <c r="BZ53" i="26"/>
  <c r="BZ43" i="26"/>
  <c r="BZ37" i="26"/>
  <c r="BZ34" i="26"/>
  <c r="BZ26" i="26"/>
  <c r="BZ23" i="26"/>
  <c r="BZ18" i="26"/>
  <c r="DV66" i="26"/>
  <c r="DV18" i="26"/>
  <c r="BX106" i="26"/>
  <c r="BX88" i="26"/>
  <c r="BX79" i="26"/>
  <c r="BX74" i="26"/>
  <c r="BX66" i="26"/>
  <c r="BX53" i="26"/>
  <c r="BX43" i="26"/>
  <c r="BX37" i="26"/>
  <c r="BX34" i="26"/>
  <c r="BX26" i="26"/>
  <c r="BX23" i="26"/>
  <c r="BX18" i="26"/>
  <c r="BV106" i="26"/>
  <c r="BV88" i="26"/>
  <c r="BV79" i="26"/>
  <c r="BV74" i="26"/>
  <c r="BV59" i="26"/>
  <c r="BV53" i="26"/>
  <c r="BV43" i="26"/>
  <c r="BV37" i="26"/>
  <c r="BV34" i="26"/>
  <c r="BV26" i="26"/>
  <c r="BV23" i="26"/>
  <c r="BV18" i="26"/>
  <c r="BT106" i="26"/>
  <c r="BT88" i="26"/>
  <c r="BT79" i="26"/>
  <c r="BT74" i="26"/>
  <c r="BT53" i="26"/>
  <c r="BT43" i="26"/>
  <c r="BT37" i="26"/>
  <c r="BT34" i="26"/>
  <c r="BT26" i="26"/>
  <c r="BT23" i="26"/>
  <c r="BT18" i="26"/>
  <c r="BR106" i="26"/>
  <c r="BR88" i="26"/>
  <c r="BR79" i="26"/>
  <c r="BR74" i="26"/>
  <c r="BR66" i="26"/>
  <c r="BR53" i="26"/>
  <c r="BR43" i="26"/>
  <c r="BR37" i="26"/>
  <c r="BR34" i="26"/>
  <c r="BR26" i="26"/>
  <c r="BR23" i="26"/>
  <c r="BR18" i="26"/>
  <c r="BP106" i="26"/>
  <c r="BP88" i="26"/>
  <c r="BP79" i="26"/>
  <c r="BP74" i="26"/>
  <c r="BP66" i="26"/>
  <c r="BP53" i="26"/>
  <c r="BP37" i="26"/>
  <c r="BP26" i="26"/>
  <c r="BP23" i="26"/>
  <c r="BP18" i="26"/>
  <c r="BN106" i="26"/>
  <c r="BN88" i="26"/>
  <c r="BN79" i="26"/>
  <c r="BN74" i="26"/>
  <c r="BN66" i="26"/>
  <c r="BN53" i="26"/>
  <c r="BN43" i="26"/>
  <c r="BN37" i="26"/>
  <c r="BN34" i="26"/>
  <c r="BN26" i="26"/>
  <c r="BN23" i="26"/>
  <c r="BN18" i="26"/>
  <c r="BL106" i="26"/>
  <c r="BL88" i="26"/>
  <c r="BL79" i="26"/>
  <c r="BL74" i="26"/>
  <c r="BL66" i="26"/>
  <c r="BL53" i="26"/>
  <c r="BL37" i="26"/>
  <c r="BL34" i="26"/>
  <c r="BL26" i="26"/>
  <c r="BL23" i="26"/>
  <c r="BL18" i="26"/>
  <c r="BJ106" i="26"/>
  <c r="BJ88" i="26"/>
  <c r="BJ79" i="26"/>
  <c r="BJ74" i="26"/>
  <c r="BJ66" i="26"/>
  <c r="BJ53" i="26"/>
  <c r="BJ37" i="26"/>
  <c r="BJ34" i="26"/>
  <c r="BJ26" i="26"/>
  <c r="BJ23" i="26"/>
  <c r="BJ18" i="26"/>
  <c r="BH106" i="26"/>
  <c r="BH88" i="26"/>
  <c r="BH79" i="26"/>
  <c r="BH74" i="26"/>
  <c r="BH66" i="26"/>
  <c r="BH53" i="26"/>
  <c r="BH43" i="26"/>
  <c r="BH37" i="26"/>
  <c r="BH34" i="26"/>
  <c r="BH26" i="26"/>
  <c r="BH23" i="26"/>
  <c r="BH18" i="26"/>
  <c r="BF106" i="26"/>
  <c r="BF88" i="26"/>
  <c r="BF79" i="26"/>
  <c r="BF74" i="26"/>
  <c r="BF66" i="26"/>
  <c r="BF53" i="26"/>
  <c r="BF37" i="26"/>
  <c r="BF34" i="26"/>
  <c r="BF26" i="26"/>
  <c r="BF23" i="26"/>
  <c r="BF18" i="26"/>
  <c r="BD106" i="26"/>
  <c r="BD88" i="26"/>
  <c r="BD79" i="26"/>
  <c r="BD74" i="26"/>
  <c r="BD66" i="26"/>
  <c r="BD53" i="26"/>
  <c r="BD43" i="26"/>
  <c r="BD37" i="26"/>
  <c r="BD34" i="26"/>
  <c r="BD26" i="26"/>
  <c r="BD23" i="26"/>
  <c r="BD18" i="26"/>
  <c r="DP106" i="26"/>
  <c r="DP88" i="26"/>
  <c r="DP79" i="26"/>
  <c r="DP74" i="26"/>
  <c r="DP66" i="26"/>
  <c r="DP53" i="26"/>
  <c r="DP37" i="26"/>
  <c r="DP34" i="26"/>
  <c r="DP26" i="26"/>
  <c r="DP23" i="26"/>
  <c r="DP18" i="26"/>
  <c r="BB106" i="26"/>
  <c r="BB88" i="26"/>
  <c r="BB79" i="26"/>
  <c r="BB74" i="26"/>
  <c r="BB66" i="26"/>
  <c r="BB53" i="26"/>
  <c r="BB37" i="26"/>
  <c r="BB34" i="26"/>
  <c r="BB26" i="26"/>
  <c r="BB23" i="26"/>
  <c r="BB18" i="26"/>
  <c r="AZ106" i="26"/>
  <c r="AZ88" i="26"/>
  <c r="AZ79" i="26"/>
  <c r="AZ74" i="26"/>
  <c r="AZ66" i="26"/>
  <c r="AZ53" i="26"/>
  <c r="AZ43" i="26"/>
  <c r="AZ37" i="26"/>
  <c r="AZ34" i="26"/>
  <c r="AZ26" i="26"/>
  <c r="AZ23" i="26"/>
  <c r="AZ18" i="26"/>
  <c r="AV106" i="26"/>
  <c r="AV88" i="26"/>
  <c r="AV79" i="26"/>
  <c r="AV74" i="26"/>
  <c r="AV66" i="26"/>
  <c r="AV53" i="26"/>
  <c r="AV43" i="26"/>
  <c r="AV37" i="26"/>
  <c r="AV34" i="26"/>
  <c r="AV26" i="26"/>
  <c r="AV23" i="26"/>
  <c r="AV18" i="26"/>
  <c r="AX106" i="26"/>
  <c r="AX88" i="26"/>
  <c r="AX79" i="26"/>
  <c r="AX74" i="26"/>
  <c r="AX66" i="26"/>
  <c r="AX53" i="26"/>
  <c r="AX43" i="26"/>
  <c r="AX37" i="26"/>
  <c r="AX34" i="26"/>
  <c r="AX26" i="26"/>
  <c r="AX23" i="26"/>
  <c r="AX18" i="26"/>
  <c r="AT106" i="26"/>
  <c r="AT88" i="26"/>
  <c r="AT79" i="26"/>
  <c r="AT74" i="26"/>
  <c r="AT66" i="26"/>
  <c r="AT53" i="26"/>
  <c r="AT43" i="26"/>
  <c r="AT37" i="26"/>
  <c r="AT34" i="26"/>
  <c r="AT26" i="26"/>
  <c r="AT23" i="26"/>
  <c r="AT18" i="26"/>
  <c r="AR106" i="26"/>
  <c r="AR88" i="26"/>
  <c r="AR79" i="26"/>
  <c r="AR74" i="26"/>
  <c r="AR66" i="26"/>
  <c r="AR53" i="26"/>
  <c r="AR37" i="26"/>
  <c r="AR34" i="26"/>
  <c r="AR26" i="26"/>
  <c r="AR23" i="26"/>
  <c r="AR18" i="26"/>
  <c r="AP106" i="26"/>
  <c r="AP88" i="26"/>
  <c r="AP79" i="26"/>
  <c r="AP74" i="26"/>
  <c r="AP66" i="26"/>
  <c r="AP53" i="26"/>
  <c r="AP43" i="26"/>
  <c r="AP37" i="26"/>
  <c r="AP34" i="26"/>
  <c r="AP26" i="26"/>
  <c r="AP23" i="26"/>
  <c r="AP18" i="26"/>
  <c r="AL106" i="26"/>
  <c r="AL88" i="26"/>
  <c r="AL79" i="26"/>
  <c r="AL74" i="26"/>
  <c r="AL66" i="26"/>
  <c r="AL53" i="26"/>
  <c r="AL43" i="26"/>
  <c r="AL37" i="26"/>
  <c r="AL34" i="26"/>
  <c r="AL26" i="26"/>
  <c r="AL23" i="26"/>
  <c r="AL18" i="26"/>
  <c r="AH18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7" i="26"/>
  <c r="F86" i="26"/>
  <c r="F85" i="26"/>
  <c r="F84" i="26"/>
  <c r="F83" i="26"/>
  <c r="F82" i="26"/>
  <c r="F81" i="26"/>
  <c r="F80" i="26"/>
  <c r="F78" i="26"/>
  <c r="F77" i="26"/>
  <c r="F76" i="26"/>
  <c r="F75" i="26"/>
  <c r="F72" i="26"/>
  <c r="F71" i="26"/>
  <c r="F70" i="26"/>
  <c r="F69" i="26"/>
  <c r="F64" i="26"/>
  <c r="F63" i="26"/>
  <c r="F62" i="26"/>
  <c r="F61" i="26"/>
  <c r="F60" i="26"/>
  <c r="F59" i="26"/>
  <c r="F58" i="26"/>
  <c r="F57" i="26"/>
  <c r="F56" i="26"/>
  <c r="F55" i="26"/>
  <c r="F54" i="26"/>
  <c r="F51" i="26"/>
  <c r="F50" i="26"/>
  <c r="F49" i="26"/>
  <c r="F48" i="26"/>
  <c r="F47" i="26"/>
  <c r="F46" i="26"/>
  <c r="F45" i="26"/>
  <c r="F42" i="26"/>
  <c r="F41" i="26"/>
  <c r="F40" i="26"/>
  <c r="F39" i="26"/>
  <c r="F36" i="26"/>
  <c r="F35" i="26"/>
  <c r="F31" i="26"/>
  <c r="F30" i="26"/>
  <c r="F28" i="26"/>
  <c r="F27" i="26"/>
  <c r="F25" i="26"/>
  <c r="F24" i="26"/>
  <c r="F22" i="26"/>
  <c r="F21" i="26"/>
  <c r="F20" i="26"/>
  <c r="F17" i="26"/>
  <c r="F16" i="26"/>
  <c r="F14" i="26"/>
  <c r="F13" i="26"/>
  <c r="F12" i="26"/>
  <c r="F11" i="26"/>
  <c r="F10" i="26"/>
  <c r="F9" i="26"/>
  <c r="F8" i="26"/>
  <c r="F7" i="26"/>
  <c r="F6" i="26"/>
  <c r="F5" i="26"/>
  <c r="F4" i="26"/>
  <c r="F3" i="26"/>
  <c r="AJ106" i="26"/>
  <c r="AJ88" i="26"/>
  <c r="AJ79" i="26"/>
  <c r="AJ74" i="26"/>
  <c r="AJ66" i="26"/>
  <c r="AJ43" i="26"/>
  <c r="AJ37" i="26"/>
  <c r="AJ34" i="26"/>
  <c r="AJ26" i="26"/>
  <c r="AJ23" i="26"/>
  <c r="AJ18" i="26"/>
  <c r="AD106" i="26"/>
  <c r="AD88" i="26"/>
  <c r="AD79" i="26"/>
  <c r="AD74" i="26"/>
  <c r="AD66" i="26"/>
  <c r="AD53" i="26"/>
  <c r="AD37" i="26"/>
  <c r="AD34" i="26"/>
  <c r="AD26" i="26"/>
  <c r="AD23" i="26"/>
  <c r="AD18" i="26"/>
  <c r="AB106" i="26"/>
  <c r="AB88" i="26"/>
  <c r="AB79" i="26"/>
  <c r="AB74" i="26"/>
  <c r="AB66" i="26"/>
  <c r="AB53" i="26"/>
  <c r="AB37" i="26"/>
  <c r="AB34" i="26"/>
  <c r="AB26" i="26"/>
  <c r="AB23" i="26"/>
  <c r="AB18" i="26"/>
  <c r="Z34" i="26"/>
  <c r="Z106" i="26"/>
  <c r="Z88" i="26"/>
  <c r="Z79" i="26"/>
  <c r="Z66" i="26"/>
  <c r="Z53" i="26"/>
  <c r="Z37" i="26"/>
  <c r="Z26" i="26"/>
  <c r="Z23" i="26"/>
  <c r="Z18" i="26"/>
  <c r="X106" i="26"/>
  <c r="X88" i="26"/>
  <c r="X79" i="26"/>
  <c r="X74" i="26"/>
  <c r="X66" i="26"/>
  <c r="X53" i="26"/>
  <c r="X37" i="26"/>
  <c r="X34" i="26"/>
  <c r="X26" i="26"/>
  <c r="X23" i="26"/>
  <c r="X18" i="26"/>
  <c r="V106" i="26"/>
  <c r="V88" i="26"/>
  <c r="V79" i="26"/>
  <c r="V74" i="26"/>
  <c r="V66" i="26"/>
  <c r="V53" i="26"/>
  <c r="V43" i="26"/>
  <c r="V37" i="26"/>
  <c r="V34" i="26"/>
  <c r="V26" i="26"/>
  <c r="V23" i="26"/>
  <c r="V18" i="26"/>
  <c r="T106" i="26"/>
  <c r="T88" i="26"/>
  <c r="T79" i="26"/>
  <c r="T74" i="26"/>
  <c r="T66" i="26"/>
  <c r="T53" i="26"/>
  <c r="T43" i="26"/>
  <c r="T37" i="26"/>
  <c r="T34" i="26"/>
  <c r="T26" i="26"/>
  <c r="T23" i="26"/>
  <c r="T18" i="26"/>
  <c r="R106" i="26"/>
  <c r="R88" i="26"/>
  <c r="R79" i="26"/>
  <c r="R74" i="26"/>
  <c r="R66" i="26"/>
  <c r="R53" i="26"/>
  <c r="R37" i="26"/>
  <c r="R34" i="26"/>
  <c r="R26" i="26"/>
  <c r="R23" i="26"/>
  <c r="P106" i="26"/>
  <c r="P88" i="26"/>
  <c r="P79" i="26"/>
  <c r="P74" i="26"/>
  <c r="P66" i="26"/>
  <c r="P53" i="26"/>
  <c r="P37" i="26"/>
  <c r="P26" i="26"/>
  <c r="P23" i="26"/>
  <c r="P18" i="26"/>
  <c r="N106" i="26"/>
  <c r="N88" i="26"/>
  <c r="N79" i="26"/>
  <c r="N66" i="26"/>
  <c r="N53" i="26"/>
  <c r="N37" i="26"/>
  <c r="N34" i="26"/>
  <c r="N26" i="26"/>
  <c r="N23" i="26"/>
  <c r="N18" i="26"/>
  <c r="J88" i="26"/>
  <c r="J79" i="26"/>
  <c r="J74" i="26"/>
  <c r="J66" i="26"/>
  <c r="J53" i="26"/>
  <c r="J44" i="26"/>
  <c r="J18" i="26"/>
  <c r="L106" i="26"/>
  <c r="L79" i="26"/>
  <c r="L88" i="26"/>
  <c r="L66" i="26"/>
  <c r="L53" i="26"/>
  <c r="L37" i="26"/>
  <c r="L26" i="26"/>
  <c r="L23" i="26"/>
  <c r="L18" i="26"/>
  <c r="L32" i="26"/>
  <c r="DL79" i="26"/>
  <c r="AF65" i="26"/>
  <c r="AF66" i="26" s="1"/>
  <c r="DS106" i="26"/>
  <c r="DQ106" i="26"/>
  <c r="DO106" i="26"/>
  <c r="DM106" i="26"/>
  <c r="DK106" i="26"/>
  <c r="DI106" i="26"/>
  <c r="DG106" i="26"/>
  <c r="DE106" i="26"/>
  <c r="DC106" i="26"/>
  <c r="DA106" i="26"/>
  <c r="CY106" i="26"/>
  <c r="CW106" i="26"/>
  <c r="CU106" i="26"/>
  <c r="CS106" i="26"/>
  <c r="CQ106" i="26"/>
  <c r="CO106" i="26"/>
  <c r="CM106" i="26"/>
  <c r="CK106" i="26"/>
  <c r="CI106" i="26"/>
  <c r="CG106" i="26"/>
  <c r="CE106" i="26"/>
  <c r="CC106" i="26"/>
  <c r="CA106" i="26"/>
  <c r="BY106" i="26"/>
  <c r="BW106" i="26"/>
  <c r="BU106" i="26"/>
  <c r="BS106" i="26"/>
  <c r="BQ106" i="26"/>
  <c r="BO106" i="26"/>
  <c r="BM106" i="26"/>
  <c r="BK106" i="26"/>
  <c r="BI106" i="26"/>
  <c r="BG106" i="26"/>
  <c r="BE106" i="26"/>
  <c r="BC106" i="26"/>
  <c r="BA106" i="26"/>
  <c r="AY106" i="26"/>
  <c r="AW106" i="26"/>
  <c r="AU106" i="26"/>
  <c r="AS106" i="26"/>
  <c r="AQ106" i="26"/>
  <c r="AO106" i="26"/>
  <c r="AM106" i="26"/>
  <c r="AK106" i="26"/>
  <c r="AI106" i="26"/>
  <c r="AE106" i="26"/>
  <c r="AC106" i="26"/>
  <c r="AA106" i="26"/>
  <c r="Y106" i="26"/>
  <c r="W106" i="26"/>
  <c r="U106" i="26"/>
  <c r="S106" i="26"/>
  <c r="Q106" i="26"/>
  <c r="O106" i="26"/>
  <c r="M106" i="26"/>
  <c r="K106" i="26"/>
  <c r="H105" i="26"/>
  <c r="G105" i="26"/>
  <c r="E105" i="26"/>
  <c r="C105" i="26"/>
  <c r="H104" i="26"/>
  <c r="G104" i="26"/>
  <c r="E104" i="26"/>
  <c r="C104" i="26"/>
  <c r="H103" i="26"/>
  <c r="G103" i="26"/>
  <c r="E103" i="26"/>
  <c r="C103" i="26"/>
  <c r="H102" i="26"/>
  <c r="G102" i="26"/>
  <c r="E102" i="26"/>
  <c r="C102" i="26"/>
  <c r="H101" i="26"/>
  <c r="G101" i="26"/>
  <c r="E101" i="26"/>
  <c r="C101" i="26"/>
  <c r="H100" i="26"/>
  <c r="G100" i="26"/>
  <c r="E100" i="26"/>
  <c r="C100" i="26"/>
  <c r="H99" i="26"/>
  <c r="G99" i="26"/>
  <c r="E99" i="26"/>
  <c r="C99" i="26"/>
  <c r="I98" i="26"/>
  <c r="I106" i="26" s="1"/>
  <c r="H98" i="26"/>
  <c r="G98" i="26"/>
  <c r="E98" i="26"/>
  <c r="H97" i="26"/>
  <c r="G97" i="26"/>
  <c r="E97" i="26"/>
  <c r="C97" i="26"/>
  <c r="H96" i="26"/>
  <c r="G96" i="26"/>
  <c r="E96" i="26"/>
  <c r="C96" i="26"/>
  <c r="H95" i="26"/>
  <c r="G95" i="26"/>
  <c r="E95" i="26"/>
  <c r="C95" i="26"/>
  <c r="H94" i="26"/>
  <c r="G94" i="26"/>
  <c r="E94" i="26"/>
  <c r="C94" i="26"/>
  <c r="H93" i="26"/>
  <c r="G93" i="26"/>
  <c r="E93" i="26"/>
  <c r="C93" i="26"/>
  <c r="H92" i="26"/>
  <c r="G92" i="26"/>
  <c r="E92" i="26"/>
  <c r="C92" i="26"/>
  <c r="H91" i="26"/>
  <c r="G91" i="26"/>
  <c r="E91" i="26"/>
  <c r="C91" i="26"/>
  <c r="H90" i="26"/>
  <c r="G90" i="26"/>
  <c r="E90" i="26"/>
  <c r="C90" i="26"/>
  <c r="H89" i="26"/>
  <c r="G89" i="26"/>
  <c r="E89" i="26"/>
  <c r="C89" i="26"/>
  <c r="DS88" i="26"/>
  <c r="DQ88" i="26"/>
  <c r="DO88" i="26"/>
  <c r="DM88" i="26"/>
  <c r="DK88" i="26"/>
  <c r="DI88" i="26"/>
  <c r="DG88" i="26"/>
  <c r="DE88" i="26"/>
  <c r="DC88" i="26"/>
  <c r="DA88" i="26"/>
  <c r="CY88" i="26"/>
  <c r="CW88" i="26"/>
  <c r="CU88" i="26"/>
  <c r="CS88" i="26"/>
  <c r="CQ88" i="26"/>
  <c r="CO88" i="26"/>
  <c r="CM88" i="26"/>
  <c r="CK88" i="26"/>
  <c r="CI88" i="26"/>
  <c r="CG88" i="26"/>
  <c r="CE88" i="26"/>
  <c r="CC88" i="26"/>
  <c r="CA88" i="26"/>
  <c r="BY88" i="26"/>
  <c r="BW88" i="26"/>
  <c r="BU88" i="26"/>
  <c r="BS88" i="26"/>
  <c r="BQ88" i="26"/>
  <c r="BO88" i="26"/>
  <c r="BM88" i="26"/>
  <c r="BK88" i="26"/>
  <c r="BI88" i="26"/>
  <c r="BG88" i="26"/>
  <c r="BE88" i="26"/>
  <c r="BC88" i="26"/>
  <c r="BA88" i="26"/>
  <c r="AY88" i="26"/>
  <c r="AW88" i="26"/>
  <c r="AU88" i="26"/>
  <c r="AS88" i="26"/>
  <c r="AQ88" i="26"/>
  <c r="AO88" i="26"/>
  <c r="AM88" i="26"/>
  <c r="AK88" i="26"/>
  <c r="AI88" i="26"/>
  <c r="AE88" i="26"/>
  <c r="AC88" i="26"/>
  <c r="AA88" i="26"/>
  <c r="Y88" i="26"/>
  <c r="W88" i="26"/>
  <c r="U88" i="26"/>
  <c r="S88" i="26"/>
  <c r="Q88" i="26"/>
  <c r="O88" i="26"/>
  <c r="M88" i="26"/>
  <c r="K88" i="26"/>
  <c r="I88" i="26"/>
  <c r="H87" i="26"/>
  <c r="D87" i="26" s="1"/>
  <c r="G87" i="26"/>
  <c r="E87" i="26"/>
  <c r="C87" i="26"/>
  <c r="H86" i="26"/>
  <c r="G86" i="26"/>
  <c r="E86" i="26"/>
  <c r="C86" i="26"/>
  <c r="H85" i="26"/>
  <c r="G85" i="26"/>
  <c r="E85" i="26"/>
  <c r="C85" i="26"/>
  <c r="H84" i="26"/>
  <c r="G84" i="26"/>
  <c r="E84" i="26"/>
  <c r="C84" i="26"/>
  <c r="H83" i="26"/>
  <c r="D83" i="26" s="1"/>
  <c r="G83" i="26"/>
  <c r="E83" i="26"/>
  <c r="C83" i="26"/>
  <c r="H82" i="26"/>
  <c r="G82" i="26"/>
  <c r="E82" i="26"/>
  <c r="C82" i="26"/>
  <c r="H81" i="26"/>
  <c r="G81" i="26"/>
  <c r="E81" i="26"/>
  <c r="C81" i="26"/>
  <c r="H80" i="26"/>
  <c r="G80" i="26"/>
  <c r="G88" i="26" s="1"/>
  <c r="E80" i="26"/>
  <c r="E88" i="26" s="1"/>
  <c r="C80" i="26"/>
  <c r="DS79" i="26"/>
  <c r="DQ79" i="26"/>
  <c r="DO79" i="26"/>
  <c r="DM79" i="26"/>
  <c r="DI79" i="26"/>
  <c r="DG79" i="26"/>
  <c r="DE79" i="26"/>
  <c r="DC79" i="26"/>
  <c r="DA79" i="26"/>
  <c r="CY79" i="26"/>
  <c r="CW79" i="26"/>
  <c r="CU79" i="26"/>
  <c r="CS79" i="26"/>
  <c r="CQ79" i="26"/>
  <c r="CO79" i="26"/>
  <c r="CM79" i="26"/>
  <c r="CK79" i="26"/>
  <c r="CI79" i="26"/>
  <c r="CG79" i="26"/>
  <c r="CE79" i="26"/>
  <c r="CC79" i="26"/>
  <c r="CA79" i="26"/>
  <c r="BY79" i="26"/>
  <c r="BW79" i="26"/>
  <c r="BU79" i="26"/>
  <c r="BS79" i="26"/>
  <c r="BQ79" i="26"/>
  <c r="BO79" i="26"/>
  <c r="BM79" i="26"/>
  <c r="BK79" i="26"/>
  <c r="BI79" i="26"/>
  <c r="BG79" i="26"/>
  <c r="BE79" i="26"/>
  <c r="BC79" i="26"/>
  <c r="BA79" i="26"/>
  <c r="AY79" i="26"/>
  <c r="AW79" i="26"/>
  <c r="AU79" i="26"/>
  <c r="AS79" i="26"/>
  <c r="AQ79" i="26"/>
  <c r="AO79" i="26"/>
  <c r="AM79" i="26"/>
  <c r="AK79" i="26"/>
  <c r="AI79" i="26"/>
  <c r="AC79" i="26"/>
  <c r="AA79" i="26"/>
  <c r="Y79" i="26"/>
  <c r="W79" i="26"/>
  <c r="U79" i="26"/>
  <c r="S79" i="26"/>
  <c r="Q79" i="26"/>
  <c r="O79" i="26"/>
  <c r="M79" i="26"/>
  <c r="K79" i="26"/>
  <c r="I79" i="26"/>
  <c r="DK78" i="26"/>
  <c r="G78" i="26" s="1"/>
  <c r="AE78" i="26"/>
  <c r="E78" i="26" s="1"/>
  <c r="H78" i="26"/>
  <c r="D78" i="26" s="1"/>
  <c r="H77" i="26"/>
  <c r="G77" i="26"/>
  <c r="E77" i="26"/>
  <c r="C77" i="26"/>
  <c r="H76" i="26"/>
  <c r="G76" i="26"/>
  <c r="E76" i="26"/>
  <c r="C76" i="26"/>
  <c r="DK75" i="26"/>
  <c r="AE75" i="26"/>
  <c r="E75" i="26" s="1"/>
  <c r="H75" i="26"/>
  <c r="DS74" i="26"/>
  <c r="DQ74" i="26"/>
  <c r="DO74" i="26"/>
  <c r="DM74" i="26"/>
  <c r="DK74" i="26"/>
  <c r="DG74" i="26"/>
  <c r="DE74" i="26"/>
  <c r="DC74" i="26"/>
  <c r="DA74" i="26"/>
  <c r="CY74" i="26"/>
  <c r="CW74" i="26"/>
  <c r="CU74" i="26"/>
  <c r="CS74" i="26"/>
  <c r="CQ74" i="26"/>
  <c r="CO74" i="26"/>
  <c r="CM74" i="26"/>
  <c r="CK74" i="26"/>
  <c r="CI74" i="26"/>
  <c r="CG74" i="26"/>
  <c r="CE74" i="26"/>
  <c r="CC74" i="26"/>
  <c r="CA74" i="26"/>
  <c r="BY74" i="26"/>
  <c r="BW74" i="26"/>
  <c r="BU74" i="26"/>
  <c r="BS74" i="26"/>
  <c r="BQ74" i="26"/>
  <c r="BO74" i="26"/>
  <c r="BM74" i="26"/>
  <c r="BK74" i="26"/>
  <c r="BI74" i="26"/>
  <c r="BG74" i="26"/>
  <c r="BE74" i="26"/>
  <c r="BC74" i="26"/>
  <c r="BA74" i="26"/>
  <c r="AY74" i="26"/>
  <c r="AW74" i="26"/>
  <c r="AU74" i="26"/>
  <c r="AS74" i="26"/>
  <c r="AQ74" i="26"/>
  <c r="AO74" i="26"/>
  <c r="AM74" i="26"/>
  <c r="AK74" i="26"/>
  <c r="AI74" i="26"/>
  <c r="AC74" i="26"/>
  <c r="AA74" i="26"/>
  <c r="Y74" i="26"/>
  <c r="W74" i="26"/>
  <c r="U74" i="26"/>
  <c r="S74" i="26"/>
  <c r="Q74" i="26"/>
  <c r="O74" i="26"/>
  <c r="M74" i="26"/>
  <c r="I74" i="26"/>
  <c r="DI73" i="26"/>
  <c r="G73" i="26" s="1"/>
  <c r="AE73" i="26"/>
  <c r="K73" i="26"/>
  <c r="K74" i="26" s="1"/>
  <c r="H73" i="26"/>
  <c r="H72" i="26"/>
  <c r="D72" i="26" s="1"/>
  <c r="G72" i="26"/>
  <c r="E72" i="26"/>
  <c r="C72" i="26"/>
  <c r="H71" i="26"/>
  <c r="G71" i="26"/>
  <c r="E71" i="26"/>
  <c r="C71" i="26"/>
  <c r="DI70" i="26"/>
  <c r="G70" i="26" s="1"/>
  <c r="AE70" i="26"/>
  <c r="E70" i="26" s="1"/>
  <c r="H70" i="26"/>
  <c r="DI69" i="26"/>
  <c r="G69" i="26" s="1"/>
  <c r="H69" i="26"/>
  <c r="E69" i="26"/>
  <c r="DI68" i="26"/>
  <c r="G68" i="26" s="1"/>
  <c r="AE68" i="26"/>
  <c r="E68" i="26" s="1"/>
  <c r="AE67" i="26"/>
  <c r="E67" i="26" s="1"/>
  <c r="H67" i="26"/>
  <c r="G67" i="26"/>
  <c r="DU66" i="26"/>
  <c r="DS66" i="26"/>
  <c r="DQ66" i="26"/>
  <c r="DO66" i="26"/>
  <c r="DM66" i="26"/>
  <c r="DK66" i="26"/>
  <c r="DI66" i="26"/>
  <c r="DG66" i="26"/>
  <c r="DE66" i="26"/>
  <c r="DC66" i="26"/>
  <c r="DA66" i="26"/>
  <c r="CY66" i="26"/>
  <c r="CW66" i="26"/>
  <c r="CS66" i="26"/>
  <c r="CQ66" i="26"/>
  <c r="CM66" i="26"/>
  <c r="CK66" i="26"/>
  <c r="CI66" i="26"/>
  <c r="CG66" i="26"/>
  <c r="CE66" i="26"/>
  <c r="CC66" i="26"/>
  <c r="CA66" i="26"/>
  <c r="BW66" i="26"/>
  <c r="BQ66" i="26"/>
  <c r="BO66" i="26"/>
  <c r="BM66" i="26"/>
  <c r="BK66" i="26"/>
  <c r="BI66" i="26"/>
  <c r="BG66" i="26"/>
  <c r="BE66" i="26"/>
  <c r="BC66" i="26"/>
  <c r="BA66" i="26"/>
  <c r="AY66" i="26"/>
  <c r="AW66" i="26"/>
  <c r="AU66" i="26"/>
  <c r="AS66" i="26"/>
  <c r="AQ66" i="26"/>
  <c r="AO66" i="26"/>
  <c r="AM66" i="26"/>
  <c r="AK66" i="26"/>
  <c r="AI66" i="26"/>
  <c r="AC66" i="26"/>
  <c r="AA66" i="26"/>
  <c r="Y66" i="26"/>
  <c r="W66" i="26"/>
  <c r="U66" i="26"/>
  <c r="S66" i="26"/>
  <c r="Q66" i="26"/>
  <c r="O66" i="26"/>
  <c r="M66" i="26"/>
  <c r="K66" i="26"/>
  <c r="I66" i="26"/>
  <c r="AE65" i="26"/>
  <c r="AE66" i="26" s="1"/>
  <c r="H65" i="26"/>
  <c r="G65" i="26"/>
  <c r="CU64" i="26"/>
  <c r="CO64" i="26"/>
  <c r="CO66" i="26" s="1"/>
  <c r="E64" i="26"/>
  <c r="H63" i="26"/>
  <c r="G63" i="26"/>
  <c r="E63" i="26"/>
  <c r="C63" i="26"/>
  <c r="H62" i="26"/>
  <c r="G62" i="26"/>
  <c r="E62" i="26"/>
  <c r="C62" i="26"/>
  <c r="H61" i="26"/>
  <c r="G61" i="26"/>
  <c r="E61" i="26"/>
  <c r="C61" i="26"/>
  <c r="H60" i="26"/>
  <c r="D60" i="26" s="1"/>
  <c r="G60" i="26"/>
  <c r="E60" i="26"/>
  <c r="C60" i="26"/>
  <c r="BY59" i="26"/>
  <c r="BY66" i="26" s="1"/>
  <c r="BU59" i="26"/>
  <c r="BU66" i="26" s="1"/>
  <c r="BS59" i="26"/>
  <c r="BS66" i="26" s="1"/>
  <c r="E59" i="26"/>
  <c r="H58" i="26"/>
  <c r="G58" i="26"/>
  <c r="E58" i="26"/>
  <c r="C58" i="26"/>
  <c r="H57" i="26"/>
  <c r="G57" i="26"/>
  <c r="E57" i="26"/>
  <c r="C57" i="26"/>
  <c r="H56" i="26"/>
  <c r="D56" i="26" s="1"/>
  <c r="G56" i="26"/>
  <c r="E56" i="26"/>
  <c r="C56" i="26"/>
  <c r="H55" i="26"/>
  <c r="G55" i="26"/>
  <c r="E55" i="26"/>
  <c r="C55" i="26"/>
  <c r="H54" i="26"/>
  <c r="G54" i="26"/>
  <c r="E54" i="26"/>
  <c r="C54" i="26"/>
  <c r="DS53" i="26"/>
  <c r="DQ53" i="26"/>
  <c r="DO53" i="26"/>
  <c r="DM53" i="26"/>
  <c r="DK53" i="26"/>
  <c r="DI53" i="26"/>
  <c r="DG53" i="26"/>
  <c r="DC53" i="26"/>
  <c r="DA53" i="26"/>
  <c r="CY53" i="26"/>
  <c r="CW53" i="26"/>
  <c r="CU53" i="26"/>
  <c r="CS53" i="26"/>
  <c r="CQ53" i="26"/>
  <c r="CO53" i="26"/>
  <c r="CM53" i="26"/>
  <c r="CK53" i="26"/>
  <c r="CI53" i="26"/>
  <c r="CG53" i="26"/>
  <c r="CE53" i="26"/>
  <c r="CC53" i="26"/>
  <c r="CA53" i="26"/>
  <c r="BY53" i="26"/>
  <c r="BW53" i="26"/>
  <c r="BU53" i="26"/>
  <c r="BS53" i="26"/>
  <c r="BQ53" i="26"/>
  <c r="BO53" i="26"/>
  <c r="BM53" i="26"/>
  <c r="BK53" i="26"/>
  <c r="BI53" i="26"/>
  <c r="BG53" i="26"/>
  <c r="BE53" i="26"/>
  <c r="BC53" i="26"/>
  <c r="BA53" i="26"/>
  <c r="AY53" i="26"/>
  <c r="AW53" i="26"/>
  <c r="AU53" i="26"/>
  <c r="AS53" i="26"/>
  <c r="AQ53" i="26"/>
  <c r="AO53" i="26"/>
  <c r="AM53" i="26"/>
  <c r="AK53" i="26"/>
  <c r="AE53" i="26"/>
  <c r="AC53" i="26"/>
  <c r="AA53" i="26"/>
  <c r="Y53" i="26"/>
  <c r="W53" i="26"/>
  <c r="U53" i="26"/>
  <c r="S53" i="26"/>
  <c r="Q53" i="26"/>
  <c r="O53" i="26"/>
  <c r="M53" i="26"/>
  <c r="K53" i="26"/>
  <c r="I53" i="26"/>
  <c r="DE52" i="26"/>
  <c r="AI52" i="26"/>
  <c r="H52" i="26"/>
  <c r="H51" i="26"/>
  <c r="D51" i="26" s="1"/>
  <c r="G51" i="26"/>
  <c r="E51" i="26"/>
  <c r="C51" i="26"/>
  <c r="G50" i="26"/>
  <c r="E50" i="26"/>
  <c r="H49" i="26"/>
  <c r="G49" i="26"/>
  <c r="E49" i="26"/>
  <c r="C49" i="26"/>
  <c r="G48" i="26"/>
  <c r="E48" i="26"/>
  <c r="H47" i="26"/>
  <c r="D47" i="26" s="1"/>
  <c r="G47" i="26"/>
  <c r="E47" i="26"/>
  <c r="C47" i="26"/>
  <c r="H46" i="26"/>
  <c r="G46" i="26"/>
  <c r="E46" i="26"/>
  <c r="C46" i="26"/>
  <c r="H45" i="26"/>
  <c r="G45" i="26"/>
  <c r="E45" i="26"/>
  <c r="C45" i="26"/>
  <c r="DS43" i="26"/>
  <c r="DQ43" i="26"/>
  <c r="DM43" i="26"/>
  <c r="DK43" i="26"/>
  <c r="DI43" i="26"/>
  <c r="DG43" i="26"/>
  <c r="DE43" i="26"/>
  <c r="DC43" i="26"/>
  <c r="DA43" i="26"/>
  <c r="CY43" i="26"/>
  <c r="CW43" i="26"/>
  <c r="CU43" i="26"/>
  <c r="CS43" i="26"/>
  <c r="CQ43" i="26"/>
  <c r="CO43" i="26"/>
  <c r="CM43" i="26"/>
  <c r="CK43" i="26"/>
  <c r="CG43" i="26"/>
  <c r="CE43" i="26"/>
  <c r="CC43" i="26"/>
  <c r="CA43" i="26"/>
  <c r="BY43" i="26"/>
  <c r="BW43" i="26"/>
  <c r="BU43" i="26"/>
  <c r="BS43" i="26"/>
  <c r="BQ43" i="26"/>
  <c r="BM43" i="26"/>
  <c r="BK43" i="26"/>
  <c r="BG43" i="26"/>
  <c r="BC43" i="26"/>
  <c r="BA43" i="26"/>
  <c r="AY43" i="26"/>
  <c r="AW43" i="26"/>
  <c r="AU43" i="26"/>
  <c r="AS43" i="26"/>
  <c r="AO43" i="26"/>
  <c r="AM43" i="26"/>
  <c r="AK43" i="26"/>
  <c r="AI43" i="26"/>
  <c r="Y43" i="26"/>
  <c r="U43" i="26"/>
  <c r="S43" i="26"/>
  <c r="G42" i="26"/>
  <c r="E42" i="26"/>
  <c r="H41" i="26"/>
  <c r="D41" i="26" s="1"/>
  <c r="G41" i="26"/>
  <c r="E41" i="26"/>
  <c r="H40" i="26"/>
  <c r="G40" i="26"/>
  <c r="E40" i="26"/>
  <c r="H39" i="26"/>
  <c r="G39" i="26"/>
  <c r="E39" i="26"/>
  <c r="DS37" i="26"/>
  <c r="DQ37" i="26"/>
  <c r="DO37" i="26"/>
  <c r="DM37" i="26"/>
  <c r="DK37" i="26"/>
  <c r="DI37" i="26"/>
  <c r="DG37" i="26"/>
  <c r="DE37" i="26"/>
  <c r="DC37" i="26"/>
  <c r="DA37" i="26"/>
  <c r="CY37" i="26"/>
  <c r="CW37" i="26"/>
  <c r="CU37" i="26"/>
  <c r="CS37" i="26"/>
  <c r="CQ37" i="26"/>
  <c r="CO37" i="26"/>
  <c r="CM37" i="26"/>
  <c r="CK37" i="26"/>
  <c r="CI37" i="26"/>
  <c r="CG37" i="26"/>
  <c r="CE37" i="26"/>
  <c r="CC37" i="26"/>
  <c r="CA37" i="26"/>
  <c r="BY37" i="26"/>
  <c r="BW37" i="26"/>
  <c r="BU37" i="26"/>
  <c r="BS37" i="26"/>
  <c r="BQ37" i="26"/>
  <c r="BO37" i="26"/>
  <c r="BM37" i="26"/>
  <c r="BK37" i="26"/>
  <c r="BI37" i="26"/>
  <c r="BG37" i="26"/>
  <c r="BE37" i="26"/>
  <c r="BC37" i="26"/>
  <c r="BA37" i="26"/>
  <c r="AY37" i="26"/>
  <c r="AW37" i="26"/>
  <c r="AU37" i="26"/>
  <c r="AS37" i="26"/>
  <c r="AQ37" i="26"/>
  <c r="AO37" i="26"/>
  <c r="AM37" i="26"/>
  <c r="AK37" i="26"/>
  <c r="AI37" i="26"/>
  <c r="AE37" i="26"/>
  <c r="AC37" i="26"/>
  <c r="AA37" i="26"/>
  <c r="Y37" i="26"/>
  <c r="W37" i="26"/>
  <c r="U37" i="26"/>
  <c r="S37" i="26"/>
  <c r="Q37" i="26"/>
  <c r="O37" i="26"/>
  <c r="M37" i="26"/>
  <c r="K37" i="26"/>
  <c r="H36" i="26"/>
  <c r="G36" i="26"/>
  <c r="E36" i="26"/>
  <c r="H35" i="26"/>
  <c r="G35" i="26"/>
  <c r="E35" i="26"/>
  <c r="DS34" i="26"/>
  <c r="DQ34" i="26"/>
  <c r="DO34" i="26"/>
  <c r="DM34" i="26"/>
  <c r="DK34" i="26"/>
  <c r="DI34" i="26"/>
  <c r="DG34" i="26"/>
  <c r="DE34" i="26"/>
  <c r="DC34" i="26"/>
  <c r="DA34" i="26"/>
  <c r="CY34" i="26"/>
  <c r="CW34" i="26"/>
  <c r="CU34" i="26"/>
  <c r="CS34" i="26"/>
  <c r="CQ34" i="26"/>
  <c r="CO34" i="26"/>
  <c r="CM34" i="26"/>
  <c r="CK34" i="26"/>
  <c r="CI34" i="26"/>
  <c r="CG34" i="26"/>
  <c r="CE34" i="26"/>
  <c r="CC34" i="26"/>
  <c r="CA34" i="26"/>
  <c r="BY34" i="26"/>
  <c r="BW34" i="26"/>
  <c r="BU34" i="26"/>
  <c r="BS34" i="26"/>
  <c r="BQ34" i="26"/>
  <c r="BM34" i="26"/>
  <c r="BI34" i="26"/>
  <c r="BG34" i="26"/>
  <c r="BE34" i="26"/>
  <c r="BC34" i="26"/>
  <c r="BA34" i="26"/>
  <c r="AY34" i="26"/>
  <c r="AW34" i="26"/>
  <c r="AU34" i="26"/>
  <c r="AS34" i="26"/>
  <c r="AQ34" i="26"/>
  <c r="AO34" i="26"/>
  <c r="AM34" i="26"/>
  <c r="AK34" i="26"/>
  <c r="AI34" i="26"/>
  <c r="AE34" i="26"/>
  <c r="AC34" i="26"/>
  <c r="W34" i="26"/>
  <c r="U34" i="26"/>
  <c r="S34" i="26"/>
  <c r="Q34" i="26"/>
  <c r="O34" i="26"/>
  <c r="M34" i="26"/>
  <c r="BO33" i="26"/>
  <c r="BO34" i="26" s="1"/>
  <c r="AA33" i="26"/>
  <c r="AA34" i="26" s="1"/>
  <c r="Y33" i="26"/>
  <c r="Y34" i="26" s="1"/>
  <c r="K32" i="26"/>
  <c r="K34" i="26" s="1"/>
  <c r="G32" i="26"/>
  <c r="H31" i="26"/>
  <c r="G31" i="26"/>
  <c r="E31" i="26"/>
  <c r="BK30" i="26"/>
  <c r="G30" i="26" s="1"/>
  <c r="H30" i="26"/>
  <c r="E30" i="26"/>
  <c r="H29" i="26"/>
  <c r="G29" i="26"/>
  <c r="E29" i="26"/>
  <c r="H28" i="26"/>
  <c r="G28" i="26"/>
  <c r="E28" i="26"/>
  <c r="H27" i="26"/>
  <c r="G27" i="26"/>
  <c r="E27" i="26"/>
  <c r="DO26" i="26"/>
  <c r="DM26" i="26"/>
  <c r="DK26" i="26"/>
  <c r="DI26" i="26"/>
  <c r="DG26" i="26"/>
  <c r="DE26" i="26"/>
  <c r="DC26" i="26"/>
  <c r="DA26" i="26"/>
  <c r="CY26" i="26"/>
  <c r="CW26" i="26"/>
  <c r="CU26" i="26"/>
  <c r="CS26" i="26"/>
  <c r="CQ26" i="26"/>
  <c r="CO26" i="26"/>
  <c r="CM26" i="26"/>
  <c r="CK26" i="26"/>
  <c r="CI26" i="26"/>
  <c r="CG26" i="26"/>
  <c r="CE26" i="26"/>
  <c r="CC26" i="26"/>
  <c r="CA26" i="26"/>
  <c r="BY26" i="26"/>
  <c r="BW26" i="26"/>
  <c r="BU26" i="26"/>
  <c r="BS26" i="26"/>
  <c r="BQ26" i="26"/>
  <c r="BO26" i="26"/>
  <c r="BM26" i="26"/>
  <c r="BK26" i="26"/>
  <c r="BI26" i="26"/>
  <c r="BG26" i="26"/>
  <c r="BE26" i="26"/>
  <c r="BC26" i="26"/>
  <c r="BA26" i="26"/>
  <c r="AY26" i="26"/>
  <c r="AW26" i="26"/>
  <c r="AU26" i="26"/>
  <c r="AS26" i="26"/>
  <c r="AQ26" i="26"/>
  <c r="AO26" i="26"/>
  <c r="AM26" i="26"/>
  <c r="AK26" i="26"/>
  <c r="AI26" i="26"/>
  <c r="AE26" i="26"/>
  <c r="AC26" i="26"/>
  <c r="AA26" i="26"/>
  <c r="Y26" i="26"/>
  <c r="W26" i="26"/>
  <c r="U26" i="26"/>
  <c r="S26" i="26"/>
  <c r="Q26" i="26"/>
  <c r="O26" i="26"/>
  <c r="M26" i="26"/>
  <c r="K26" i="26"/>
  <c r="H25" i="26"/>
  <c r="G25" i="26"/>
  <c r="E25" i="26"/>
  <c r="H24" i="26"/>
  <c r="H26" i="26" s="1"/>
  <c r="G24" i="26"/>
  <c r="E24" i="26"/>
  <c r="DO23" i="26"/>
  <c r="DM23" i="26"/>
  <c r="DK23" i="26"/>
  <c r="DI23" i="26"/>
  <c r="DG23" i="26"/>
  <c r="DE23" i="26"/>
  <c r="DC23" i="26"/>
  <c r="DA23" i="26"/>
  <c r="CY23" i="26"/>
  <c r="CW23" i="26"/>
  <c r="CU23" i="26"/>
  <c r="CS23" i="26"/>
  <c r="CQ23" i="26"/>
  <c r="CO23" i="26"/>
  <c r="CM23" i="26"/>
  <c r="CK23" i="26"/>
  <c r="CI23" i="26"/>
  <c r="CG23" i="26"/>
  <c r="CE23" i="26"/>
  <c r="CC23" i="26"/>
  <c r="CA23" i="26"/>
  <c r="BY23" i="26"/>
  <c r="BW23" i="26"/>
  <c r="BU23" i="26"/>
  <c r="BS23" i="26"/>
  <c r="BQ23" i="26"/>
  <c r="BO23" i="26"/>
  <c r="BM23" i="26"/>
  <c r="BK23" i="26"/>
  <c r="BI23" i="26"/>
  <c r="BG23" i="26"/>
  <c r="BE23" i="26"/>
  <c r="BC23" i="26"/>
  <c r="BA23" i="26"/>
  <c r="AY23" i="26"/>
  <c r="AW23" i="26"/>
  <c r="AU23" i="26"/>
  <c r="AS23" i="26"/>
  <c r="AQ23" i="26"/>
  <c r="AO23" i="26"/>
  <c r="AM23" i="26"/>
  <c r="AK23" i="26"/>
  <c r="AI23" i="26"/>
  <c r="AE23" i="26"/>
  <c r="AC23" i="26"/>
  <c r="AA23" i="26"/>
  <c r="Y23" i="26"/>
  <c r="W23" i="26"/>
  <c r="U23" i="26"/>
  <c r="S23" i="26"/>
  <c r="Q23" i="26"/>
  <c r="O23" i="26"/>
  <c r="M23" i="26"/>
  <c r="K23" i="26"/>
  <c r="H22" i="26"/>
  <c r="G22" i="26"/>
  <c r="E22" i="26"/>
  <c r="C22" i="26" s="1"/>
  <c r="H21" i="26"/>
  <c r="G21" i="26"/>
  <c r="E21" i="26"/>
  <c r="H20" i="26"/>
  <c r="G20" i="26"/>
  <c r="C20" i="26" s="1"/>
  <c r="E20" i="26"/>
  <c r="Q19" i="26"/>
  <c r="O19" i="26"/>
  <c r="G19" i="26"/>
  <c r="DU18" i="26"/>
  <c r="DU107" i="26" s="1"/>
  <c r="DS18" i="26"/>
  <c r="DQ18" i="26"/>
  <c r="DO18" i="26"/>
  <c r="DM18" i="26"/>
  <c r="DK18" i="26"/>
  <c r="DI18" i="26"/>
  <c r="DG18" i="26"/>
  <c r="DE18" i="26"/>
  <c r="DC18" i="26"/>
  <c r="DA18" i="26"/>
  <c r="CY18" i="26"/>
  <c r="CW18" i="26"/>
  <c r="CU18" i="26"/>
  <c r="CS18" i="26"/>
  <c r="CQ18" i="26"/>
  <c r="CO18" i="26"/>
  <c r="CM18" i="26"/>
  <c r="CK18" i="26"/>
  <c r="CI18" i="26"/>
  <c r="CG18" i="26"/>
  <c r="CE18" i="26"/>
  <c r="CC18" i="26"/>
  <c r="CA18" i="26"/>
  <c r="BY18" i="26"/>
  <c r="BW18" i="26"/>
  <c r="BU18" i="26"/>
  <c r="BS18" i="26"/>
  <c r="BQ18" i="26"/>
  <c r="BO18" i="26"/>
  <c r="BM18" i="26"/>
  <c r="BK18" i="26"/>
  <c r="BI18" i="26"/>
  <c r="BG18" i="26"/>
  <c r="BE18" i="26"/>
  <c r="BC18" i="26"/>
  <c r="BA18" i="26"/>
  <c r="AY18" i="26"/>
  <c r="AW18" i="26"/>
  <c r="AU18" i="26"/>
  <c r="AS18" i="26"/>
  <c r="AQ18" i="26"/>
  <c r="AO18" i="26"/>
  <c r="AM18" i="26"/>
  <c r="AK18" i="26"/>
  <c r="AI18" i="26"/>
  <c r="AE18" i="26"/>
  <c r="AE19" i="26" s="1"/>
  <c r="AC18" i="26"/>
  <c r="AA18" i="26"/>
  <c r="Y18" i="26"/>
  <c r="W18" i="26"/>
  <c r="U18" i="26"/>
  <c r="S18" i="26"/>
  <c r="Q18" i="26"/>
  <c r="O18" i="26"/>
  <c r="M18" i="26"/>
  <c r="K18" i="26"/>
  <c r="I18" i="26"/>
  <c r="G17" i="26"/>
  <c r="E17" i="26"/>
  <c r="H16" i="26"/>
  <c r="G16" i="26"/>
  <c r="E16" i="26"/>
  <c r="H15" i="26"/>
  <c r="G15" i="26"/>
  <c r="E15" i="26"/>
  <c r="H14" i="26"/>
  <c r="D14" i="26" s="1"/>
  <c r="G14" i="26"/>
  <c r="E14" i="26"/>
  <c r="H13" i="26"/>
  <c r="D13" i="26" s="1"/>
  <c r="G13" i="26"/>
  <c r="E13" i="26"/>
  <c r="H12" i="26"/>
  <c r="G12" i="26"/>
  <c r="E12" i="26"/>
  <c r="H11" i="26"/>
  <c r="G11" i="26"/>
  <c r="E11" i="26"/>
  <c r="H10" i="26"/>
  <c r="D10" i="26" s="1"/>
  <c r="G10" i="26"/>
  <c r="E10" i="26"/>
  <c r="H9" i="26"/>
  <c r="D9" i="26" s="1"/>
  <c r="G9" i="26"/>
  <c r="C9" i="26" s="1"/>
  <c r="E9" i="26"/>
  <c r="H8" i="26"/>
  <c r="G8" i="26"/>
  <c r="E8" i="26"/>
  <c r="H7" i="26"/>
  <c r="G7" i="26"/>
  <c r="E7" i="26"/>
  <c r="H6" i="26"/>
  <c r="G6" i="26"/>
  <c r="E6" i="26"/>
  <c r="H5" i="26"/>
  <c r="D5" i="26" s="1"/>
  <c r="G5" i="26"/>
  <c r="C5" i="26" s="1"/>
  <c r="E5" i="26"/>
  <c r="H4" i="26"/>
  <c r="G4" i="26"/>
  <c r="E4" i="26"/>
  <c r="H3" i="26"/>
  <c r="G3" i="26"/>
  <c r="E3" i="26"/>
  <c r="H2" i="26"/>
  <c r="G2" i="26"/>
  <c r="E2" i="26"/>
  <c r="BW44" i="26"/>
  <c r="D183" i="19"/>
  <c r="M36" i="19"/>
  <c r="L36" i="19"/>
  <c r="M34" i="19"/>
  <c r="M41" i="19" s="1"/>
  <c r="L34" i="19"/>
  <c r="E89" i="9"/>
  <c r="D88" i="9"/>
  <c r="D89" i="9"/>
  <c r="D90" i="9"/>
  <c r="E43" i="19"/>
  <c r="D42" i="19"/>
  <c r="D43" i="19"/>
  <c r="D44" i="19"/>
  <c r="D41" i="19"/>
  <c r="H165" i="19"/>
  <c r="I165" i="19"/>
  <c r="J165" i="19"/>
  <c r="K165" i="19"/>
  <c r="L165" i="19"/>
  <c r="M165" i="19"/>
  <c r="N165" i="19"/>
  <c r="O165" i="19"/>
  <c r="P165" i="19"/>
  <c r="Q165" i="19"/>
  <c r="R165" i="19"/>
  <c r="S165" i="19"/>
  <c r="T165" i="19"/>
  <c r="U165" i="19"/>
  <c r="H159" i="19"/>
  <c r="I159" i="19"/>
  <c r="J159" i="19"/>
  <c r="K159" i="19"/>
  <c r="L159" i="19"/>
  <c r="M159" i="19"/>
  <c r="N159" i="19"/>
  <c r="P159" i="19"/>
  <c r="Q159" i="19"/>
  <c r="R159" i="19"/>
  <c r="S159" i="19"/>
  <c r="T159" i="19"/>
  <c r="T166" i="19" s="1"/>
  <c r="T126" i="19"/>
  <c r="T123" i="19"/>
  <c r="T118" i="19"/>
  <c r="T114" i="19"/>
  <c r="T111" i="19"/>
  <c r="T106" i="19"/>
  <c r="T110" i="19" s="1"/>
  <c r="T100" i="19"/>
  <c r="T96" i="19"/>
  <c r="T93" i="19"/>
  <c r="T89" i="19"/>
  <c r="T84" i="19"/>
  <c r="T80" i="19"/>
  <c r="T73" i="19"/>
  <c r="T62" i="19"/>
  <c r="T55" i="19"/>
  <c r="E133" i="19"/>
  <c r="E134" i="19"/>
  <c r="E135" i="19"/>
  <c r="E136" i="19"/>
  <c r="E137" i="19"/>
  <c r="E138" i="19"/>
  <c r="E139" i="19"/>
  <c r="E140" i="19"/>
  <c r="D134" i="19"/>
  <c r="D135" i="19"/>
  <c r="D136" i="19"/>
  <c r="D137" i="19"/>
  <c r="D138" i="19"/>
  <c r="D139" i="19"/>
  <c r="D140" i="19"/>
  <c r="D133" i="19"/>
  <c r="F141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U141" i="19"/>
  <c r="H180" i="19"/>
  <c r="I180" i="19"/>
  <c r="J180" i="19"/>
  <c r="K180" i="19"/>
  <c r="L180" i="19"/>
  <c r="M180" i="19"/>
  <c r="N180" i="19"/>
  <c r="O180" i="19"/>
  <c r="P180" i="19"/>
  <c r="Q180" i="19"/>
  <c r="R180" i="19"/>
  <c r="S180" i="19"/>
  <c r="T180" i="19"/>
  <c r="U180" i="19"/>
  <c r="P126" i="19"/>
  <c r="P123" i="19"/>
  <c r="P118" i="19"/>
  <c r="P114" i="19"/>
  <c r="P106" i="19"/>
  <c r="P110" i="19" s="1"/>
  <c r="P100" i="19"/>
  <c r="P96" i="19"/>
  <c r="P93" i="19"/>
  <c r="P89" i="19"/>
  <c r="P84" i="19"/>
  <c r="H83" i="19"/>
  <c r="I83" i="19"/>
  <c r="J83" i="19"/>
  <c r="K83" i="19"/>
  <c r="L83" i="19"/>
  <c r="M83" i="19"/>
  <c r="O83" i="19"/>
  <c r="Q83" i="19"/>
  <c r="R83" i="19"/>
  <c r="S83" i="19"/>
  <c r="P80" i="19"/>
  <c r="P73" i="19"/>
  <c r="H72" i="19"/>
  <c r="I72" i="19"/>
  <c r="J72" i="19"/>
  <c r="K72" i="19"/>
  <c r="L72" i="19"/>
  <c r="M72" i="19"/>
  <c r="R72" i="19"/>
  <c r="S72" i="19"/>
  <c r="P69" i="19"/>
  <c r="P62" i="19"/>
  <c r="P55" i="19"/>
  <c r="P28" i="19"/>
  <c r="P26" i="19"/>
  <c r="D26" i="19" s="1"/>
  <c r="P24" i="19"/>
  <c r="P21" i="19"/>
  <c r="D21" i="19" s="1"/>
  <c r="P16" i="19"/>
  <c r="P10" i="19"/>
  <c r="N126" i="19"/>
  <c r="N106" i="19"/>
  <c r="N110" i="19" s="1"/>
  <c r="H39" i="19"/>
  <c r="I39" i="19"/>
  <c r="J39" i="19"/>
  <c r="K39" i="19"/>
  <c r="O39" i="19"/>
  <c r="P39" i="19"/>
  <c r="Q39" i="19"/>
  <c r="R39" i="19"/>
  <c r="S39" i="19"/>
  <c r="T39" i="19"/>
  <c r="H30" i="19"/>
  <c r="I30" i="19"/>
  <c r="K30" i="19"/>
  <c r="L30" i="19"/>
  <c r="M30" i="19"/>
  <c r="O30" i="19"/>
  <c r="R30" i="19"/>
  <c r="S30" i="19"/>
  <c r="T30" i="19"/>
  <c r="U30" i="19"/>
  <c r="M131" i="19"/>
  <c r="S131" i="19"/>
  <c r="H110" i="19"/>
  <c r="I110" i="19"/>
  <c r="J110" i="19"/>
  <c r="K110" i="19"/>
  <c r="L110" i="19"/>
  <c r="M110" i="19"/>
  <c r="O110" i="19"/>
  <c r="R110" i="19"/>
  <c r="S110" i="19"/>
  <c r="H105" i="19"/>
  <c r="I105" i="19"/>
  <c r="J105" i="19"/>
  <c r="K105" i="19"/>
  <c r="L105" i="19"/>
  <c r="M105" i="19"/>
  <c r="R105" i="19"/>
  <c r="S105" i="19"/>
  <c r="N100" i="19"/>
  <c r="N96" i="19"/>
  <c r="N93" i="19"/>
  <c r="N89" i="19"/>
  <c r="N84" i="19"/>
  <c r="N80" i="19"/>
  <c r="N73" i="19"/>
  <c r="N62" i="19"/>
  <c r="N72" i="19" s="1"/>
  <c r="N34" i="19"/>
  <c r="N39" i="19" s="1"/>
  <c r="N16" i="19"/>
  <c r="N30" i="19" s="1"/>
  <c r="J10" i="19"/>
  <c r="E179" i="19"/>
  <c r="E178" i="19" s="1"/>
  <c r="D179" i="19"/>
  <c r="D178" i="19" s="1"/>
  <c r="F178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F126" i="19"/>
  <c r="F123" i="19"/>
  <c r="F118" i="19"/>
  <c r="F114" i="19"/>
  <c r="F106" i="19"/>
  <c r="F100" i="19"/>
  <c r="F96" i="19"/>
  <c r="F93" i="19"/>
  <c r="F89" i="19"/>
  <c r="F84" i="19"/>
  <c r="F80" i="19"/>
  <c r="F73" i="19"/>
  <c r="F69" i="19"/>
  <c r="F62" i="19"/>
  <c r="F55" i="19"/>
  <c r="F36" i="19"/>
  <c r="D36" i="19" s="1"/>
  <c r="F34" i="19"/>
  <c r="F31" i="19"/>
  <c r="D31" i="19" s="1"/>
  <c r="F28" i="19"/>
  <c r="F24" i="19"/>
  <c r="F16" i="19"/>
  <c r="E151" i="19"/>
  <c r="E152" i="19"/>
  <c r="E153" i="19"/>
  <c r="E155" i="19"/>
  <c r="E156" i="19"/>
  <c r="E157" i="19"/>
  <c r="E160" i="19"/>
  <c r="E161" i="19"/>
  <c r="E162" i="19"/>
  <c r="E163" i="19"/>
  <c r="E92" i="19"/>
  <c r="E109" i="19"/>
  <c r="E6" i="19"/>
  <c r="E8" i="19"/>
  <c r="E9" i="19"/>
  <c r="E13" i="19"/>
  <c r="E19" i="19"/>
  <c r="E20" i="19"/>
  <c r="E31" i="19"/>
  <c r="D182" i="19"/>
  <c r="D184" i="19"/>
  <c r="D185" i="19"/>
  <c r="D186" i="19"/>
  <c r="D187" i="19"/>
  <c r="D188" i="19"/>
  <c r="D189" i="19"/>
  <c r="D190" i="19"/>
  <c r="D181" i="19"/>
  <c r="D161" i="19"/>
  <c r="D162" i="19"/>
  <c r="D163" i="19"/>
  <c r="D164" i="19"/>
  <c r="D160" i="19"/>
  <c r="D152" i="19"/>
  <c r="D153" i="19"/>
  <c r="D154" i="19"/>
  <c r="D155" i="19"/>
  <c r="D156" i="19"/>
  <c r="D157" i="19"/>
  <c r="D158" i="19"/>
  <c r="D151" i="19"/>
  <c r="D109" i="19"/>
  <c r="D92" i="19"/>
  <c r="D20" i="19"/>
  <c r="D19" i="19"/>
  <c r="D13" i="19"/>
  <c r="D9" i="19"/>
  <c r="D8" i="19"/>
  <c r="D6" i="19"/>
  <c r="E191" i="19"/>
  <c r="D191" i="19"/>
  <c r="E190" i="19"/>
  <c r="E189" i="19"/>
  <c r="E188" i="19"/>
  <c r="E187" i="19"/>
  <c r="G186" i="19"/>
  <c r="E185" i="19"/>
  <c r="E184" i="19"/>
  <c r="E183" i="19"/>
  <c r="E182" i="19"/>
  <c r="E181" i="19"/>
  <c r="F180" i="19"/>
  <c r="F165" i="19"/>
  <c r="G164" i="19"/>
  <c r="F159" i="19"/>
  <c r="E123" i="19"/>
  <c r="E118" i="19"/>
  <c r="R111" i="19"/>
  <c r="R131" i="19" s="1"/>
  <c r="P111" i="19"/>
  <c r="N111" i="19"/>
  <c r="L111" i="19"/>
  <c r="L131" i="19" s="1"/>
  <c r="J111" i="19"/>
  <c r="J131" i="19" s="1"/>
  <c r="H111" i="19"/>
  <c r="H131" i="19" s="1"/>
  <c r="F111" i="19"/>
  <c r="D88" i="19"/>
  <c r="E88" i="19"/>
  <c r="R45" i="19"/>
  <c r="P45" i="19"/>
  <c r="N45" i="19"/>
  <c r="L45" i="19"/>
  <c r="J45" i="19"/>
  <c r="F45" i="19"/>
  <c r="M44" i="19"/>
  <c r="K44" i="19"/>
  <c r="I44" i="19"/>
  <c r="K42" i="19"/>
  <c r="I42" i="19"/>
  <c r="D14" i="19"/>
  <c r="E14" i="19"/>
  <c r="K41" i="19"/>
  <c r="E10" i="19"/>
  <c r="E173" i="15"/>
  <c r="E174" i="15"/>
  <c r="E175" i="15"/>
  <c r="E176" i="15"/>
  <c r="E177" i="15"/>
  <c r="E179" i="15"/>
  <c r="E180" i="15"/>
  <c r="E181" i="15"/>
  <c r="E182" i="15"/>
  <c r="E154" i="15"/>
  <c r="E155" i="15"/>
  <c r="E156" i="15"/>
  <c r="E157" i="15"/>
  <c r="E145" i="15"/>
  <c r="E146" i="15"/>
  <c r="E147" i="15"/>
  <c r="E148" i="15"/>
  <c r="E149" i="15"/>
  <c r="E150" i="15"/>
  <c r="E151" i="15"/>
  <c r="E112" i="15"/>
  <c r="E95" i="15"/>
  <c r="E48" i="15"/>
  <c r="E39" i="15"/>
  <c r="E33" i="15"/>
  <c r="E29" i="15"/>
  <c r="E30" i="15"/>
  <c r="E25" i="15"/>
  <c r="E26" i="15"/>
  <c r="E20" i="15"/>
  <c r="E21" i="15"/>
  <c r="J172" i="15"/>
  <c r="J184" i="15" s="1"/>
  <c r="K172" i="15"/>
  <c r="K184" i="15" s="1"/>
  <c r="J160" i="17"/>
  <c r="J172" i="17" s="1"/>
  <c r="K160" i="17"/>
  <c r="K172" i="17" s="1"/>
  <c r="H84" i="17"/>
  <c r="H15" i="17"/>
  <c r="D15" i="17" s="1"/>
  <c r="H10" i="17"/>
  <c r="E171" i="17"/>
  <c r="D171" i="17"/>
  <c r="D170" i="17"/>
  <c r="D169" i="17"/>
  <c r="D168" i="17"/>
  <c r="D167" i="17"/>
  <c r="I166" i="17"/>
  <c r="I160" i="17" s="1"/>
  <c r="I172" i="17" s="1"/>
  <c r="G166" i="17"/>
  <c r="G160" i="17" s="1"/>
  <c r="G172" i="17" s="1"/>
  <c r="D166" i="17"/>
  <c r="D165" i="17"/>
  <c r="D164" i="17"/>
  <c r="D163" i="17"/>
  <c r="D162" i="17"/>
  <c r="D161" i="17"/>
  <c r="H160" i="17"/>
  <c r="H172" i="17" s="1"/>
  <c r="F160" i="17"/>
  <c r="F172" i="17" s="1"/>
  <c r="K147" i="17"/>
  <c r="J147" i="17"/>
  <c r="H147" i="17"/>
  <c r="F147" i="17"/>
  <c r="I146" i="17"/>
  <c r="G146" i="17"/>
  <c r="G147" i="17" s="1"/>
  <c r="D146" i="17"/>
  <c r="D145" i="17"/>
  <c r="D144" i="17"/>
  <c r="D143" i="17"/>
  <c r="D142" i="17"/>
  <c r="K141" i="17"/>
  <c r="J141" i="17"/>
  <c r="H141" i="17"/>
  <c r="F141" i="17"/>
  <c r="I140" i="17"/>
  <c r="G140" i="17"/>
  <c r="G141" i="17" s="1"/>
  <c r="D140" i="17"/>
  <c r="D139" i="17"/>
  <c r="D138" i="17"/>
  <c r="D137" i="17"/>
  <c r="D136" i="17"/>
  <c r="D135" i="17"/>
  <c r="D134" i="17"/>
  <c r="D133" i="17"/>
  <c r="K117" i="17"/>
  <c r="J117" i="17"/>
  <c r="I117" i="17"/>
  <c r="H117" i="17"/>
  <c r="G117" i="17"/>
  <c r="F117" i="17"/>
  <c r="D117" i="17" s="1"/>
  <c r="K114" i="17"/>
  <c r="J114" i="17"/>
  <c r="I114" i="17"/>
  <c r="H114" i="17"/>
  <c r="D114" i="17" s="1"/>
  <c r="G114" i="17"/>
  <c r="F114" i="17"/>
  <c r="K109" i="17"/>
  <c r="J109" i="17"/>
  <c r="I109" i="17"/>
  <c r="H109" i="17"/>
  <c r="G109" i="17"/>
  <c r="F109" i="17"/>
  <c r="D109" i="17" s="1"/>
  <c r="K105" i="17"/>
  <c r="J105" i="17"/>
  <c r="I105" i="17"/>
  <c r="H105" i="17"/>
  <c r="G105" i="17"/>
  <c r="F105" i="17"/>
  <c r="K102" i="17"/>
  <c r="J102" i="17"/>
  <c r="H102" i="17"/>
  <c r="F102" i="17"/>
  <c r="D100" i="17"/>
  <c r="K97" i="17"/>
  <c r="K101" i="17" s="1"/>
  <c r="J97" i="17"/>
  <c r="J101" i="17" s="1"/>
  <c r="I97" i="17"/>
  <c r="I101" i="17" s="1"/>
  <c r="H97" i="17"/>
  <c r="H101" i="17" s="1"/>
  <c r="G97" i="17"/>
  <c r="G101" i="17" s="1"/>
  <c r="F97" i="17"/>
  <c r="K91" i="17"/>
  <c r="J91" i="17"/>
  <c r="I91" i="17"/>
  <c r="H91" i="17"/>
  <c r="G91" i="17"/>
  <c r="F91" i="17"/>
  <c r="K87" i="17"/>
  <c r="J87" i="17"/>
  <c r="I87" i="17"/>
  <c r="H87" i="17"/>
  <c r="G87" i="17"/>
  <c r="F87" i="17"/>
  <c r="K84" i="17"/>
  <c r="J84" i="17"/>
  <c r="I84" i="17"/>
  <c r="G84" i="17"/>
  <c r="F84" i="17"/>
  <c r="D83" i="17"/>
  <c r="K80" i="17"/>
  <c r="J80" i="17"/>
  <c r="I80" i="17"/>
  <c r="H80" i="17"/>
  <c r="G80" i="17"/>
  <c r="F80" i="17"/>
  <c r="K78" i="17"/>
  <c r="J78" i="17"/>
  <c r="D78" i="17" s="1"/>
  <c r="I78" i="17"/>
  <c r="G78" i="17"/>
  <c r="K74" i="17"/>
  <c r="J74" i="17"/>
  <c r="I74" i="17"/>
  <c r="H74" i="17"/>
  <c r="G74" i="17"/>
  <c r="F74" i="17"/>
  <c r="K70" i="17"/>
  <c r="J70" i="17"/>
  <c r="I70" i="17"/>
  <c r="H70" i="17"/>
  <c r="G70" i="17"/>
  <c r="F70" i="17"/>
  <c r="K63" i="17"/>
  <c r="J63" i="17"/>
  <c r="I63" i="17"/>
  <c r="H63" i="17"/>
  <c r="G63" i="17"/>
  <c r="F63" i="17"/>
  <c r="K59" i="17"/>
  <c r="J59" i="17"/>
  <c r="I59" i="17"/>
  <c r="H59" i="17"/>
  <c r="G59" i="17"/>
  <c r="F59" i="17"/>
  <c r="K52" i="17"/>
  <c r="J52" i="17"/>
  <c r="I52" i="17"/>
  <c r="H52" i="17"/>
  <c r="G52" i="17"/>
  <c r="F52" i="17"/>
  <c r="K45" i="17"/>
  <c r="J45" i="17"/>
  <c r="I45" i="17"/>
  <c r="H45" i="17"/>
  <c r="G45" i="17"/>
  <c r="F45" i="17"/>
  <c r="J38" i="17"/>
  <c r="F38" i="17"/>
  <c r="D37" i="17"/>
  <c r="D36" i="17"/>
  <c r="D35" i="17"/>
  <c r="J30" i="17"/>
  <c r="I30" i="17"/>
  <c r="H30" i="17"/>
  <c r="H32" i="17" s="1"/>
  <c r="G30" i="17"/>
  <c r="F30" i="17"/>
  <c r="J28" i="17"/>
  <c r="I28" i="17"/>
  <c r="H28" i="17"/>
  <c r="G28" i="17"/>
  <c r="F28" i="17"/>
  <c r="D27" i="17"/>
  <c r="J26" i="17"/>
  <c r="G24" i="17"/>
  <c r="D24" i="17"/>
  <c r="G23" i="17"/>
  <c r="G22" i="17" s="1"/>
  <c r="I22" i="17"/>
  <c r="H22" i="17"/>
  <c r="F22" i="17"/>
  <c r="D21" i="17"/>
  <c r="I19" i="17"/>
  <c r="G19" i="17"/>
  <c r="D19" i="17"/>
  <c r="D18" i="17"/>
  <c r="D17" i="17"/>
  <c r="G37" i="17"/>
  <c r="I15" i="17"/>
  <c r="I37" i="17" s="1"/>
  <c r="G15" i="17"/>
  <c r="D14" i="17"/>
  <c r="D13" i="17"/>
  <c r="I10" i="17"/>
  <c r="G10" i="17"/>
  <c r="F10" i="17"/>
  <c r="D9" i="17"/>
  <c r="D8" i="17"/>
  <c r="D6" i="17"/>
  <c r="J22" i="16"/>
  <c r="J159" i="15"/>
  <c r="K159" i="15"/>
  <c r="J153" i="15"/>
  <c r="K153" i="15"/>
  <c r="J129" i="15"/>
  <c r="K129" i="15"/>
  <c r="J126" i="15"/>
  <c r="K126" i="15"/>
  <c r="J121" i="15"/>
  <c r="K121" i="15"/>
  <c r="J117" i="15"/>
  <c r="K117" i="15"/>
  <c r="J114" i="15"/>
  <c r="K114" i="15"/>
  <c r="J109" i="15"/>
  <c r="J113" i="15" s="1"/>
  <c r="K109" i="15"/>
  <c r="K113" i="15" s="1"/>
  <c r="J103" i="15"/>
  <c r="K103" i="15"/>
  <c r="J99" i="15"/>
  <c r="K99" i="15"/>
  <c r="J96" i="15"/>
  <c r="K96" i="15"/>
  <c r="J92" i="15"/>
  <c r="K92" i="15"/>
  <c r="J90" i="15"/>
  <c r="D90" i="15" s="1"/>
  <c r="K90" i="15"/>
  <c r="J86" i="15"/>
  <c r="K86" i="15"/>
  <c r="J75" i="15"/>
  <c r="K75" i="15"/>
  <c r="J82" i="15"/>
  <c r="K82" i="15"/>
  <c r="J71" i="15"/>
  <c r="K71" i="15"/>
  <c r="J64" i="15"/>
  <c r="K64" i="15"/>
  <c r="J57" i="15"/>
  <c r="K57" i="15"/>
  <c r="J42" i="15"/>
  <c r="J40" i="15"/>
  <c r="J50" i="15"/>
  <c r="J38" i="15"/>
  <c r="F96" i="15"/>
  <c r="D182" i="15"/>
  <c r="D181" i="15"/>
  <c r="D180" i="15"/>
  <c r="D179" i="15"/>
  <c r="D178" i="15"/>
  <c r="D177" i="15"/>
  <c r="D176" i="15"/>
  <c r="D175" i="15"/>
  <c r="D174" i="15"/>
  <c r="D173" i="15"/>
  <c r="D158" i="15"/>
  <c r="D157" i="15"/>
  <c r="D156" i="15"/>
  <c r="D155" i="15"/>
  <c r="D154" i="15"/>
  <c r="D146" i="15"/>
  <c r="D147" i="15"/>
  <c r="D148" i="15"/>
  <c r="D149" i="15"/>
  <c r="D150" i="15"/>
  <c r="D151" i="15"/>
  <c r="D152" i="15"/>
  <c r="D145" i="15"/>
  <c r="D112" i="15"/>
  <c r="D95" i="15"/>
  <c r="D47" i="15"/>
  <c r="D48" i="15"/>
  <c r="D49" i="15"/>
  <c r="D39" i="15"/>
  <c r="D36" i="15"/>
  <c r="D33" i="15"/>
  <c r="D31" i="15"/>
  <c r="D30" i="15"/>
  <c r="D29" i="15"/>
  <c r="D27" i="15"/>
  <c r="D26" i="15"/>
  <c r="D25" i="15"/>
  <c r="D21" i="15"/>
  <c r="D20" i="15"/>
  <c r="D6" i="15"/>
  <c r="E183" i="15"/>
  <c r="D183" i="15"/>
  <c r="I178" i="15"/>
  <c r="I172" i="15" s="1"/>
  <c r="I184" i="15" s="1"/>
  <c r="G178" i="15"/>
  <c r="G172" i="15" s="1"/>
  <c r="G184" i="15" s="1"/>
  <c r="H172" i="15"/>
  <c r="H184" i="15" s="1"/>
  <c r="F172" i="15"/>
  <c r="F184" i="15" s="1"/>
  <c r="H159" i="15"/>
  <c r="F159" i="15"/>
  <c r="I158" i="15"/>
  <c r="I159" i="15" s="1"/>
  <c r="G158" i="15"/>
  <c r="H153" i="15"/>
  <c r="F153" i="15"/>
  <c r="I153" i="15"/>
  <c r="G152" i="15"/>
  <c r="I129" i="15"/>
  <c r="H129" i="15"/>
  <c r="G129" i="15"/>
  <c r="F129" i="15"/>
  <c r="I126" i="15"/>
  <c r="H126" i="15"/>
  <c r="G126" i="15"/>
  <c r="F126" i="15"/>
  <c r="I121" i="15"/>
  <c r="H121" i="15"/>
  <c r="G121" i="15"/>
  <c r="F121" i="15"/>
  <c r="I117" i="15"/>
  <c r="H117" i="15"/>
  <c r="G117" i="15"/>
  <c r="F117" i="15"/>
  <c r="H114" i="15"/>
  <c r="F114" i="15"/>
  <c r="I109" i="15"/>
  <c r="I113" i="15" s="1"/>
  <c r="H109" i="15"/>
  <c r="H113" i="15" s="1"/>
  <c r="G109" i="15"/>
  <c r="G113" i="15" s="1"/>
  <c r="F109" i="15"/>
  <c r="F113" i="15" s="1"/>
  <c r="I103" i="15"/>
  <c r="H103" i="15"/>
  <c r="G103" i="15"/>
  <c r="F103" i="15"/>
  <c r="I99" i="15"/>
  <c r="H99" i="15"/>
  <c r="F99" i="15"/>
  <c r="I96" i="15"/>
  <c r="G96" i="15"/>
  <c r="I92" i="15"/>
  <c r="H92" i="15"/>
  <c r="G92" i="15"/>
  <c r="F92" i="15"/>
  <c r="I90" i="15"/>
  <c r="G90" i="15"/>
  <c r="I86" i="15"/>
  <c r="H86" i="15"/>
  <c r="G86" i="15"/>
  <c r="F86" i="15"/>
  <c r="I82" i="15"/>
  <c r="H82" i="15"/>
  <c r="G82" i="15"/>
  <c r="F82" i="15"/>
  <c r="I75" i="15"/>
  <c r="I85" i="15" s="1"/>
  <c r="H75" i="15"/>
  <c r="H85" i="15" s="1"/>
  <c r="F75" i="15"/>
  <c r="I71" i="15"/>
  <c r="H71" i="15"/>
  <c r="G71" i="15"/>
  <c r="F71" i="15"/>
  <c r="I64" i="15"/>
  <c r="H64" i="15"/>
  <c r="G64" i="15"/>
  <c r="F64" i="15"/>
  <c r="I57" i="15"/>
  <c r="I74" i="15" s="1"/>
  <c r="H57" i="15"/>
  <c r="G57" i="15"/>
  <c r="F57" i="15"/>
  <c r="F50" i="15"/>
  <c r="I42" i="15"/>
  <c r="H42" i="15"/>
  <c r="G42" i="15"/>
  <c r="F42" i="15"/>
  <c r="I40" i="15"/>
  <c r="H40" i="15"/>
  <c r="H46" i="15" s="1"/>
  <c r="G40" i="15"/>
  <c r="G44" i="15" s="1"/>
  <c r="F40" i="15"/>
  <c r="I36" i="15"/>
  <c r="G36" i="15"/>
  <c r="I34" i="15"/>
  <c r="H34" i="15"/>
  <c r="H38" i="15" s="1"/>
  <c r="F34" i="15"/>
  <c r="D34" i="15" s="1"/>
  <c r="I31" i="15"/>
  <c r="G31" i="15"/>
  <c r="I27" i="15"/>
  <c r="G27" i="15"/>
  <c r="I22" i="15"/>
  <c r="G22" i="15"/>
  <c r="F22" i="15"/>
  <c r="I6" i="15"/>
  <c r="E6" i="15" s="1"/>
  <c r="K222" i="9"/>
  <c r="K216" i="9" s="1"/>
  <c r="K228" i="9" s="1"/>
  <c r="O222" i="9"/>
  <c r="O216" i="9" s="1"/>
  <c r="O228" i="9" s="1"/>
  <c r="O192" i="19"/>
  <c r="E78" i="17"/>
  <c r="L39" i="19"/>
  <c r="E55" i="19"/>
  <c r="H45" i="19"/>
  <c r="I111" i="19"/>
  <c r="I131" i="19" s="1"/>
  <c r="K111" i="19"/>
  <c r="K131" i="19" s="1"/>
  <c r="H40" i="19"/>
  <c r="I41" i="19"/>
  <c r="I102" i="17"/>
  <c r="H38" i="17"/>
  <c r="D34" i="17"/>
  <c r="I22" i="16"/>
  <c r="G35" i="15"/>
  <c r="G34" i="15" s="1"/>
  <c r="G102" i="17"/>
  <c r="O203" i="9"/>
  <c r="O196" i="9"/>
  <c r="O197" i="9" s="1"/>
  <c r="O173" i="9"/>
  <c r="O170" i="9"/>
  <c r="O165" i="9"/>
  <c r="O161" i="9"/>
  <c r="O153" i="9"/>
  <c r="O157" i="9" s="1"/>
  <c r="O147" i="9"/>
  <c r="O143" i="9"/>
  <c r="O136" i="9"/>
  <c r="O134" i="9"/>
  <c r="O130" i="9"/>
  <c r="O126" i="9"/>
  <c r="O119" i="9"/>
  <c r="O115" i="9"/>
  <c r="O108" i="9"/>
  <c r="O101" i="9"/>
  <c r="O91" i="9"/>
  <c r="O85" i="9"/>
  <c r="O57" i="9"/>
  <c r="O79" i="9" s="1"/>
  <c r="K203" i="9"/>
  <c r="K197" i="9"/>
  <c r="M203" i="9"/>
  <c r="M196" i="9"/>
  <c r="M197" i="9" s="1"/>
  <c r="M173" i="9"/>
  <c r="M170" i="9"/>
  <c r="M165" i="9"/>
  <c r="M161" i="9"/>
  <c r="M153" i="9"/>
  <c r="M157" i="9" s="1"/>
  <c r="M147" i="9"/>
  <c r="M143" i="9"/>
  <c r="M140" i="9"/>
  <c r="M136" i="9"/>
  <c r="M130" i="9"/>
  <c r="M126" i="9"/>
  <c r="M119" i="9"/>
  <c r="M115" i="9"/>
  <c r="M108" i="9"/>
  <c r="M101" i="9"/>
  <c r="M90" i="9"/>
  <c r="M83" i="9"/>
  <c r="M81" i="9"/>
  <c r="M66" i="9"/>
  <c r="M61" i="9"/>
  <c r="M57" i="9"/>
  <c r="E217" i="9"/>
  <c r="E218" i="9"/>
  <c r="E219" i="9"/>
  <c r="E220" i="9"/>
  <c r="E221" i="9"/>
  <c r="E223" i="9"/>
  <c r="E224" i="9"/>
  <c r="E225" i="9"/>
  <c r="E226" i="9"/>
  <c r="E198" i="9"/>
  <c r="E199" i="9"/>
  <c r="E200" i="9"/>
  <c r="E201" i="9"/>
  <c r="E189" i="9"/>
  <c r="E190" i="9"/>
  <c r="E191" i="9"/>
  <c r="E192" i="9"/>
  <c r="E193" i="9"/>
  <c r="E194" i="9"/>
  <c r="E195" i="9"/>
  <c r="K173" i="9"/>
  <c r="K170" i="9"/>
  <c r="K165" i="9"/>
  <c r="K161" i="9"/>
  <c r="K153" i="9"/>
  <c r="K157" i="9" s="1"/>
  <c r="K147" i="9"/>
  <c r="K143" i="9"/>
  <c r="K140" i="9"/>
  <c r="K136" i="9"/>
  <c r="K134" i="9"/>
  <c r="K130" i="9"/>
  <c r="K126" i="9"/>
  <c r="K119" i="9"/>
  <c r="K115" i="9"/>
  <c r="K101" i="9"/>
  <c r="K90" i="9"/>
  <c r="K85" i="9"/>
  <c r="K66" i="9"/>
  <c r="K108" i="9"/>
  <c r="I90" i="9"/>
  <c r="G61" i="9"/>
  <c r="I61" i="9"/>
  <c r="I6" i="9"/>
  <c r="I75" i="9" s="1"/>
  <c r="I74" i="9" s="1"/>
  <c r="E156" i="9"/>
  <c r="E139" i="9"/>
  <c r="E80" i="9"/>
  <c r="E73" i="9"/>
  <c r="E69" i="9"/>
  <c r="E68" i="9"/>
  <c r="E60" i="9"/>
  <c r="E56" i="9"/>
  <c r="E55" i="9"/>
  <c r="G6" i="9"/>
  <c r="G78" i="9" s="1"/>
  <c r="G76" i="9" s="1"/>
  <c r="M75" i="9"/>
  <c r="M74" i="9" s="1"/>
  <c r="R216" i="9"/>
  <c r="R228" i="9" s="1"/>
  <c r="R203" i="9"/>
  <c r="R197" i="9"/>
  <c r="R173" i="9"/>
  <c r="R170" i="9"/>
  <c r="R165" i="9"/>
  <c r="R161" i="9"/>
  <c r="R158" i="9"/>
  <c r="R153" i="9"/>
  <c r="R157" i="9" s="1"/>
  <c r="R147" i="9"/>
  <c r="R143" i="9"/>
  <c r="R140" i="9"/>
  <c r="R136" i="9"/>
  <c r="R134" i="9"/>
  <c r="R130" i="9"/>
  <c r="R126" i="9"/>
  <c r="R119" i="9"/>
  <c r="R115" i="9"/>
  <c r="R108" i="9"/>
  <c r="R101" i="9"/>
  <c r="R91" i="9"/>
  <c r="R83" i="9"/>
  <c r="R81" i="9"/>
  <c r="R66" i="9"/>
  <c r="R61" i="9"/>
  <c r="R57" i="9"/>
  <c r="P216" i="9"/>
  <c r="P228" i="9" s="1"/>
  <c r="P203" i="9"/>
  <c r="P197" i="9"/>
  <c r="P173" i="9"/>
  <c r="P170" i="9"/>
  <c r="P165" i="9"/>
  <c r="P161" i="9"/>
  <c r="P158" i="9"/>
  <c r="P153" i="9"/>
  <c r="P157" i="9" s="1"/>
  <c r="P147" i="9"/>
  <c r="P143" i="9"/>
  <c r="P140" i="9"/>
  <c r="P136" i="9"/>
  <c r="P134" i="9"/>
  <c r="P130" i="9"/>
  <c r="P126" i="9"/>
  <c r="P119" i="9"/>
  <c r="P115" i="9"/>
  <c r="P108" i="9"/>
  <c r="P101" i="9"/>
  <c r="P91" i="9"/>
  <c r="P83" i="9"/>
  <c r="P81" i="9"/>
  <c r="P66" i="9"/>
  <c r="P61" i="9"/>
  <c r="P57" i="9"/>
  <c r="D227" i="9"/>
  <c r="D226" i="9"/>
  <c r="D225" i="9"/>
  <c r="D224" i="9"/>
  <c r="D223" i="9"/>
  <c r="D222" i="9"/>
  <c r="D221" i="9"/>
  <c r="D220" i="9"/>
  <c r="D219" i="9"/>
  <c r="D218" i="9"/>
  <c r="D217" i="9"/>
  <c r="D202" i="9"/>
  <c r="D201" i="9"/>
  <c r="D200" i="9"/>
  <c r="D199" i="9"/>
  <c r="D198" i="9"/>
  <c r="D190" i="9"/>
  <c r="D191" i="9"/>
  <c r="D192" i="9"/>
  <c r="D193" i="9"/>
  <c r="D194" i="9"/>
  <c r="D195" i="9"/>
  <c r="D196" i="9"/>
  <c r="D189" i="9"/>
  <c r="D156" i="9"/>
  <c r="D139" i="9"/>
  <c r="D80" i="9"/>
  <c r="D76" i="9"/>
  <c r="D73" i="9"/>
  <c r="D70" i="9"/>
  <c r="D69" i="9"/>
  <c r="D68" i="9"/>
  <c r="D60" i="9"/>
  <c r="D56" i="9"/>
  <c r="D55" i="9"/>
  <c r="D6" i="9"/>
  <c r="N203" i="9"/>
  <c r="N197" i="9"/>
  <c r="L216" i="9"/>
  <c r="L228" i="9" s="1"/>
  <c r="N216" i="9"/>
  <c r="N228" i="9" s="1"/>
  <c r="N173" i="9"/>
  <c r="N170" i="9"/>
  <c r="N165" i="9"/>
  <c r="N161" i="9"/>
  <c r="N158" i="9"/>
  <c r="N153" i="9"/>
  <c r="N157" i="9" s="1"/>
  <c r="N147" i="9"/>
  <c r="N143" i="9"/>
  <c r="N140" i="9"/>
  <c r="N136" i="9"/>
  <c r="N134" i="9"/>
  <c r="N130" i="9"/>
  <c r="N126" i="9"/>
  <c r="N119" i="9"/>
  <c r="N129" i="9" s="1"/>
  <c r="N115" i="9"/>
  <c r="N108" i="9"/>
  <c r="N101" i="9"/>
  <c r="N91" i="9"/>
  <c r="N83" i="9"/>
  <c r="N81" i="9"/>
  <c r="N66" i="9"/>
  <c r="N61" i="9"/>
  <c r="N57" i="9"/>
  <c r="L203" i="9"/>
  <c r="L197" i="9"/>
  <c r="L173" i="9"/>
  <c r="L170" i="9"/>
  <c r="L165" i="9"/>
  <c r="L161" i="9"/>
  <c r="L158" i="9"/>
  <c r="L153" i="9"/>
  <c r="L157" i="9" s="1"/>
  <c r="L147" i="9"/>
  <c r="L143" i="9"/>
  <c r="L140" i="9"/>
  <c r="L136" i="9"/>
  <c r="L134" i="9"/>
  <c r="L130" i="9"/>
  <c r="L126" i="9"/>
  <c r="L119" i="9"/>
  <c r="L115" i="9"/>
  <c r="L108" i="9"/>
  <c r="L101" i="9"/>
  <c r="L91" i="9"/>
  <c r="L83" i="9"/>
  <c r="L81" i="9"/>
  <c r="L66" i="9"/>
  <c r="L61" i="9"/>
  <c r="L57" i="9"/>
  <c r="K57" i="9"/>
  <c r="J216" i="9"/>
  <c r="J228" i="9" s="1"/>
  <c r="J203" i="9"/>
  <c r="J197" i="9"/>
  <c r="J173" i="9"/>
  <c r="J170" i="9"/>
  <c r="J165" i="9"/>
  <c r="J161" i="9"/>
  <c r="J158" i="9"/>
  <c r="J153" i="9"/>
  <c r="J157" i="9" s="1"/>
  <c r="J147" i="9"/>
  <c r="J143" i="9"/>
  <c r="J140" i="9"/>
  <c r="J136" i="9"/>
  <c r="J134" i="9"/>
  <c r="J130" i="9"/>
  <c r="J126" i="9"/>
  <c r="J119" i="9"/>
  <c r="J129" i="9" s="1"/>
  <c r="J115" i="9"/>
  <c r="J108" i="9"/>
  <c r="J101" i="9"/>
  <c r="J91" i="9"/>
  <c r="J85" i="9"/>
  <c r="J66" i="9"/>
  <c r="J57" i="9"/>
  <c r="H140" i="9"/>
  <c r="H66" i="9"/>
  <c r="F66" i="9"/>
  <c r="H57" i="9"/>
  <c r="F140" i="9"/>
  <c r="E227" i="9"/>
  <c r="I222" i="9"/>
  <c r="I216" i="9" s="1"/>
  <c r="I228" i="9" s="1"/>
  <c r="G222" i="9"/>
  <c r="H216" i="9"/>
  <c r="H228" i="9" s="1"/>
  <c r="F216" i="9"/>
  <c r="F228" i="9" s="1"/>
  <c r="H203" i="9"/>
  <c r="F203" i="9"/>
  <c r="I202" i="9"/>
  <c r="G202" i="9"/>
  <c r="G203" i="9" s="1"/>
  <c r="H197" i="9"/>
  <c r="H204" i="9" s="1"/>
  <c r="F197" i="9"/>
  <c r="F204" i="9" s="1"/>
  <c r="I196" i="9"/>
  <c r="I197" i="9" s="1"/>
  <c r="G196" i="9"/>
  <c r="I173" i="9"/>
  <c r="H173" i="9"/>
  <c r="G173" i="9"/>
  <c r="F173" i="9"/>
  <c r="I170" i="9"/>
  <c r="H170" i="9"/>
  <c r="G170" i="9"/>
  <c r="F170" i="9"/>
  <c r="I165" i="9"/>
  <c r="H165" i="9"/>
  <c r="G165" i="9"/>
  <c r="F165" i="9"/>
  <c r="I161" i="9"/>
  <c r="H161" i="9"/>
  <c r="G161" i="9"/>
  <c r="F161" i="9"/>
  <c r="H158" i="9"/>
  <c r="F158" i="9"/>
  <c r="I153" i="9"/>
  <c r="I157" i="9" s="1"/>
  <c r="H153" i="9"/>
  <c r="H157" i="9" s="1"/>
  <c r="G153" i="9"/>
  <c r="G157" i="9" s="1"/>
  <c r="F153" i="9"/>
  <c r="F157" i="9" s="1"/>
  <c r="I147" i="9"/>
  <c r="H147" i="9"/>
  <c r="G147" i="9"/>
  <c r="F147" i="9"/>
  <c r="I143" i="9"/>
  <c r="H143" i="9"/>
  <c r="G143" i="9"/>
  <c r="F143" i="9"/>
  <c r="I140" i="9"/>
  <c r="G140" i="9"/>
  <c r="I136" i="9"/>
  <c r="H136" i="9"/>
  <c r="G136" i="9"/>
  <c r="F136" i="9"/>
  <c r="I134" i="9"/>
  <c r="G134" i="9"/>
  <c r="I130" i="9"/>
  <c r="H130" i="9"/>
  <c r="G130" i="9"/>
  <c r="F130" i="9"/>
  <c r="I126" i="9"/>
  <c r="H126" i="9"/>
  <c r="G126" i="9"/>
  <c r="F126" i="9"/>
  <c r="I119" i="9"/>
  <c r="I129" i="9" s="1"/>
  <c r="H119" i="9"/>
  <c r="H129" i="9" s="1"/>
  <c r="G119" i="9"/>
  <c r="G129" i="9" s="1"/>
  <c r="F119" i="9"/>
  <c r="I115" i="9"/>
  <c r="H115" i="9"/>
  <c r="G115" i="9"/>
  <c r="F115" i="9"/>
  <c r="I108" i="9"/>
  <c r="H108" i="9"/>
  <c r="G108" i="9"/>
  <c r="F108" i="9"/>
  <c r="I101" i="9"/>
  <c r="I118" i="9" s="1"/>
  <c r="H101" i="9"/>
  <c r="H118" i="9" s="1"/>
  <c r="G101" i="9"/>
  <c r="G118" i="9" s="1"/>
  <c r="F101" i="9"/>
  <c r="F91" i="9"/>
  <c r="G90" i="9"/>
  <c r="I83" i="9"/>
  <c r="H83" i="9"/>
  <c r="G83" i="9"/>
  <c r="F83" i="9"/>
  <c r="I81" i="9"/>
  <c r="H81" i="9"/>
  <c r="G81" i="9"/>
  <c r="F81" i="9"/>
  <c r="F85" i="9" s="1"/>
  <c r="F74" i="9"/>
  <c r="D74" i="9" s="1"/>
  <c r="I66" i="9"/>
  <c r="G66" i="9"/>
  <c r="I57" i="9"/>
  <c r="G57" i="9"/>
  <c r="F57" i="9"/>
  <c r="G42" i="6"/>
  <c r="E42" i="6" s="1"/>
  <c r="E179" i="6"/>
  <c r="D179" i="6"/>
  <c r="E178" i="6"/>
  <c r="D178" i="6"/>
  <c r="E177" i="6"/>
  <c r="D177" i="6"/>
  <c r="E176" i="6"/>
  <c r="D176" i="6"/>
  <c r="E175" i="6"/>
  <c r="D175" i="6"/>
  <c r="I174" i="6"/>
  <c r="I168" i="6" s="1"/>
  <c r="I180" i="6" s="1"/>
  <c r="G174" i="6"/>
  <c r="D174" i="6"/>
  <c r="E173" i="6"/>
  <c r="D173" i="6"/>
  <c r="E172" i="6"/>
  <c r="D172" i="6"/>
  <c r="E171" i="6"/>
  <c r="D171" i="6"/>
  <c r="E170" i="6"/>
  <c r="D170" i="6"/>
  <c r="E169" i="6"/>
  <c r="D169" i="6"/>
  <c r="H168" i="6"/>
  <c r="H180" i="6" s="1"/>
  <c r="F168" i="6"/>
  <c r="F180" i="6" s="1"/>
  <c r="H155" i="6"/>
  <c r="F155" i="6"/>
  <c r="I154" i="6"/>
  <c r="I155" i="6" s="1"/>
  <c r="G154" i="6"/>
  <c r="G155" i="6" s="1"/>
  <c r="D154" i="6"/>
  <c r="E153" i="6"/>
  <c r="D153" i="6"/>
  <c r="E152" i="6"/>
  <c r="D152" i="6"/>
  <c r="E151" i="6"/>
  <c r="D151" i="6"/>
  <c r="E150" i="6"/>
  <c r="D150" i="6"/>
  <c r="H149" i="6"/>
  <c r="F149" i="6"/>
  <c r="I148" i="6"/>
  <c r="I149" i="6" s="1"/>
  <c r="G148" i="6"/>
  <c r="D148" i="6"/>
  <c r="E147" i="6"/>
  <c r="D147" i="6"/>
  <c r="E146" i="6"/>
  <c r="D146" i="6"/>
  <c r="E145" i="6"/>
  <c r="D145" i="6"/>
  <c r="E144" i="6"/>
  <c r="D144" i="6"/>
  <c r="E143" i="6"/>
  <c r="D143" i="6"/>
  <c r="E142" i="6"/>
  <c r="D142" i="6"/>
  <c r="E141" i="6"/>
  <c r="D141" i="6"/>
  <c r="I125" i="6"/>
  <c r="H125" i="6"/>
  <c r="G125" i="6"/>
  <c r="F125" i="6"/>
  <c r="I122" i="6"/>
  <c r="H122" i="6"/>
  <c r="G122" i="6"/>
  <c r="E122" i="6" s="1"/>
  <c r="F122" i="6"/>
  <c r="I117" i="6"/>
  <c r="H117" i="6"/>
  <c r="G117" i="6"/>
  <c r="E117" i="6" s="1"/>
  <c r="F117" i="6"/>
  <c r="I113" i="6"/>
  <c r="H113" i="6"/>
  <c r="G113" i="6"/>
  <c r="F113" i="6"/>
  <c r="H110" i="6"/>
  <c r="F110" i="6"/>
  <c r="E108" i="6"/>
  <c r="D108" i="6"/>
  <c r="I105" i="6"/>
  <c r="I109" i="6" s="1"/>
  <c r="H105" i="6"/>
  <c r="H109" i="6" s="1"/>
  <c r="G105" i="6"/>
  <c r="F105" i="6"/>
  <c r="I99" i="6"/>
  <c r="H99" i="6"/>
  <c r="G99" i="6"/>
  <c r="F99" i="6"/>
  <c r="D99" i="6" s="1"/>
  <c r="I95" i="6"/>
  <c r="H95" i="6"/>
  <c r="G95" i="6"/>
  <c r="E95" i="6" s="1"/>
  <c r="F95" i="6"/>
  <c r="I92" i="6"/>
  <c r="E92" i="6" s="1"/>
  <c r="G92" i="6"/>
  <c r="D92" i="6"/>
  <c r="E91" i="6"/>
  <c r="D91" i="6"/>
  <c r="I88" i="6"/>
  <c r="H88" i="6"/>
  <c r="G88" i="6"/>
  <c r="F88" i="6"/>
  <c r="I86" i="6"/>
  <c r="G86" i="6"/>
  <c r="D86" i="6"/>
  <c r="I82" i="6"/>
  <c r="H82" i="6"/>
  <c r="G82" i="6"/>
  <c r="E82" i="6" s="1"/>
  <c r="F82" i="6"/>
  <c r="I78" i="6"/>
  <c r="H78" i="6"/>
  <c r="G78" i="6"/>
  <c r="F78" i="6"/>
  <c r="D78" i="6" s="1"/>
  <c r="I71" i="6"/>
  <c r="I81" i="6" s="1"/>
  <c r="H71" i="6"/>
  <c r="H81" i="6" s="1"/>
  <c r="G71" i="6"/>
  <c r="E71" i="6" s="1"/>
  <c r="F71" i="6"/>
  <c r="F81" i="6" s="1"/>
  <c r="I67" i="6"/>
  <c r="H67" i="6"/>
  <c r="G67" i="6"/>
  <c r="F67" i="6"/>
  <c r="I60" i="6"/>
  <c r="H60" i="6"/>
  <c r="G60" i="6"/>
  <c r="F60" i="6"/>
  <c r="D60" i="6" s="1"/>
  <c r="I53" i="6"/>
  <c r="H53" i="6"/>
  <c r="H70" i="6" s="1"/>
  <c r="G53" i="6"/>
  <c r="E53" i="6" s="1"/>
  <c r="F53" i="6"/>
  <c r="F43" i="6"/>
  <c r="D42" i="6"/>
  <c r="E41" i="6"/>
  <c r="D41" i="6"/>
  <c r="D40" i="6"/>
  <c r="I35" i="6"/>
  <c r="H35" i="6"/>
  <c r="D35" i="6" s="1"/>
  <c r="G35" i="6"/>
  <c r="F35" i="6"/>
  <c r="I33" i="6"/>
  <c r="I37" i="6" s="1"/>
  <c r="H33" i="6"/>
  <c r="H39" i="6" s="1"/>
  <c r="H43" i="6" s="1"/>
  <c r="G33" i="6"/>
  <c r="F33" i="6"/>
  <c r="F37" i="6" s="1"/>
  <c r="E32" i="6"/>
  <c r="D32" i="6"/>
  <c r="I28" i="6"/>
  <c r="E28" i="6" s="1"/>
  <c r="D28" i="6"/>
  <c r="I26" i="6"/>
  <c r="H26" i="6"/>
  <c r="F26" i="6"/>
  <c r="E25" i="6"/>
  <c r="D25" i="6"/>
  <c r="I22" i="6"/>
  <c r="E22" i="6" s="1"/>
  <c r="D22" i="6"/>
  <c r="E21" i="6"/>
  <c r="D21" i="6"/>
  <c r="E20" i="6"/>
  <c r="D20" i="6"/>
  <c r="I18" i="6"/>
  <c r="G18" i="6"/>
  <c r="D18" i="6"/>
  <c r="G15" i="6"/>
  <c r="E15" i="6" s="1"/>
  <c r="D15" i="6"/>
  <c r="E14" i="6"/>
  <c r="D14" i="6"/>
  <c r="I11" i="6"/>
  <c r="G11" i="6"/>
  <c r="F11" i="6"/>
  <c r="D11" i="6" s="1"/>
  <c r="E10" i="6"/>
  <c r="D10" i="6"/>
  <c r="E9" i="6"/>
  <c r="D9" i="6"/>
  <c r="I6" i="6"/>
  <c r="E6" i="6" s="1"/>
  <c r="D6" i="6"/>
  <c r="G27" i="6"/>
  <c r="G26" i="6" s="1"/>
  <c r="G46" i="4"/>
  <c r="E46" i="4" s="1"/>
  <c r="E210" i="4"/>
  <c r="D210" i="4"/>
  <c r="E209" i="4"/>
  <c r="D209" i="4"/>
  <c r="E208" i="4"/>
  <c r="D208" i="4"/>
  <c r="E207" i="4"/>
  <c r="D207" i="4"/>
  <c r="E206" i="4"/>
  <c r="D206" i="4"/>
  <c r="I205" i="4"/>
  <c r="I199" i="4" s="1"/>
  <c r="I211" i="4" s="1"/>
  <c r="G205" i="4"/>
  <c r="D205" i="4"/>
  <c r="E204" i="4"/>
  <c r="D204" i="4"/>
  <c r="E203" i="4"/>
  <c r="D203" i="4"/>
  <c r="E202" i="4"/>
  <c r="D202" i="4"/>
  <c r="E201" i="4"/>
  <c r="D201" i="4"/>
  <c r="E200" i="4"/>
  <c r="D200" i="4"/>
  <c r="H199" i="4"/>
  <c r="H211" i="4" s="1"/>
  <c r="G199" i="4"/>
  <c r="G211" i="4" s="1"/>
  <c r="F199" i="4"/>
  <c r="F211" i="4" s="1"/>
  <c r="H186" i="4"/>
  <c r="F186" i="4"/>
  <c r="I185" i="4"/>
  <c r="I186" i="4" s="1"/>
  <c r="G185" i="4"/>
  <c r="G186" i="4" s="1"/>
  <c r="D185" i="4"/>
  <c r="E184" i="4"/>
  <c r="D184" i="4"/>
  <c r="E183" i="4"/>
  <c r="D183" i="4"/>
  <c r="E182" i="4"/>
  <c r="D182" i="4"/>
  <c r="E181" i="4"/>
  <c r="D181" i="4"/>
  <c r="H180" i="4"/>
  <c r="F180" i="4"/>
  <c r="I179" i="4"/>
  <c r="G179" i="4"/>
  <c r="G180" i="4" s="1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I156" i="4"/>
  <c r="H156" i="4"/>
  <c r="G156" i="4"/>
  <c r="F156" i="4"/>
  <c r="I153" i="4"/>
  <c r="H153" i="4"/>
  <c r="G153" i="4"/>
  <c r="F153" i="4"/>
  <c r="I148" i="4"/>
  <c r="H148" i="4"/>
  <c r="G148" i="4"/>
  <c r="F148" i="4"/>
  <c r="I144" i="4"/>
  <c r="H144" i="4"/>
  <c r="G144" i="4"/>
  <c r="E144" i="4" s="1"/>
  <c r="F144" i="4"/>
  <c r="H141" i="4"/>
  <c r="F141" i="4"/>
  <c r="E139" i="4"/>
  <c r="D139" i="4"/>
  <c r="I136" i="4"/>
  <c r="I140" i="4" s="1"/>
  <c r="H136" i="4"/>
  <c r="H140" i="4" s="1"/>
  <c r="G136" i="4"/>
  <c r="F136" i="4"/>
  <c r="F140" i="4" s="1"/>
  <c r="I130" i="4"/>
  <c r="H130" i="4"/>
  <c r="G130" i="4"/>
  <c r="F130" i="4"/>
  <c r="I126" i="4"/>
  <c r="H126" i="4"/>
  <c r="G126" i="4"/>
  <c r="F126" i="4"/>
  <c r="I123" i="4"/>
  <c r="G123" i="4"/>
  <c r="D123" i="4"/>
  <c r="E122" i="4"/>
  <c r="D122" i="4"/>
  <c r="I119" i="4"/>
  <c r="H119" i="4"/>
  <c r="G119" i="4"/>
  <c r="F119" i="4"/>
  <c r="I117" i="4"/>
  <c r="G117" i="4"/>
  <c r="D117" i="4"/>
  <c r="I113" i="4"/>
  <c r="H113" i="4"/>
  <c r="G113" i="4"/>
  <c r="F113" i="4"/>
  <c r="I109" i="4"/>
  <c r="H109" i="4"/>
  <c r="G109" i="4"/>
  <c r="F109" i="4"/>
  <c r="I102" i="4"/>
  <c r="H102" i="4"/>
  <c r="G102" i="4"/>
  <c r="F102" i="4"/>
  <c r="I98" i="4"/>
  <c r="H98" i="4"/>
  <c r="G98" i="4"/>
  <c r="F98" i="4"/>
  <c r="I91" i="4"/>
  <c r="H91" i="4"/>
  <c r="G91" i="4"/>
  <c r="F91" i="4"/>
  <c r="I84" i="4"/>
  <c r="I101" i="4" s="1"/>
  <c r="H84" i="4"/>
  <c r="G84" i="4"/>
  <c r="F84" i="4"/>
  <c r="F101" i="4" s="1"/>
  <c r="F74" i="4"/>
  <c r="D73" i="4"/>
  <c r="E72" i="4"/>
  <c r="D72" i="4"/>
  <c r="D71" i="4"/>
  <c r="I66" i="4"/>
  <c r="H66" i="4"/>
  <c r="G66" i="4"/>
  <c r="F66" i="4"/>
  <c r="I64" i="4"/>
  <c r="H64" i="4"/>
  <c r="H70" i="4" s="1"/>
  <c r="H74" i="4" s="1"/>
  <c r="G64" i="4"/>
  <c r="F64" i="4"/>
  <c r="F68" i="4" s="1"/>
  <c r="E63" i="4"/>
  <c r="D63" i="4"/>
  <c r="I59" i="4"/>
  <c r="E59" i="4"/>
  <c r="D59" i="4"/>
  <c r="I57" i="4"/>
  <c r="H57" i="4"/>
  <c r="H62" i="4"/>
  <c r="F57" i="4"/>
  <c r="E56" i="4"/>
  <c r="D56" i="4"/>
  <c r="I53" i="4"/>
  <c r="D53" i="4"/>
  <c r="E52" i="4"/>
  <c r="D52" i="4"/>
  <c r="E51" i="4"/>
  <c r="D51" i="4"/>
  <c r="G73" i="4"/>
  <c r="E73" i="4" s="1"/>
  <c r="I49" i="4"/>
  <c r="G49" i="4"/>
  <c r="D49" i="4"/>
  <c r="D46" i="4"/>
  <c r="E45" i="4"/>
  <c r="D45" i="4"/>
  <c r="I42" i="4"/>
  <c r="G42" i="4"/>
  <c r="F42" i="4"/>
  <c r="D42" i="4" s="1"/>
  <c r="E41" i="4"/>
  <c r="D41" i="4"/>
  <c r="E40" i="4"/>
  <c r="D40" i="4"/>
  <c r="I6" i="4"/>
  <c r="D6" i="4"/>
  <c r="D183" i="1"/>
  <c r="E183" i="1"/>
  <c r="D181" i="1"/>
  <c r="E181" i="1"/>
  <c r="I180" i="1"/>
  <c r="I174" i="1" s="1"/>
  <c r="I186" i="1" s="1"/>
  <c r="G180" i="1"/>
  <c r="G174" i="1" s="1"/>
  <c r="G186" i="1" s="1"/>
  <c r="D179" i="1"/>
  <c r="E179" i="1"/>
  <c r="E185" i="1"/>
  <c r="D185" i="1"/>
  <c r="F174" i="1"/>
  <c r="F186" i="1" s="1"/>
  <c r="H174" i="1"/>
  <c r="H186" i="1" s="1"/>
  <c r="E175" i="1"/>
  <c r="E176" i="1"/>
  <c r="E177" i="1"/>
  <c r="E178" i="1"/>
  <c r="E182" i="1"/>
  <c r="E184" i="1"/>
  <c r="D176" i="1"/>
  <c r="D177" i="1"/>
  <c r="D178" i="1"/>
  <c r="D180" i="1"/>
  <c r="D182" i="1"/>
  <c r="D184" i="1"/>
  <c r="D175" i="1"/>
  <c r="F161" i="1"/>
  <c r="H161" i="1"/>
  <c r="E158" i="1"/>
  <c r="D156" i="1"/>
  <c r="D160" i="1"/>
  <c r="E159" i="1"/>
  <c r="D159" i="1"/>
  <c r="D158" i="1"/>
  <c r="E157" i="1"/>
  <c r="D157" i="1"/>
  <c r="E156" i="1"/>
  <c r="I160" i="1"/>
  <c r="I161" i="1" s="1"/>
  <c r="G160" i="1"/>
  <c r="G161" i="1" s="1"/>
  <c r="I154" i="1"/>
  <c r="I155" i="1" s="1"/>
  <c r="G154" i="1"/>
  <c r="G155" i="1" s="1"/>
  <c r="F155" i="1"/>
  <c r="H155" i="1"/>
  <c r="E147" i="1"/>
  <c r="E148" i="1"/>
  <c r="E149" i="1"/>
  <c r="E150" i="1"/>
  <c r="E151" i="1"/>
  <c r="E152" i="1"/>
  <c r="E153" i="1"/>
  <c r="D148" i="1"/>
  <c r="D149" i="1"/>
  <c r="D150" i="1"/>
  <c r="D151" i="1"/>
  <c r="D152" i="1"/>
  <c r="D153" i="1"/>
  <c r="D154" i="1"/>
  <c r="D147" i="1"/>
  <c r="G131" i="1"/>
  <c r="H131" i="1"/>
  <c r="I131" i="1"/>
  <c r="F131" i="1"/>
  <c r="G128" i="1"/>
  <c r="H128" i="1"/>
  <c r="I128" i="1"/>
  <c r="F128" i="1"/>
  <c r="G123" i="1"/>
  <c r="H123" i="1"/>
  <c r="I123" i="1"/>
  <c r="F123" i="1"/>
  <c r="G119" i="1"/>
  <c r="H119" i="1"/>
  <c r="I119" i="1"/>
  <c r="F119" i="1"/>
  <c r="H116" i="1"/>
  <c r="F116" i="1"/>
  <c r="G111" i="1"/>
  <c r="G115" i="1" s="1"/>
  <c r="H111" i="1"/>
  <c r="H115" i="1" s="1"/>
  <c r="I111" i="1"/>
  <c r="F111" i="1"/>
  <c r="F115" i="1" s="1"/>
  <c r="E114" i="1"/>
  <c r="D114" i="1"/>
  <c r="G101" i="1"/>
  <c r="H101" i="1"/>
  <c r="I101" i="1"/>
  <c r="F101" i="1"/>
  <c r="D101" i="1" s="1"/>
  <c r="G105" i="1"/>
  <c r="H105" i="1"/>
  <c r="I105" i="1"/>
  <c r="F105" i="1"/>
  <c r="D105" i="1" s="1"/>
  <c r="D98" i="1"/>
  <c r="I98" i="1"/>
  <c r="G98" i="1"/>
  <c r="E98" i="1" s="1"/>
  <c r="E97" i="1"/>
  <c r="D97" i="1"/>
  <c r="G94" i="1"/>
  <c r="E94" i="1" s="1"/>
  <c r="H94" i="1"/>
  <c r="I94" i="1"/>
  <c r="F94" i="1"/>
  <c r="D94" i="1" s="1"/>
  <c r="D92" i="1"/>
  <c r="I92" i="1"/>
  <c r="E92" i="1" s="1"/>
  <c r="G92" i="1"/>
  <c r="G88" i="1"/>
  <c r="E88" i="1" s="1"/>
  <c r="H88" i="1"/>
  <c r="I88" i="1"/>
  <c r="F88" i="1"/>
  <c r="G84" i="1"/>
  <c r="E84" i="1" s="1"/>
  <c r="H84" i="1"/>
  <c r="D84" i="1" s="1"/>
  <c r="I84" i="1"/>
  <c r="F84" i="1"/>
  <c r="H77" i="1"/>
  <c r="I77" i="1"/>
  <c r="G77" i="1"/>
  <c r="F77" i="1"/>
  <c r="F87" i="1" s="1"/>
  <c r="G73" i="1"/>
  <c r="H73" i="1"/>
  <c r="I73" i="1"/>
  <c r="F73" i="1"/>
  <c r="H66" i="1"/>
  <c r="I66" i="1"/>
  <c r="G66" i="1"/>
  <c r="F66" i="1"/>
  <c r="G59" i="1"/>
  <c r="H59" i="1"/>
  <c r="I59" i="1"/>
  <c r="F59" i="1"/>
  <c r="F52" i="1"/>
  <c r="E50" i="1"/>
  <c r="D49" i="1"/>
  <c r="D50" i="1"/>
  <c r="D51" i="1"/>
  <c r="G44" i="1"/>
  <c r="H44" i="1"/>
  <c r="I44" i="1"/>
  <c r="F44" i="1"/>
  <c r="G42" i="1"/>
  <c r="H42" i="1"/>
  <c r="H48" i="1" s="1"/>
  <c r="D48" i="1" s="1"/>
  <c r="I42" i="1"/>
  <c r="I46" i="1" s="1"/>
  <c r="F42" i="1"/>
  <c r="F46" i="1" s="1"/>
  <c r="E41" i="1"/>
  <c r="D41" i="1"/>
  <c r="D37" i="1"/>
  <c r="I37" i="1"/>
  <c r="E37" i="1" s="1"/>
  <c r="H35" i="1"/>
  <c r="I35" i="1"/>
  <c r="F35" i="1"/>
  <c r="E34" i="1"/>
  <c r="D34" i="1"/>
  <c r="D31" i="1"/>
  <c r="I31" i="1"/>
  <c r="D30" i="1"/>
  <c r="E30" i="1"/>
  <c r="E29" i="1"/>
  <c r="D29" i="1"/>
  <c r="I27" i="1"/>
  <c r="D27" i="1"/>
  <c r="G28" i="1"/>
  <c r="E26" i="1"/>
  <c r="D26" i="1"/>
  <c r="E25" i="1"/>
  <c r="D25" i="1"/>
  <c r="I22" i="1"/>
  <c r="G22" i="1"/>
  <c r="E22" i="1" s="1"/>
  <c r="F22" i="1"/>
  <c r="D22" i="1" s="1"/>
  <c r="E21" i="1"/>
  <c r="D21" i="1"/>
  <c r="I6" i="1"/>
  <c r="E20" i="1"/>
  <c r="D20" i="1"/>
  <c r="G6" i="1"/>
  <c r="D44" i="1"/>
  <c r="D6" i="1"/>
  <c r="H52" i="1"/>
  <c r="J98" i="26"/>
  <c r="D17" i="23"/>
  <c r="K118" i="9" l="1"/>
  <c r="F85" i="15"/>
  <c r="J160" i="15"/>
  <c r="E19" i="17"/>
  <c r="H26" i="17"/>
  <c r="H62" i="17"/>
  <c r="D59" i="17"/>
  <c r="I40" i="19"/>
  <c r="G26" i="26"/>
  <c r="AB38" i="26"/>
  <c r="AB43" i="26" s="1"/>
  <c r="D25" i="26"/>
  <c r="E20" i="11"/>
  <c r="E180" i="1"/>
  <c r="E131" i="1"/>
  <c r="E143" i="9"/>
  <c r="K45" i="19"/>
  <c r="T40" i="19"/>
  <c r="T46" i="19" s="1"/>
  <c r="L96" i="17"/>
  <c r="E21" i="19"/>
  <c r="E99" i="15"/>
  <c r="E18" i="24"/>
  <c r="I18" i="24"/>
  <c r="Q166" i="19"/>
  <c r="E49" i="15"/>
  <c r="Q20" i="11"/>
  <c r="L93" i="10"/>
  <c r="N100" i="10"/>
  <c r="U6" i="10"/>
  <c r="I20" i="11"/>
  <c r="U20" i="11"/>
  <c r="I7" i="24"/>
  <c r="U8" i="24"/>
  <c r="I8" i="24"/>
  <c r="I16" i="24"/>
  <c r="U17" i="24"/>
  <c r="I17" i="24"/>
  <c r="U16" i="24"/>
  <c r="I6" i="24"/>
  <c r="L55" i="10"/>
  <c r="I75" i="10"/>
  <c r="S42" i="11"/>
  <c r="S75" i="10"/>
  <c r="G42" i="11"/>
  <c r="G39" i="11" s="1"/>
  <c r="G75" i="10"/>
  <c r="G62" i="10" s="1"/>
  <c r="G6" i="10"/>
  <c r="H18" i="24"/>
  <c r="U7" i="24"/>
  <c r="U6" i="24"/>
  <c r="U5" i="24"/>
  <c r="V74" i="30"/>
  <c r="D18" i="36"/>
  <c r="J80" i="30"/>
  <c r="H22" i="23"/>
  <c r="J7" i="30"/>
  <c r="G22" i="23"/>
  <c r="F32" i="30"/>
  <c r="R33" i="30"/>
  <c r="J33" i="30"/>
  <c r="V33" i="30"/>
  <c r="F33" i="30"/>
  <c r="V32" i="30"/>
  <c r="R32" i="30"/>
  <c r="P6" i="24"/>
  <c r="P16" i="24"/>
  <c r="H42" i="11"/>
  <c r="H75" i="10"/>
  <c r="K75" i="10"/>
  <c r="M67" i="10"/>
  <c r="N67" i="10" s="1"/>
  <c r="Q67" i="10"/>
  <c r="F46" i="10"/>
  <c r="M6" i="10"/>
  <c r="N32" i="10"/>
  <c r="N78" i="10"/>
  <c r="O93" i="10"/>
  <c r="K67" i="10"/>
  <c r="K7" i="10"/>
  <c r="K6" i="10" s="1"/>
  <c r="V29" i="10"/>
  <c r="F22" i="23"/>
  <c r="N6" i="30"/>
  <c r="F69" i="30"/>
  <c r="J50" i="30"/>
  <c r="F42" i="30"/>
  <c r="N42" i="30"/>
  <c r="R43" i="30"/>
  <c r="H15" i="23"/>
  <c r="J15" i="23" s="1"/>
  <c r="V42" i="30"/>
  <c r="J42" i="30"/>
  <c r="R20" i="30"/>
  <c r="N74" i="30"/>
  <c r="G22" i="5"/>
  <c r="N9" i="5"/>
  <c r="Q9" i="7"/>
  <c r="H11" i="18"/>
  <c r="Q20" i="12"/>
  <c r="I22" i="12"/>
  <c r="Q9" i="12"/>
  <c r="G22" i="12"/>
  <c r="J39" i="30"/>
  <c r="E39" i="18"/>
  <c r="D64" i="4"/>
  <c r="H110" i="1"/>
  <c r="I39" i="6"/>
  <c r="I43" i="6" s="1"/>
  <c r="O129" i="9"/>
  <c r="J32" i="17"/>
  <c r="J33" i="17" s="1"/>
  <c r="J39" i="17" s="1"/>
  <c r="Q30" i="19"/>
  <c r="Q40" i="19" s="1"/>
  <c r="O40" i="19"/>
  <c r="D69" i="19"/>
  <c r="D24" i="26"/>
  <c r="D26" i="26" s="1"/>
  <c r="C27" i="26"/>
  <c r="BK34" i="26"/>
  <c r="C48" i="26"/>
  <c r="F26" i="26"/>
  <c r="D20" i="31"/>
  <c r="L9" i="23"/>
  <c r="N9" i="23" s="1"/>
  <c r="D59" i="1"/>
  <c r="D73" i="1"/>
  <c r="E42" i="4"/>
  <c r="E64" i="4"/>
  <c r="D84" i="4"/>
  <c r="D98" i="4"/>
  <c r="D102" i="4"/>
  <c r="D113" i="4"/>
  <c r="D126" i="4"/>
  <c r="D141" i="4"/>
  <c r="H161" i="4"/>
  <c r="D153" i="4"/>
  <c r="D156" i="4"/>
  <c r="D180" i="4"/>
  <c r="F187" i="4"/>
  <c r="H156" i="6"/>
  <c r="R85" i="9"/>
  <c r="R118" i="9"/>
  <c r="M204" i="9"/>
  <c r="H46" i="19"/>
  <c r="E57" i="15"/>
  <c r="E92" i="15"/>
  <c r="J148" i="17"/>
  <c r="N131" i="19"/>
  <c r="F72" i="19"/>
  <c r="D118" i="19"/>
  <c r="T192" i="19"/>
  <c r="H192" i="19"/>
  <c r="K192" i="19"/>
  <c r="L166" i="19"/>
  <c r="E26" i="26"/>
  <c r="P34" i="26"/>
  <c r="G72" i="19"/>
  <c r="E96" i="19"/>
  <c r="O45" i="19"/>
  <c r="N9" i="8"/>
  <c r="N23" i="5"/>
  <c r="N20" i="2"/>
  <c r="D119" i="1"/>
  <c r="D128" i="1"/>
  <c r="E53" i="4"/>
  <c r="D66" i="4"/>
  <c r="E98" i="4"/>
  <c r="D88" i="6"/>
  <c r="P178" i="9"/>
  <c r="E42" i="15"/>
  <c r="H108" i="15"/>
  <c r="K74" i="15"/>
  <c r="F62" i="17"/>
  <c r="D74" i="17"/>
  <c r="D87" i="17"/>
  <c r="R166" i="19"/>
  <c r="M166" i="19"/>
  <c r="C6" i="26"/>
  <c r="C10" i="26"/>
  <c r="DQ44" i="26"/>
  <c r="C39" i="26"/>
  <c r="D91" i="26"/>
  <c r="F52" i="26"/>
  <c r="F53" i="26" s="1"/>
  <c r="D75" i="26"/>
  <c r="D93" i="26"/>
  <c r="K32" i="17"/>
  <c r="K33" i="17" s="1"/>
  <c r="U166" i="19"/>
  <c r="O22" i="37"/>
  <c r="Q20" i="7"/>
  <c r="N27" i="24"/>
  <c r="H93" i="10"/>
  <c r="J36" i="10"/>
  <c r="R94" i="10"/>
  <c r="R78" i="10"/>
  <c r="J31" i="24"/>
  <c r="G32" i="24"/>
  <c r="F33" i="24"/>
  <c r="F29" i="24"/>
  <c r="I21" i="16" s="1"/>
  <c r="P32" i="24"/>
  <c r="J27" i="24"/>
  <c r="I32" i="24"/>
  <c r="H26" i="24"/>
  <c r="M17" i="23"/>
  <c r="M12" i="23" s="1"/>
  <c r="M9" i="24" s="1"/>
  <c r="I17" i="11"/>
  <c r="D25" i="20"/>
  <c r="J21" i="20"/>
  <c r="J17" i="20"/>
  <c r="U25" i="20"/>
  <c r="N44" i="20"/>
  <c r="Q28" i="12"/>
  <c r="H11" i="12"/>
  <c r="F8" i="12"/>
  <c r="L22" i="12"/>
  <c r="K9" i="2"/>
  <c r="Q23" i="2"/>
  <c r="I22" i="2"/>
  <c r="H11" i="5"/>
  <c r="Q9" i="5"/>
  <c r="H20" i="7"/>
  <c r="H20" i="18"/>
  <c r="I22" i="18"/>
  <c r="H23" i="18"/>
  <c r="P22" i="18"/>
  <c r="E20" i="18"/>
  <c r="F8" i="18"/>
  <c r="K11" i="14"/>
  <c r="Q11" i="14"/>
  <c r="K28" i="14"/>
  <c r="N79" i="30"/>
  <c r="C36" i="8"/>
  <c r="I22" i="8"/>
  <c r="D22" i="37"/>
  <c r="O8" i="37"/>
  <c r="H9" i="37"/>
  <c r="J8" i="37"/>
  <c r="N9" i="37"/>
  <c r="D35" i="1"/>
  <c r="D40" i="1" s="1"/>
  <c r="H101" i="4"/>
  <c r="E148" i="4"/>
  <c r="G40" i="6"/>
  <c r="E40" i="6" s="1"/>
  <c r="F70" i="6"/>
  <c r="D113" i="6"/>
  <c r="D125" i="6"/>
  <c r="D149" i="6"/>
  <c r="D119" i="9"/>
  <c r="D66" i="9"/>
  <c r="D134" i="9"/>
  <c r="O152" i="9"/>
  <c r="I46" i="15"/>
  <c r="I50" i="15" s="1"/>
  <c r="E121" i="15"/>
  <c r="I160" i="15"/>
  <c r="J44" i="15"/>
  <c r="J45" i="15" s="1"/>
  <c r="J51" i="15" s="1"/>
  <c r="J85" i="15"/>
  <c r="K148" i="17"/>
  <c r="D16" i="19"/>
  <c r="R192" i="19"/>
  <c r="D89" i="19"/>
  <c r="D24" i="19"/>
  <c r="S166" i="19"/>
  <c r="D42" i="26"/>
  <c r="K16" i="24"/>
  <c r="I37" i="37"/>
  <c r="K37" i="37" s="1"/>
  <c r="N39" i="30"/>
  <c r="O13" i="11"/>
  <c r="R13" i="11" s="1"/>
  <c r="R32" i="10"/>
  <c r="F39" i="8"/>
  <c r="H39" i="8" s="1"/>
  <c r="J38" i="30"/>
  <c r="F37" i="7"/>
  <c r="F36" i="7" s="1"/>
  <c r="U6" i="11"/>
  <c r="V6" i="11" s="1"/>
  <c r="V7" i="10"/>
  <c r="R28" i="24"/>
  <c r="I25" i="17"/>
  <c r="I24" i="17" s="1"/>
  <c r="E6" i="17"/>
  <c r="J32" i="10"/>
  <c r="I42" i="11"/>
  <c r="I39" i="11" s="1"/>
  <c r="K21" i="11"/>
  <c r="N21" i="11" s="1"/>
  <c r="N18" i="20"/>
  <c r="N38" i="2"/>
  <c r="V78" i="10"/>
  <c r="H87" i="1"/>
  <c r="D66" i="1"/>
  <c r="D71" i="6"/>
  <c r="D81" i="6" s="1"/>
  <c r="I31" i="6"/>
  <c r="G70" i="6"/>
  <c r="F156" i="6"/>
  <c r="E140" i="9"/>
  <c r="F39" i="19"/>
  <c r="E27" i="15"/>
  <c r="I32" i="17"/>
  <c r="H122" i="17"/>
  <c r="F148" i="17"/>
  <c r="D147" i="17"/>
  <c r="M192" i="19"/>
  <c r="H112" i="4"/>
  <c r="E101" i="1"/>
  <c r="I162" i="1"/>
  <c r="D155" i="6"/>
  <c r="J178" i="9"/>
  <c r="J204" i="9"/>
  <c r="L79" i="9"/>
  <c r="P118" i="9"/>
  <c r="P152" i="9"/>
  <c r="P204" i="9"/>
  <c r="R129" i="9"/>
  <c r="M129" i="9"/>
  <c r="M178" i="9"/>
  <c r="O118" i="9"/>
  <c r="D42" i="15"/>
  <c r="E109" i="17"/>
  <c r="D62" i="19"/>
  <c r="N40" i="19"/>
  <c r="N46" i="19" s="1"/>
  <c r="P72" i="19"/>
  <c r="C23" i="11"/>
  <c r="F23" i="11" s="1"/>
  <c r="F20" i="20"/>
  <c r="D67" i="10"/>
  <c r="D36" i="11"/>
  <c r="D34" i="11" s="1"/>
  <c r="C43" i="10"/>
  <c r="C19" i="11" s="1"/>
  <c r="F44" i="10"/>
  <c r="C26" i="10"/>
  <c r="F27" i="10"/>
  <c r="H22" i="11"/>
  <c r="J22" i="11" s="1"/>
  <c r="H41" i="10"/>
  <c r="H28" i="11"/>
  <c r="H26" i="11" s="1"/>
  <c r="H55" i="10"/>
  <c r="Q28" i="18"/>
  <c r="Q25" i="12"/>
  <c r="DJ44" i="26"/>
  <c r="D17" i="26"/>
  <c r="E70" i="9"/>
  <c r="C8" i="37"/>
  <c r="D22" i="18"/>
  <c r="F11" i="20"/>
  <c r="H31" i="23"/>
  <c r="F100" i="10"/>
  <c r="F29" i="10"/>
  <c r="C93" i="10"/>
  <c r="C92" i="10" s="1"/>
  <c r="H9" i="14"/>
  <c r="F22" i="5"/>
  <c r="H28" i="2"/>
  <c r="I25" i="20"/>
  <c r="G93" i="10"/>
  <c r="G92" i="10" s="1"/>
  <c r="G4" i="30"/>
  <c r="H43" i="12"/>
  <c r="K11" i="37"/>
  <c r="K28" i="18"/>
  <c r="J8" i="7"/>
  <c r="I8" i="2"/>
  <c r="N20" i="10"/>
  <c r="M22" i="7"/>
  <c r="N28" i="12"/>
  <c r="E4" i="29"/>
  <c r="O19" i="23" s="1"/>
  <c r="R19" i="23" s="1"/>
  <c r="F34" i="29"/>
  <c r="Q49" i="25" s="1"/>
  <c r="V63" i="10"/>
  <c r="S93" i="10"/>
  <c r="S92" i="10" s="1"/>
  <c r="T72" i="19"/>
  <c r="P166" i="19"/>
  <c r="C4" i="26"/>
  <c r="C8" i="26"/>
  <c r="C16" i="26"/>
  <c r="AA38" i="26"/>
  <c r="AA43" i="26" s="1"/>
  <c r="BI38" i="26"/>
  <c r="BI43" i="26" s="1"/>
  <c r="C52" i="26"/>
  <c r="D63" i="26"/>
  <c r="D99" i="26"/>
  <c r="D64" i="26"/>
  <c r="E69" i="19"/>
  <c r="E100" i="19"/>
  <c r="E84" i="19"/>
  <c r="U83" i="19"/>
  <c r="E114" i="19"/>
  <c r="L32" i="17"/>
  <c r="L33" i="17" s="1"/>
  <c r="L39" i="17" s="1"/>
  <c r="L62" i="17"/>
  <c r="E9" i="7"/>
  <c r="D8" i="7"/>
  <c r="E28" i="7"/>
  <c r="D8" i="5"/>
  <c r="D22" i="2"/>
  <c r="F41" i="23"/>
  <c r="E32" i="24"/>
  <c r="F43" i="10"/>
  <c r="J33" i="24"/>
  <c r="H54" i="11"/>
  <c r="H47" i="11" s="1"/>
  <c r="H46" i="11" s="1"/>
  <c r="G22" i="7"/>
  <c r="H25" i="2"/>
  <c r="J30" i="10"/>
  <c r="J63" i="10"/>
  <c r="G46" i="10"/>
  <c r="J22" i="7"/>
  <c r="J22" i="12"/>
  <c r="N28" i="20"/>
  <c r="N31" i="20"/>
  <c r="L92" i="10"/>
  <c r="Q11" i="37"/>
  <c r="Q23" i="14"/>
  <c r="N23" i="18"/>
  <c r="M8" i="7"/>
  <c r="P8" i="5"/>
  <c r="Q23" i="5"/>
  <c r="N20" i="12"/>
  <c r="S31" i="23"/>
  <c r="P93" i="10"/>
  <c r="P92" i="10" s="1"/>
  <c r="R105" i="10"/>
  <c r="T32" i="24"/>
  <c r="E23" i="37"/>
  <c r="E28" i="14"/>
  <c r="D8" i="18"/>
  <c r="C8" i="12"/>
  <c r="F7" i="10"/>
  <c r="H20" i="37"/>
  <c r="J28" i="20"/>
  <c r="F38" i="8"/>
  <c r="H38" i="8" s="1"/>
  <c r="K11" i="7"/>
  <c r="K28" i="2"/>
  <c r="N20" i="20"/>
  <c r="Q20" i="8"/>
  <c r="N9" i="18"/>
  <c r="N28" i="2"/>
  <c r="N25" i="12"/>
  <c r="F7" i="11"/>
  <c r="E75" i="10"/>
  <c r="E62" i="10" s="1"/>
  <c r="M75" i="10"/>
  <c r="N82" i="10"/>
  <c r="L75" i="10"/>
  <c r="L62" i="10" s="1"/>
  <c r="E36" i="11"/>
  <c r="E34" i="11" s="1"/>
  <c r="R69" i="10"/>
  <c r="D20" i="11"/>
  <c r="N51" i="10"/>
  <c r="L20" i="11"/>
  <c r="V15" i="11"/>
  <c r="F56" i="11"/>
  <c r="C20" i="16" s="1"/>
  <c r="E40" i="15"/>
  <c r="I44" i="15"/>
  <c r="H40" i="1"/>
  <c r="I76" i="1"/>
  <c r="E66" i="1"/>
  <c r="E160" i="1"/>
  <c r="E161" i="1" s="1"/>
  <c r="D111" i="1"/>
  <c r="D115" i="1" s="1"/>
  <c r="D123" i="1"/>
  <c r="H162" i="1"/>
  <c r="E119" i="4"/>
  <c r="G187" i="4"/>
  <c r="E205" i="4"/>
  <c r="R152" i="9"/>
  <c r="R178" i="9"/>
  <c r="E152" i="15"/>
  <c r="E153" i="15" s="1"/>
  <c r="G153" i="15"/>
  <c r="E158" i="15"/>
  <c r="D22" i="26"/>
  <c r="E81" i="9"/>
  <c r="I85" i="9"/>
  <c r="D55" i="26"/>
  <c r="G39" i="19"/>
  <c r="E34" i="19"/>
  <c r="E73" i="19"/>
  <c r="G83" i="19"/>
  <c r="O105" i="19"/>
  <c r="E93" i="19"/>
  <c r="I110" i="1"/>
  <c r="H187" i="4"/>
  <c r="E26" i="6"/>
  <c r="E33" i="6"/>
  <c r="E60" i="6"/>
  <c r="E70" i="6" s="1"/>
  <c r="E67" i="6"/>
  <c r="I104" i="6"/>
  <c r="E88" i="6"/>
  <c r="E113" i="6"/>
  <c r="G149" i="6"/>
  <c r="E148" i="6"/>
  <c r="E149" i="6" s="1"/>
  <c r="E83" i="9"/>
  <c r="D136" i="9"/>
  <c r="Q105" i="19"/>
  <c r="Q113" i="19" s="1"/>
  <c r="Q111" i="19" s="1"/>
  <c r="Q131" i="19" s="1"/>
  <c r="Q132" i="19" s="1"/>
  <c r="AK44" i="26"/>
  <c r="CG44" i="26"/>
  <c r="CG107" i="26" s="1"/>
  <c r="D71" i="26"/>
  <c r="L34" i="26"/>
  <c r="F32" i="26"/>
  <c r="K39" i="17"/>
  <c r="F15" i="20"/>
  <c r="AI53" i="26"/>
  <c r="E52" i="26"/>
  <c r="E53" i="26" s="1"/>
  <c r="D77" i="26"/>
  <c r="H68" i="4"/>
  <c r="H69" i="4" s="1"/>
  <c r="H75" i="4" s="1"/>
  <c r="E105" i="1"/>
  <c r="E110" i="1" s="1"/>
  <c r="G162" i="1"/>
  <c r="F162" i="1"/>
  <c r="I62" i="4"/>
  <c r="F62" i="4"/>
  <c r="F69" i="4" s="1"/>
  <c r="F75" i="4" s="1"/>
  <c r="E117" i="4"/>
  <c r="H87" i="9"/>
  <c r="D87" i="9" s="1"/>
  <c r="D91" i="9" s="1"/>
  <c r="D197" i="9"/>
  <c r="K88" i="9"/>
  <c r="K79" i="9"/>
  <c r="K86" i="9" s="1"/>
  <c r="E103" i="15"/>
  <c r="K160" i="15"/>
  <c r="H33" i="17"/>
  <c r="H39" i="17" s="1"/>
  <c r="G73" i="17"/>
  <c r="E87" i="17"/>
  <c r="D97" i="17"/>
  <c r="D101" i="17" s="1"/>
  <c r="G148" i="17"/>
  <c r="H166" i="19"/>
  <c r="N166" i="19"/>
  <c r="J166" i="19"/>
  <c r="O38" i="26"/>
  <c r="O43" i="26" s="1"/>
  <c r="D29" i="26"/>
  <c r="D82" i="26"/>
  <c r="D86" i="26"/>
  <c r="D103" i="26"/>
  <c r="D101" i="26"/>
  <c r="D105" i="26"/>
  <c r="Q152" i="9"/>
  <c r="D186" i="4"/>
  <c r="E199" i="4"/>
  <c r="E211" i="4" s="1"/>
  <c r="D82" i="6"/>
  <c r="D104" i="6" s="1"/>
  <c r="D95" i="6"/>
  <c r="E136" i="9"/>
  <c r="J79" i="9"/>
  <c r="J86" i="9" s="1"/>
  <c r="J92" i="9" s="1"/>
  <c r="J118" i="9"/>
  <c r="L118" i="9"/>
  <c r="P79" i="9"/>
  <c r="R204" i="9"/>
  <c r="D75" i="15"/>
  <c r="F108" i="15"/>
  <c r="D103" i="15"/>
  <c r="D129" i="15"/>
  <c r="J74" i="15"/>
  <c r="K85" i="15"/>
  <c r="K108" i="15"/>
  <c r="J134" i="15"/>
  <c r="I34" i="17"/>
  <c r="E28" i="17"/>
  <c r="D45" i="17"/>
  <c r="D52" i="17"/>
  <c r="J62" i="17"/>
  <c r="D63" i="17"/>
  <c r="J73" i="17"/>
  <c r="E166" i="17"/>
  <c r="E160" i="17" s="1"/>
  <c r="D123" i="19"/>
  <c r="S192" i="19"/>
  <c r="R40" i="19"/>
  <c r="R46" i="19" s="1"/>
  <c r="M132" i="19"/>
  <c r="I132" i="19"/>
  <c r="L192" i="19"/>
  <c r="T83" i="19"/>
  <c r="T131" i="19"/>
  <c r="C13" i="26"/>
  <c r="C17" i="26"/>
  <c r="E33" i="26"/>
  <c r="C88" i="26"/>
  <c r="E106" i="26"/>
  <c r="D11" i="26"/>
  <c r="D15" i="26"/>
  <c r="F23" i="26"/>
  <c r="D31" i="26"/>
  <c r="D70" i="26"/>
  <c r="D76" i="26"/>
  <c r="D81" i="26"/>
  <c r="D85" i="26"/>
  <c r="D90" i="26"/>
  <c r="D94" i="26"/>
  <c r="DV107" i="26"/>
  <c r="E62" i="19"/>
  <c r="U105" i="19"/>
  <c r="Q86" i="9"/>
  <c r="Q92" i="9" s="1"/>
  <c r="C25" i="11"/>
  <c r="F22" i="20"/>
  <c r="C18" i="23"/>
  <c r="F18" i="23" s="1"/>
  <c r="E18" i="6"/>
  <c r="I88" i="9"/>
  <c r="E61" i="9"/>
  <c r="O86" i="9"/>
  <c r="O92" i="9" s="1"/>
  <c r="E31" i="15"/>
  <c r="D64" i="15"/>
  <c r="D71" i="15"/>
  <c r="D153" i="15"/>
  <c r="D80" i="17"/>
  <c r="F101" i="17"/>
  <c r="H148" i="17"/>
  <c r="E44" i="19"/>
  <c r="I192" i="19"/>
  <c r="K40" i="19"/>
  <c r="K46" i="19" s="1"/>
  <c r="C7" i="26"/>
  <c r="C11" i="26"/>
  <c r="C15" i="26"/>
  <c r="C25" i="26"/>
  <c r="M38" i="26"/>
  <c r="M43" i="26" s="1"/>
  <c r="C28" i="26"/>
  <c r="G33" i="26"/>
  <c r="Q38" i="26"/>
  <c r="Q43" i="26" s="1"/>
  <c r="DS44" i="26"/>
  <c r="DS107" i="26" s="1"/>
  <c r="C42" i="26"/>
  <c r="C64" i="26"/>
  <c r="D95" i="26"/>
  <c r="D97" i="26"/>
  <c r="AR38" i="26"/>
  <c r="AR43" i="26" s="1"/>
  <c r="DP38" i="26"/>
  <c r="DP43" i="26" s="1"/>
  <c r="BJ38" i="26"/>
  <c r="BJ43" i="26" s="1"/>
  <c r="BL38" i="26"/>
  <c r="BL43" i="26" s="1"/>
  <c r="BL44" i="26" s="1"/>
  <c r="BL107" i="26" s="1"/>
  <c r="BX44" i="26"/>
  <c r="BX107" i="26" s="1"/>
  <c r="CB44" i="26"/>
  <c r="CX44" i="26"/>
  <c r="CX107" i="26" s="1"/>
  <c r="DD44" i="26"/>
  <c r="DD107" i="26" s="1"/>
  <c r="DF44" i="26"/>
  <c r="DL44" i="26"/>
  <c r="DT44" i="26"/>
  <c r="DT107" i="26" s="1"/>
  <c r="DN44" i="26"/>
  <c r="DN107" i="26" s="1"/>
  <c r="Q45" i="19"/>
  <c r="Q46" i="19" s="1"/>
  <c r="AF38" i="26"/>
  <c r="AF43" i="26" s="1"/>
  <c r="Z44" i="26"/>
  <c r="J18" i="10"/>
  <c r="M14" i="20"/>
  <c r="M8" i="20" s="1"/>
  <c r="I39" i="18"/>
  <c r="K39" i="18" s="1"/>
  <c r="N23" i="14"/>
  <c r="Q28" i="14"/>
  <c r="Q25" i="18"/>
  <c r="N9" i="7"/>
  <c r="N20" i="5"/>
  <c r="P22" i="12"/>
  <c r="V17" i="20"/>
  <c r="R36" i="10"/>
  <c r="V34" i="24"/>
  <c r="R31" i="11"/>
  <c r="V57" i="11"/>
  <c r="F24" i="16" s="1"/>
  <c r="D23" i="35"/>
  <c r="D34" i="35" s="1"/>
  <c r="D3" i="35" s="1"/>
  <c r="E11" i="37"/>
  <c r="F23" i="20"/>
  <c r="F31" i="20"/>
  <c r="D19" i="11"/>
  <c r="E6" i="11"/>
  <c r="E5" i="11" s="1"/>
  <c r="E42" i="11"/>
  <c r="E39" i="11" s="1"/>
  <c r="D28" i="11"/>
  <c r="F28" i="11" s="1"/>
  <c r="E6" i="10"/>
  <c r="E93" i="10"/>
  <c r="E92" i="10" s="1"/>
  <c r="D41" i="10"/>
  <c r="D25" i="10"/>
  <c r="G22" i="8"/>
  <c r="F22" i="8"/>
  <c r="G22" i="18"/>
  <c r="G8" i="12"/>
  <c r="H25" i="12"/>
  <c r="F22" i="12"/>
  <c r="H22" i="12" s="1"/>
  <c r="J20" i="30"/>
  <c r="H25" i="20"/>
  <c r="J41" i="23"/>
  <c r="I41" i="10"/>
  <c r="F39" i="37"/>
  <c r="H39" i="37" s="1"/>
  <c r="K28" i="37"/>
  <c r="K20" i="7"/>
  <c r="J8" i="2"/>
  <c r="K11" i="12"/>
  <c r="M25" i="20"/>
  <c r="L32" i="24"/>
  <c r="N34" i="24"/>
  <c r="P8" i="8"/>
  <c r="N9" i="14"/>
  <c r="Q20" i="14"/>
  <c r="M8" i="18"/>
  <c r="O22" i="5"/>
  <c r="N25" i="2"/>
  <c r="R9" i="20"/>
  <c r="R17" i="20"/>
  <c r="V94" i="10"/>
  <c r="E28" i="37"/>
  <c r="F57" i="11"/>
  <c r="C24" i="16" s="1"/>
  <c r="F28" i="24"/>
  <c r="F31" i="24"/>
  <c r="F34" i="24"/>
  <c r="H25" i="14"/>
  <c r="J9" i="20"/>
  <c r="G9" i="11" s="1"/>
  <c r="K25" i="7"/>
  <c r="K11" i="2"/>
  <c r="K9" i="7"/>
  <c r="K26" i="24"/>
  <c r="N36" i="10"/>
  <c r="N28" i="8"/>
  <c r="N20" i="7"/>
  <c r="N25" i="7"/>
  <c r="P22" i="7"/>
  <c r="T25" i="20"/>
  <c r="V11" i="20"/>
  <c r="V26" i="20"/>
  <c r="U93" i="10"/>
  <c r="U92" i="10" s="1"/>
  <c r="V105" i="10"/>
  <c r="V28" i="24"/>
  <c r="D22" i="5"/>
  <c r="C8" i="2"/>
  <c r="E25" i="2"/>
  <c r="E28" i="2"/>
  <c r="E11" i="12"/>
  <c r="F102" i="10"/>
  <c r="F27" i="24"/>
  <c r="D32" i="24"/>
  <c r="F37" i="11"/>
  <c r="H25" i="7"/>
  <c r="G8" i="5"/>
  <c r="G30" i="5" s="1"/>
  <c r="H9" i="11"/>
  <c r="G41" i="10"/>
  <c r="H20" i="11"/>
  <c r="G36" i="11"/>
  <c r="G34" i="11" s="1"/>
  <c r="J22" i="37"/>
  <c r="K20" i="8"/>
  <c r="J22" i="8"/>
  <c r="K20" i="14"/>
  <c r="I22" i="14"/>
  <c r="K11" i="18"/>
  <c r="N28" i="24"/>
  <c r="L26" i="24"/>
  <c r="Q28" i="37"/>
  <c r="L8" i="18"/>
  <c r="L8" i="5"/>
  <c r="P22" i="5"/>
  <c r="Q25" i="2"/>
  <c r="V41" i="23"/>
  <c r="T31" i="23"/>
  <c r="R82" i="10"/>
  <c r="C5" i="28"/>
  <c r="C49" i="28" s="1"/>
  <c r="N28" i="30"/>
  <c r="D42" i="12"/>
  <c r="E44" i="12"/>
  <c r="K25" i="8"/>
  <c r="N23" i="8"/>
  <c r="E20" i="8"/>
  <c r="E25" i="8"/>
  <c r="D76" i="1"/>
  <c r="N17" i="20"/>
  <c r="K14" i="20"/>
  <c r="K8" i="20" s="1"/>
  <c r="L6" i="10"/>
  <c r="N18" i="10"/>
  <c r="L9" i="11"/>
  <c r="L5" i="11" s="1"/>
  <c r="M62" i="10"/>
  <c r="Q11" i="2"/>
  <c r="D52" i="1"/>
  <c r="H104" i="6"/>
  <c r="F130" i="6"/>
  <c r="M88" i="9"/>
  <c r="M79" i="9"/>
  <c r="E106" i="19"/>
  <c r="E110" i="19" s="1"/>
  <c r="D80" i="19"/>
  <c r="F105" i="19"/>
  <c r="D96" i="19"/>
  <c r="G34" i="26"/>
  <c r="AU44" i="26"/>
  <c r="AU107" i="26" s="1"/>
  <c r="F2" i="26"/>
  <c r="R18" i="26"/>
  <c r="R19" i="26"/>
  <c r="AF18" i="26"/>
  <c r="AF19" i="26"/>
  <c r="DH34" i="26"/>
  <c r="H32" i="26"/>
  <c r="E11" i="18"/>
  <c r="D18" i="11"/>
  <c r="D14" i="20"/>
  <c r="D8" i="20" s="1"/>
  <c r="D33" i="20" s="1"/>
  <c r="J20" i="20"/>
  <c r="G23" i="11"/>
  <c r="J23" i="11" s="1"/>
  <c r="I36" i="11"/>
  <c r="I34" i="11" s="1"/>
  <c r="I67" i="10"/>
  <c r="I47" i="11"/>
  <c r="I46" i="11" s="1"/>
  <c r="I93" i="10"/>
  <c r="I92" i="10" s="1"/>
  <c r="J100" i="10"/>
  <c r="G27" i="1"/>
  <c r="G51" i="1"/>
  <c r="E51" i="1" s="1"/>
  <c r="H37" i="26"/>
  <c r="D35" i="26"/>
  <c r="U42" i="19"/>
  <c r="U45" i="19" s="1"/>
  <c r="U39" i="19"/>
  <c r="U40" i="19" s="1"/>
  <c r="K6" i="11"/>
  <c r="K5" i="11" s="1"/>
  <c r="L18" i="11"/>
  <c r="N18" i="11" s="1"/>
  <c r="N15" i="20"/>
  <c r="I48" i="1"/>
  <c r="I52" i="1" s="1"/>
  <c r="E174" i="1"/>
  <c r="E186" i="1" s="1"/>
  <c r="E49" i="4"/>
  <c r="G71" i="4"/>
  <c r="E71" i="4" s="1"/>
  <c r="I68" i="4"/>
  <c r="I69" i="4" s="1"/>
  <c r="G140" i="4"/>
  <c r="E136" i="4"/>
  <c r="E140" i="4" s="1"/>
  <c r="E174" i="6"/>
  <c r="E168" i="6" s="1"/>
  <c r="E180" i="6" s="1"/>
  <c r="G168" i="6"/>
  <c r="G180" i="6" s="1"/>
  <c r="D115" i="9"/>
  <c r="E222" i="9"/>
  <c r="E216" i="9" s="1"/>
  <c r="E228" i="9" s="1"/>
  <c r="G216" i="9"/>
  <c r="G228" i="9" s="1"/>
  <c r="G75" i="9"/>
  <c r="G74" i="9" s="1"/>
  <c r="E74" i="9" s="1"/>
  <c r="E6" i="9"/>
  <c r="E72" i="19"/>
  <c r="F96" i="17"/>
  <c r="F38" i="15"/>
  <c r="D22" i="15"/>
  <c r="D102" i="17"/>
  <c r="I147" i="17"/>
  <c r="E146" i="17"/>
  <c r="E147" i="17" s="1"/>
  <c r="E159" i="15"/>
  <c r="G165" i="19"/>
  <c r="E164" i="19"/>
  <c r="E186" i="19"/>
  <c r="G180" i="19"/>
  <c r="G192" i="19" s="1"/>
  <c r="S40" i="19"/>
  <c r="S46" i="19" s="1"/>
  <c r="M42" i="19"/>
  <c r="M45" i="19" s="1"/>
  <c r="M39" i="19"/>
  <c r="M40" i="19" s="1"/>
  <c r="BW107" i="26"/>
  <c r="BC44" i="26"/>
  <c r="CI38" i="26"/>
  <c r="CI43" i="26" s="1"/>
  <c r="CI44" i="26" s="1"/>
  <c r="CI107" i="26" s="1"/>
  <c r="DO38" i="26"/>
  <c r="DO43" i="26" s="1"/>
  <c r="CW44" i="26"/>
  <c r="CW107" i="26" s="1"/>
  <c r="E154" i="19"/>
  <c r="G158" i="19"/>
  <c r="G159" i="19" s="1"/>
  <c r="E9" i="18"/>
  <c r="C8" i="18"/>
  <c r="E23" i="18"/>
  <c r="C22" i="5"/>
  <c r="J18" i="20"/>
  <c r="G21" i="11"/>
  <c r="J21" i="11" s="1"/>
  <c r="G14" i="20"/>
  <c r="G8" i="20" s="1"/>
  <c r="G109" i="6"/>
  <c r="E105" i="6"/>
  <c r="E109" i="6" s="1"/>
  <c r="E16" i="19"/>
  <c r="E30" i="19" s="1"/>
  <c r="G42" i="19"/>
  <c r="G30" i="19"/>
  <c r="G40" i="19" s="1"/>
  <c r="I8" i="5"/>
  <c r="K11" i="5"/>
  <c r="M11" i="11"/>
  <c r="M25" i="10"/>
  <c r="O8" i="5"/>
  <c r="Q11" i="5"/>
  <c r="Q28" i="2"/>
  <c r="D77" i="1"/>
  <c r="I115" i="1"/>
  <c r="E111" i="1"/>
  <c r="E115" i="1" s="1"/>
  <c r="F76" i="1"/>
  <c r="H136" i="1"/>
  <c r="D174" i="1"/>
  <c r="D186" i="1" s="1"/>
  <c r="I112" i="4"/>
  <c r="F31" i="6"/>
  <c r="F38" i="6" s="1"/>
  <c r="F44" i="6" s="1"/>
  <c r="D26" i="6"/>
  <c r="D31" i="6" s="1"/>
  <c r="F109" i="6"/>
  <c r="D105" i="6"/>
  <c r="D109" i="6" s="1"/>
  <c r="D168" i="6"/>
  <c r="D180" i="6" s="1"/>
  <c r="H178" i="9"/>
  <c r="E161" i="9"/>
  <c r="E170" i="9"/>
  <c r="L85" i="9"/>
  <c r="L152" i="9"/>
  <c r="L204" i="9"/>
  <c r="N118" i="9"/>
  <c r="N178" i="9"/>
  <c r="N204" i="9"/>
  <c r="D203" i="9"/>
  <c r="D204" i="9" s="1"/>
  <c r="D216" i="9"/>
  <c r="D228" i="9" s="1"/>
  <c r="D92" i="15"/>
  <c r="J108" i="15"/>
  <c r="D91" i="17"/>
  <c r="E97" i="17"/>
  <c r="E101" i="17" s="1"/>
  <c r="I141" i="17"/>
  <c r="E140" i="17"/>
  <c r="E141" i="17" s="1"/>
  <c r="E172" i="17"/>
  <c r="D111" i="19"/>
  <c r="L132" i="19"/>
  <c r="U72" i="19"/>
  <c r="U113" i="19" s="1"/>
  <c r="U111" i="19" s="1"/>
  <c r="U131" i="19" s="1"/>
  <c r="D34" i="19"/>
  <c r="H79" i="26"/>
  <c r="C22" i="18"/>
  <c r="F36" i="10"/>
  <c r="C67" i="10"/>
  <c r="F67" i="10" s="1"/>
  <c r="F69" i="10"/>
  <c r="M87" i="9"/>
  <c r="M91" i="9" s="1"/>
  <c r="E165" i="9"/>
  <c r="H160" i="15"/>
  <c r="E24" i="17"/>
  <c r="E80" i="17"/>
  <c r="I96" i="17"/>
  <c r="I122" i="17"/>
  <c r="K122" i="17"/>
  <c r="E83" i="19"/>
  <c r="E180" i="19"/>
  <c r="E192" i="19" s="1"/>
  <c r="D159" i="19"/>
  <c r="D165" i="19"/>
  <c r="D180" i="19"/>
  <c r="D192" i="19" s="1"/>
  <c r="K132" i="19"/>
  <c r="L40" i="19"/>
  <c r="L46" i="19" s="1"/>
  <c r="P30" i="19"/>
  <c r="P40" i="19" s="1"/>
  <c r="P46" i="19" s="1"/>
  <c r="AC38" i="26"/>
  <c r="AC43" i="26" s="1"/>
  <c r="S44" i="26"/>
  <c r="S107" i="26" s="1"/>
  <c r="BQ44" i="26"/>
  <c r="BQ107" i="26" s="1"/>
  <c r="BY44" i="26"/>
  <c r="H106" i="26"/>
  <c r="G106" i="26"/>
  <c r="D12" i="26"/>
  <c r="D16" i="26"/>
  <c r="CB107" i="26"/>
  <c r="L73" i="26"/>
  <c r="L74" i="26" s="1"/>
  <c r="F67" i="26"/>
  <c r="D67" i="26" s="1"/>
  <c r="C59" i="26"/>
  <c r="E11" i="14"/>
  <c r="E25" i="14"/>
  <c r="C22" i="7"/>
  <c r="E25" i="5"/>
  <c r="E28" i="5"/>
  <c r="C22" i="12"/>
  <c r="E28" i="12"/>
  <c r="E25" i="10"/>
  <c r="E13" i="11"/>
  <c r="F32" i="10"/>
  <c r="F22" i="7"/>
  <c r="H23" i="7"/>
  <c r="J31" i="20"/>
  <c r="H11" i="11"/>
  <c r="H10" i="11" s="1"/>
  <c r="H25" i="10"/>
  <c r="F37" i="18"/>
  <c r="H37" i="18" s="1"/>
  <c r="J36" i="30"/>
  <c r="F37" i="8"/>
  <c r="H37" i="8" s="1"/>
  <c r="K9" i="14"/>
  <c r="N41" i="20"/>
  <c r="N20" i="30"/>
  <c r="I37" i="8"/>
  <c r="K37" i="8" s="1"/>
  <c r="I37" i="7"/>
  <c r="I36" i="7" s="1"/>
  <c r="N25" i="14"/>
  <c r="M118" i="9"/>
  <c r="D131" i="1"/>
  <c r="D130" i="4"/>
  <c r="E153" i="4"/>
  <c r="E156" i="4"/>
  <c r="F104" i="6"/>
  <c r="E125" i="6"/>
  <c r="F79" i="9"/>
  <c r="F86" i="9" s="1"/>
  <c r="F92" i="9" s="1"/>
  <c r="D126" i="9"/>
  <c r="E134" i="9"/>
  <c r="H152" i="9"/>
  <c r="H179" i="9" s="1"/>
  <c r="D143" i="9"/>
  <c r="D147" i="9"/>
  <c r="F178" i="9"/>
  <c r="D165" i="9"/>
  <c r="D170" i="9"/>
  <c r="D173" i="9"/>
  <c r="E196" i="9"/>
  <c r="E197" i="9" s="1"/>
  <c r="D140" i="9"/>
  <c r="N79" i="9"/>
  <c r="N152" i="9"/>
  <c r="D61" i="9"/>
  <c r="E108" i="9"/>
  <c r="D38" i="17"/>
  <c r="F30" i="19"/>
  <c r="F40" i="19" s="1"/>
  <c r="F46" i="19" s="1"/>
  <c r="H44" i="15"/>
  <c r="F73" i="17"/>
  <c r="I38" i="15"/>
  <c r="I45" i="15" s="1"/>
  <c r="I51" i="15" s="1"/>
  <c r="E22" i="15"/>
  <c r="H45" i="15"/>
  <c r="E36" i="15"/>
  <c r="E82" i="15"/>
  <c r="D86" i="15"/>
  <c r="D99" i="15"/>
  <c r="E109" i="15"/>
  <c r="E113" i="15" s="1"/>
  <c r="F134" i="15"/>
  <c r="D121" i="15"/>
  <c r="D126" i="15"/>
  <c r="K134" i="15"/>
  <c r="K135" i="15" s="1"/>
  <c r="D28" i="17"/>
  <c r="E30" i="17"/>
  <c r="E32" i="17" s="1"/>
  <c r="I62" i="17"/>
  <c r="K62" i="17"/>
  <c r="E59" i="17"/>
  <c r="E63" i="17"/>
  <c r="K73" i="17"/>
  <c r="E70" i="17"/>
  <c r="G96" i="17"/>
  <c r="K96" i="17"/>
  <c r="D105" i="17"/>
  <c r="P192" i="19"/>
  <c r="D141" i="19"/>
  <c r="D84" i="19"/>
  <c r="D100" i="19"/>
  <c r="H18" i="26"/>
  <c r="AE38" i="26"/>
  <c r="AE43" i="26" s="1"/>
  <c r="AE44" i="26" s="1"/>
  <c r="AW44" i="26"/>
  <c r="AW107" i="26" s="1"/>
  <c r="BE38" i="26"/>
  <c r="BE43" i="26" s="1"/>
  <c r="BM44" i="26"/>
  <c r="BM107" i="26" s="1"/>
  <c r="CK44" i="26"/>
  <c r="CK107" i="26" s="1"/>
  <c r="CS44" i="26"/>
  <c r="CS107" i="26" s="1"/>
  <c r="DA44" i="26"/>
  <c r="DA107" i="26" s="1"/>
  <c r="DI44" i="26"/>
  <c r="C24" i="26"/>
  <c r="D46" i="26"/>
  <c r="D89" i="26"/>
  <c r="AJ44" i="26"/>
  <c r="AJ107" i="26" s="1"/>
  <c r="BT66" i="26"/>
  <c r="BZ44" i="26"/>
  <c r="CD44" i="26"/>
  <c r="CD107" i="26" s="1"/>
  <c r="CN44" i="26"/>
  <c r="CN107" i="26" s="1"/>
  <c r="CP44" i="26"/>
  <c r="CR44" i="26"/>
  <c r="CR107" i="26" s="1"/>
  <c r="CV44" i="26"/>
  <c r="CV107" i="26" s="1"/>
  <c r="DF53" i="26"/>
  <c r="DF107" i="26" s="1"/>
  <c r="H50" i="26"/>
  <c r="D50" i="26" s="1"/>
  <c r="C50" i="26"/>
  <c r="E36" i="19"/>
  <c r="H33" i="26"/>
  <c r="D33" i="26" s="1"/>
  <c r="BP34" i="26"/>
  <c r="D33" i="31"/>
  <c r="D3" i="31" s="1"/>
  <c r="F18" i="10"/>
  <c r="D21" i="11"/>
  <c r="F21" i="11" s="1"/>
  <c r="F18" i="20"/>
  <c r="D24" i="11"/>
  <c r="F24" i="11" s="1"/>
  <c r="F21" i="20"/>
  <c r="C13" i="11"/>
  <c r="H28" i="5"/>
  <c r="H9" i="12"/>
  <c r="N36" i="30"/>
  <c r="M152" i="9"/>
  <c r="E147" i="9"/>
  <c r="E44" i="1"/>
  <c r="G110" i="1"/>
  <c r="D155" i="1"/>
  <c r="D161" i="1"/>
  <c r="D98" i="26"/>
  <c r="I40" i="1"/>
  <c r="I47" i="1" s="1"/>
  <c r="F40" i="1"/>
  <c r="F47" i="1" s="1"/>
  <c r="F53" i="1" s="1"/>
  <c r="D42" i="1"/>
  <c r="D46" i="1" s="1"/>
  <c r="H76" i="1"/>
  <c r="H137" i="1" s="1"/>
  <c r="E73" i="1"/>
  <c r="I87" i="1"/>
  <c r="I118" i="1" s="1"/>
  <c r="I116" i="1" s="1"/>
  <c r="I136" i="1" s="1"/>
  <c r="I137" i="1" s="1"/>
  <c r="E119" i="1"/>
  <c r="E123" i="1"/>
  <c r="E128" i="1"/>
  <c r="E91" i="4"/>
  <c r="E109" i="4"/>
  <c r="G135" i="4"/>
  <c r="H135" i="4"/>
  <c r="E130" i="4"/>
  <c r="D148" i="4"/>
  <c r="D110" i="6"/>
  <c r="D67" i="6"/>
  <c r="E78" i="6"/>
  <c r="E81" i="6" s="1"/>
  <c r="G104" i="6"/>
  <c r="E86" i="6"/>
  <c r="D117" i="6"/>
  <c r="E119" i="9"/>
  <c r="I152" i="9"/>
  <c r="I160" i="9" s="1"/>
  <c r="I158" i="9" s="1"/>
  <c r="I178" i="9" s="1"/>
  <c r="I179" i="9" s="1"/>
  <c r="D101" i="9"/>
  <c r="L129" i="9"/>
  <c r="P129" i="9"/>
  <c r="K204" i="9"/>
  <c r="O204" i="9"/>
  <c r="I45" i="19"/>
  <c r="I46" i="19" s="1"/>
  <c r="H74" i="15"/>
  <c r="G74" i="15"/>
  <c r="E71" i="15"/>
  <c r="D82" i="15"/>
  <c r="E86" i="15"/>
  <c r="H134" i="15"/>
  <c r="E117" i="15"/>
  <c r="E126" i="15"/>
  <c r="E129" i="15"/>
  <c r="F160" i="15"/>
  <c r="D159" i="15"/>
  <c r="D160" i="15" s="1"/>
  <c r="E37" i="17"/>
  <c r="D22" i="17"/>
  <c r="E91" i="17"/>
  <c r="E114" i="17"/>
  <c r="E117" i="17"/>
  <c r="D141" i="17"/>
  <c r="D160" i="17"/>
  <c r="D172" i="17" s="1"/>
  <c r="F131" i="19"/>
  <c r="D28" i="19"/>
  <c r="F83" i="19"/>
  <c r="D126" i="19"/>
  <c r="N83" i="19"/>
  <c r="N105" i="19"/>
  <c r="BE44" i="26"/>
  <c r="BE107" i="26" s="1"/>
  <c r="DQ107" i="26"/>
  <c r="E19" i="26"/>
  <c r="C19" i="26" s="1"/>
  <c r="G23" i="26"/>
  <c r="K38" i="26"/>
  <c r="K43" i="26" s="1"/>
  <c r="K44" i="26" s="1"/>
  <c r="K107" i="26" s="1"/>
  <c r="AA44" i="26"/>
  <c r="AA107" i="26" s="1"/>
  <c r="G37" i="26"/>
  <c r="C35" i="26"/>
  <c r="C40" i="26"/>
  <c r="Y44" i="26"/>
  <c r="Y107" i="26" s="1"/>
  <c r="DC44" i="26"/>
  <c r="DC107" i="26" s="1"/>
  <c r="D69" i="26"/>
  <c r="F88" i="26"/>
  <c r="D80" i="26"/>
  <c r="D84" i="26"/>
  <c r="F106" i="26"/>
  <c r="AL44" i="26"/>
  <c r="AL107" i="26" s="1"/>
  <c r="AT44" i="26"/>
  <c r="AT107" i="26" s="1"/>
  <c r="AX44" i="26"/>
  <c r="AX107" i="26" s="1"/>
  <c r="AV44" i="26"/>
  <c r="AV107" i="26" s="1"/>
  <c r="AZ44" i="26"/>
  <c r="AZ107" i="26" s="1"/>
  <c r="BD44" i="26"/>
  <c r="BD107" i="26" s="1"/>
  <c r="BH44" i="26"/>
  <c r="BH107" i="26" s="1"/>
  <c r="G41" i="19"/>
  <c r="G45" i="19" s="1"/>
  <c r="L73" i="17"/>
  <c r="C3" i="31"/>
  <c r="D8" i="8"/>
  <c r="E9" i="8"/>
  <c r="E11" i="8"/>
  <c r="D22" i="8"/>
  <c r="F20" i="10"/>
  <c r="C18" i="11"/>
  <c r="C14" i="20"/>
  <c r="C8" i="20" s="1"/>
  <c r="F54" i="11"/>
  <c r="C19" i="16" s="1"/>
  <c r="C18" i="16" s="1"/>
  <c r="H28" i="37"/>
  <c r="G8" i="8"/>
  <c r="H43" i="11"/>
  <c r="J43" i="11" s="1"/>
  <c r="J82" i="10"/>
  <c r="N192" i="19"/>
  <c r="D4" i="26"/>
  <c r="D8" i="26"/>
  <c r="C12" i="26"/>
  <c r="C14" i="26"/>
  <c r="AY44" i="26"/>
  <c r="AY107" i="26" s="1"/>
  <c r="BG44" i="26"/>
  <c r="CM44" i="26"/>
  <c r="CM107" i="26" s="1"/>
  <c r="D28" i="26"/>
  <c r="C30" i="26"/>
  <c r="M44" i="26"/>
  <c r="U44" i="26"/>
  <c r="BS44" i="26"/>
  <c r="CA44" i="26"/>
  <c r="CQ44" i="26"/>
  <c r="CQ107" i="26" s="1"/>
  <c r="CY44" i="26"/>
  <c r="DG44" i="26"/>
  <c r="D40" i="26"/>
  <c r="AS44" i="26"/>
  <c r="AS107" i="26" s="1"/>
  <c r="DM44" i="26"/>
  <c r="DM107" i="26" s="1"/>
  <c r="E73" i="26"/>
  <c r="E74" i="26" s="1"/>
  <c r="D102" i="26"/>
  <c r="F34" i="26"/>
  <c r="L38" i="26"/>
  <c r="T44" i="26"/>
  <c r="T107" i="26" s="1"/>
  <c r="V44" i="26"/>
  <c r="V107" i="26" s="1"/>
  <c r="AB44" i="26"/>
  <c r="AB107" i="26" s="1"/>
  <c r="BN44" i="26"/>
  <c r="BN107" i="26" s="1"/>
  <c r="BR44" i="26"/>
  <c r="BR107" i="26" s="1"/>
  <c r="CF44" i="26"/>
  <c r="CF107" i="26" s="1"/>
  <c r="CH44" i="26"/>
  <c r="CH107" i="26" s="1"/>
  <c r="C19" i="36"/>
  <c r="L122" i="17"/>
  <c r="L148" i="17"/>
  <c r="G6" i="4"/>
  <c r="G58" i="4" s="1"/>
  <c r="G57" i="4" s="1"/>
  <c r="E57" i="4" s="1"/>
  <c r="E9" i="37"/>
  <c r="E20" i="14"/>
  <c r="D22" i="14"/>
  <c r="E28" i="18"/>
  <c r="E23" i="7"/>
  <c r="E25" i="7"/>
  <c r="E11" i="5"/>
  <c r="E23" i="5"/>
  <c r="E20" i="2"/>
  <c r="F28" i="20"/>
  <c r="F31" i="11"/>
  <c r="E14" i="11"/>
  <c r="E30" i="11"/>
  <c r="G22" i="37"/>
  <c r="J55" i="10"/>
  <c r="I9" i="11"/>
  <c r="I6" i="10"/>
  <c r="G20" i="11"/>
  <c r="J46" i="10"/>
  <c r="J55" i="30"/>
  <c r="N46" i="10"/>
  <c r="K20" i="11"/>
  <c r="J8" i="8"/>
  <c r="R30" i="24"/>
  <c r="S43" i="11"/>
  <c r="S39" i="11" s="1"/>
  <c r="V82" i="10"/>
  <c r="Q39" i="2"/>
  <c r="J132" i="19"/>
  <c r="P83" i="19"/>
  <c r="R132" i="19"/>
  <c r="R142" i="19" s="1"/>
  <c r="R168" i="19" s="1"/>
  <c r="H132" i="19"/>
  <c r="H142" i="19" s="1"/>
  <c r="H168" i="19" s="1"/>
  <c r="D93" i="19"/>
  <c r="U192" i="19"/>
  <c r="Q192" i="19"/>
  <c r="I166" i="19"/>
  <c r="O166" i="19"/>
  <c r="D45" i="19"/>
  <c r="D7" i="26"/>
  <c r="H34" i="26"/>
  <c r="C29" i="26"/>
  <c r="C31" i="26"/>
  <c r="C41" i="26"/>
  <c r="G59" i="26"/>
  <c r="D48" i="26"/>
  <c r="D57" i="26"/>
  <c r="D61" i="26"/>
  <c r="F79" i="26"/>
  <c r="D100" i="26"/>
  <c r="D104" i="26"/>
  <c r="BT44" i="26"/>
  <c r="BV44" i="26"/>
  <c r="AF44" i="26"/>
  <c r="Q179" i="9"/>
  <c r="M32" i="17"/>
  <c r="M33" i="17" s="1"/>
  <c r="M39" i="17" s="1"/>
  <c r="M73" i="17"/>
  <c r="M96" i="17"/>
  <c r="M104" i="17" s="1"/>
  <c r="M102" i="17" s="1"/>
  <c r="M122" i="17" s="1"/>
  <c r="M148" i="17"/>
  <c r="C5" i="35"/>
  <c r="C18" i="35" s="1"/>
  <c r="C3" i="35" s="1"/>
  <c r="C8" i="8"/>
  <c r="E25" i="18"/>
  <c r="E11" i="7"/>
  <c r="D45" i="20"/>
  <c r="F9" i="20"/>
  <c r="H25" i="8"/>
  <c r="H9" i="18"/>
  <c r="G8" i="18"/>
  <c r="I45" i="20"/>
  <c r="H92" i="10"/>
  <c r="J105" i="10"/>
  <c r="J20" i="10"/>
  <c r="J57" i="11"/>
  <c r="H38" i="12"/>
  <c r="K23" i="37"/>
  <c r="I22" i="37"/>
  <c r="K25" i="37"/>
  <c r="J8" i="18"/>
  <c r="K20" i="5"/>
  <c r="K93" i="10"/>
  <c r="K11" i="11"/>
  <c r="N26" i="10"/>
  <c r="M19" i="11"/>
  <c r="M41" i="10"/>
  <c r="L36" i="11"/>
  <c r="N36" i="11" s="1"/>
  <c r="N69" i="10"/>
  <c r="M22" i="8"/>
  <c r="P30" i="5"/>
  <c r="F105" i="10"/>
  <c r="F55" i="10"/>
  <c r="D93" i="10"/>
  <c r="D92" i="10" s="1"/>
  <c r="H9" i="8"/>
  <c r="H28" i="8"/>
  <c r="F22" i="18"/>
  <c r="G8" i="7"/>
  <c r="H20" i="5"/>
  <c r="H25" i="5"/>
  <c r="J23" i="20"/>
  <c r="G25" i="20"/>
  <c r="J78" i="10"/>
  <c r="J28" i="24"/>
  <c r="J34" i="24"/>
  <c r="J51" i="10"/>
  <c r="J22" i="20"/>
  <c r="G26" i="11"/>
  <c r="H11" i="23"/>
  <c r="H8" i="24" s="1"/>
  <c r="K28" i="8"/>
  <c r="K25" i="18"/>
  <c r="I22" i="7"/>
  <c r="K23" i="7"/>
  <c r="K25" i="5"/>
  <c r="J22" i="2"/>
  <c r="L25" i="20"/>
  <c r="N47" i="20"/>
  <c r="M93" i="10"/>
  <c r="M92" i="10" s="1"/>
  <c r="N7" i="11"/>
  <c r="L23" i="11"/>
  <c r="N23" i="11" s="1"/>
  <c r="M22" i="37"/>
  <c r="N23" i="37"/>
  <c r="M8" i="8"/>
  <c r="O22" i="14"/>
  <c r="Q20" i="18"/>
  <c r="Q25" i="5"/>
  <c r="V36" i="10"/>
  <c r="T9" i="11"/>
  <c r="T5" i="11" s="1"/>
  <c r="V18" i="10"/>
  <c r="T36" i="11"/>
  <c r="V69" i="10"/>
  <c r="H23" i="8"/>
  <c r="H25" i="18"/>
  <c r="H11" i="7"/>
  <c r="H28" i="7"/>
  <c r="H23" i="5"/>
  <c r="H9" i="2"/>
  <c r="H28" i="12"/>
  <c r="J94" i="10"/>
  <c r="H32" i="24"/>
  <c r="I14" i="20"/>
  <c r="I8" i="20" s="1"/>
  <c r="I33" i="20" s="1"/>
  <c r="K9" i="37"/>
  <c r="K20" i="37"/>
  <c r="K9" i="8"/>
  <c r="K23" i="8"/>
  <c r="K23" i="14"/>
  <c r="J8" i="14"/>
  <c r="K9" i="18"/>
  <c r="K20" i="18"/>
  <c r="J22" i="18"/>
  <c r="K20" i="2"/>
  <c r="N23" i="20"/>
  <c r="N30" i="24"/>
  <c r="N44" i="10"/>
  <c r="K43" i="10"/>
  <c r="K39" i="12"/>
  <c r="N13" i="30"/>
  <c r="R79" i="30"/>
  <c r="Q9" i="37"/>
  <c r="Q23" i="37"/>
  <c r="P22" i="8"/>
  <c r="Q23" i="8"/>
  <c r="Q28" i="8"/>
  <c r="O8" i="14"/>
  <c r="Q25" i="7"/>
  <c r="R18" i="20"/>
  <c r="R21" i="11"/>
  <c r="P25" i="11"/>
  <c r="R25" i="11" s="1"/>
  <c r="R22" i="20"/>
  <c r="O25" i="20"/>
  <c r="R26" i="20"/>
  <c r="T21" i="11"/>
  <c r="V21" i="11" s="1"/>
  <c r="V18" i="20"/>
  <c r="V9" i="20"/>
  <c r="P9" i="11"/>
  <c r="P5" i="11" s="1"/>
  <c r="R18" i="10"/>
  <c r="U43" i="11"/>
  <c r="U39" i="11" s="1"/>
  <c r="U75" i="10"/>
  <c r="U62" i="10" s="1"/>
  <c r="J22" i="14"/>
  <c r="K23" i="18"/>
  <c r="K23" i="5"/>
  <c r="K25" i="12"/>
  <c r="N11" i="20"/>
  <c r="E5" i="35"/>
  <c r="E18" i="35" s="1"/>
  <c r="E3" i="35" s="1"/>
  <c r="N41" i="23"/>
  <c r="N63" i="10"/>
  <c r="N94" i="10"/>
  <c r="K44" i="12"/>
  <c r="L15" i="23"/>
  <c r="N15" i="23" s="1"/>
  <c r="N28" i="37"/>
  <c r="L8" i="37"/>
  <c r="Q20" i="37"/>
  <c r="M22" i="14"/>
  <c r="L8" i="14"/>
  <c r="P8" i="7"/>
  <c r="M22" i="5"/>
  <c r="P8" i="12"/>
  <c r="R21" i="20"/>
  <c r="R31" i="20"/>
  <c r="P18" i="24"/>
  <c r="V23" i="20"/>
  <c r="V31" i="20"/>
  <c r="V28" i="20"/>
  <c r="R20" i="10"/>
  <c r="Q75" i="10"/>
  <c r="Q62" i="10" s="1"/>
  <c r="R100" i="10"/>
  <c r="V100" i="10"/>
  <c r="T41" i="10"/>
  <c r="Q32" i="24"/>
  <c r="R32" i="24" s="1"/>
  <c r="K20" i="16" s="1"/>
  <c r="P26" i="24"/>
  <c r="P25" i="24" s="1"/>
  <c r="R34" i="24"/>
  <c r="V31" i="24"/>
  <c r="T26" i="24"/>
  <c r="J22" i="5"/>
  <c r="K23" i="2"/>
  <c r="J8" i="12"/>
  <c r="J42" i="12"/>
  <c r="N20" i="37"/>
  <c r="P22" i="37"/>
  <c r="N20" i="8"/>
  <c r="O8" i="8"/>
  <c r="O22" i="8"/>
  <c r="M8" i="14"/>
  <c r="Q11" i="7"/>
  <c r="O22" i="7"/>
  <c r="Q11" i="12"/>
  <c r="P25" i="20"/>
  <c r="R41" i="23"/>
  <c r="U25" i="10"/>
  <c r="S26" i="24"/>
  <c r="R7" i="11"/>
  <c r="U12" i="11"/>
  <c r="V12" i="11" s="1"/>
  <c r="N23" i="7"/>
  <c r="N28" i="7"/>
  <c r="Q28" i="7"/>
  <c r="L22" i="5"/>
  <c r="Q28" i="5"/>
  <c r="Q20" i="5"/>
  <c r="M22" i="2"/>
  <c r="P8" i="2"/>
  <c r="Q20" i="2"/>
  <c r="R28" i="20"/>
  <c r="P31" i="23"/>
  <c r="Q93" i="10"/>
  <c r="Q92" i="10" s="1"/>
  <c r="R63" i="10"/>
  <c r="R31" i="24"/>
  <c r="O26" i="24"/>
  <c r="O25" i="24" s="1"/>
  <c r="S32" i="24"/>
  <c r="V32" i="24" s="1"/>
  <c r="L20" i="16" s="1"/>
  <c r="Q30" i="11"/>
  <c r="E26" i="11"/>
  <c r="F40" i="11"/>
  <c r="F9" i="11"/>
  <c r="Q14" i="11"/>
  <c r="Q10" i="11" s="1"/>
  <c r="R8" i="11"/>
  <c r="R32" i="11"/>
  <c r="F94" i="10"/>
  <c r="V49" i="11"/>
  <c r="V41" i="11"/>
  <c r="F49" i="11"/>
  <c r="F15" i="11"/>
  <c r="F33" i="11"/>
  <c r="R35" i="11"/>
  <c r="V33" i="11"/>
  <c r="V37" i="11"/>
  <c r="J42" i="11"/>
  <c r="N28" i="11"/>
  <c r="P14" i="11"/>
  <c r="P10" i="11" s="1"/>
  <c r="J15" i="11"/>
  <c r="M26" i="11"/>
  <c r="N42" i="11"/>
  <c r="L26" i="11"/>
  <c r="R40" i="11"/>
  <c r="P30" i="11"/>
  <c r="R56" i="11"/>
  <c r="E20" i="16" s="1"/>
  <c r="F12" i="11"/>
  <c r="N8" i="11"/>
  <c r="F8" i="11"/>
  <c r="F32" i="11"/>
  <c r="F38" i="11"/>
  <c r="J32" i="11"/>
  <c r="H30" i="11"/>
  <c r="J56" i="11"/>
  <c r="D20" i="16" s="1"/>
  <c r="N31" i="11"/>
  <c r="N38" i="7"/>
  <c r="E37" i="14"/>
  <c r="Q38" i="18"/>
  <c r="F43" i="20"/>
  <c r="N43" i="20"/>
  <c r="F44" i="20"/>
  <c r="F47" i="20"/>
  <c r="L45" i="20"/>
  <c r="R47" i="20"/>
  <c r="H45" i="20"/>
  <c r="J44" i="20"/>
  <c r="M45" i="20"/>
  <c r="M18" i="24"/>
  <c r="U45" i="20"/>
  <c r="V44" i="20"/>
  <c r="J48" i="20"/>
  <c r="L8" i="24"/>
  <c r="R48" i="20"/>
  <c r="D8" i="24"/>
  <c r="G39" i="20"/>
  <c r="J47" i="20"/>
  <c r="N48" i="20"/>
  <c r="F27" i="11"/>
  <c r="J25" i="11"/>
  <c r="S26" i="11"/>
  <c r="J106" i="26"/>
  <c r="J107" i="26" s="1"/>
  <c r="G87" i="1"/>
  <c r="E77" i="1"/>
  <c r="E87" i="1" s="1"/>
  <c r="G112" i="4"/>
  <c r="E102" i="4"/>
  <c r="G34" i="17"/>
  <c r="E22" i="17"/>
  <c r="F161" i="4"/>
  <c r="D144" i="4"/>
  <c r="D70" i="4"/>
  <c r="D74" i="4" s="1"/>
  <c r="G49" i="1"/>
  <c r="E49" i="1" s="1"/>
  <c r="E59" i="1"/>
  <c r="E76" i="1" s="1"/>
  <c r="F110" i="1"/>
  <c r="D88" i="1"/>
  <c r="D110" i="1" s="1"/>
  <c r="I135" i="4"/>
  <c r="E113" i="4"/>
  <c r="F135" i="4"/>
  <c r="D119" i="4"/>
  <c r="D135" i="4" s="1"/>
  <c r="D199" i="4"/>
  <c r="D211" i="4" s="1"/>
  <c r="I38" i="6"/>
  <c r="I44" i="6" s="1"/>
  <c r="G36" i="1"/>
  <c r="G35" i="1" s="1"/>
  <c r="E35" i="1" s="1"/>
  <c r="E6" i="1"/>
  <c r="E84" i="4"/>
  <c r="E101" i="4" s="1"/>
  <c r="G101" i="4"/>
  <c r="G46" i="1"/>
  <c r="E42" i="1"/>
  <c r="D116" i="1"/>
  <c r="F136" i="1"/>
  <c r="D87" i="1"/>
  <c r="E66" i="4"/>
  <c r="E68" i="4" s="1"/>
  <c r="D109" i="4"/>
  <c r="F112" i="4"/>
  <c r="I180" i="4"/>
  <c r="I187" i="4" s="1"/>
  <c r="E179" i="4"/>
  <c r="E180" i="4" s="1"/>
  <c r="L86" i="9"/>
  <c r="L92" i="9" s="1"/>
  <c r="D46" i="15"/>
  <c r="D50" i="15" s="1"/>
  <c r="H50" i="15"/>
  <c r="H51" i="15" s="1"/>
  <c r="E11" i="6"/>
  <c r="G31" i="6"/>
  <c r="E75" i="15"/>
  <c r="G85" i="15"/>
  <c r="J30" i="19"/>
  <c r="J40" i="19" s="1"/>
  <c r="J46" i="19" s="1"/>
  <c r="J142" i="19" s="1"/>
  <c r="D10" i="19"/>
  <c r="D30" i="19" s="1"/>
  <c r="E31" i="1"/>
  <c r="H46" i="1"/>
  <c r="H47" i="1" s="1"/>
  <c r="H53" i="1" s="1"/>
  <c r="D136" i="4"/>
  <c r="D140" i="4" s="1"/>
  <c r="G68" i="4"/>
  <c r="E154" i="1"/>
  <c r="E155" i="1" s="1"/>
  <c r="E185" i="4"/>
  <c r="E186" i="4" s="1"/>
  <c r="D57" i="4"/>
  <c r="D62" i="4" s="1"/>
  <c r="D39" i="6"/>
  <c r="D43" i="6" s="1"/>
  <c r="H130" i="6"/>
  <c r="H131" i="6" s="1"/>
  <c r="H31" i="6"/>
  <c r="I70" i="6"/>
  <c r="G81" i="6"/>
  <c r="G112" i="6" s="1"/>
  <c r="G110" i="6" s="1"/>
  <c r="G156" i="6"/>
  <c r="G85" i="9"/>
  <c r="E153" i="9"/>
  <c r="E157" i="9" s="1"/>
  <c r="G197" i="9"/>
  <c r="G204" i="9" s="1"/>
  <c r="D153" i="9"/>
  <c r="D157" i="9" s="1"/>
  <c r="G88" i="9"/>
  <c r="D83" i="9"/>
  <c r="F118" i="9"/>
  <c r="E115" i="9"/>
  <c r="E126" i="9"/>
  <c r="E129" i="9" s="1"/>
  <c r="G152" i="9"/>
  <c r="G160" i="9" s="1"/>
  <c r="G158" i="9" s="1"/>
  <c r="E130" i="9"/>
  <c r="I203" i="9"/>
  <c r="I204" i="9" s="1"/>
  <c r="E202" i="9"/>
  <c r="H79" i="9"/>
  <c r="N85" i="9"/>
  <c r="P85" i="9"/>
  <c r="P86" i="9" s="1"/>
  <c r="P92" i="9" s="1"/>
  <c r="R79" i="9"/>
  <c r="R86" i="9" s="1"/>
  <c r="R92" i="9" s="1"/>
  <c r="M85" i="9"/>
  <c r="E90" i="9"/>
  <c r="K129" i="9"/>
  <c r="E203" i="9"/>
  <c r="E204" i="9" s="1"/>
  <c r="D109" i="15"/>
  <c r="D113" i="15" s="1"/>
  <c r="G32" i="17"/>
  <c r="E158" i="19"/>
  <c r="E159" i="19" s="1"/>
  <c r="I35" i="17"/>
  <c r="E178" i="15"/>
  <c r="E172" i="15" s="1"/>
  <c r="E184" i="15" s="1"/>
  <c r="E64" i="15"/>
  <c r="E45" i="17"/>
  <c r="D117" i="15"/>
  <c r="D38" i="15"/>
  <c r="D172" i="15"/>
  <c r="D184" i="15" s="1"/>
  <c r="D96" i="15"/>
  <c r="D108" i="15" s="1"/>
  <c r="F26" i="17"/>
  <c r="D10" i="17"/>
  <c r="D26" i="17" s="1"/>
  <c r="F122" i="17"/>
  <c r="J122" i="17"/>
  <c r="P131" i="19"/>
  <c r="F166" i="19"/>
  <c r="F192" i="19"/>
  <c r="F110" i="19"/>
  <c r="D106" i="19"/>
  <c r="D110" i="19" s="1"/>
  <c r="J168" i="19"/>
  <c r="C36" i="26"/>
  <c r="E37" i="26"/>
  <c r="M107" i="26"/>
  <c r="U107" i="26"/>
  <c r="BK44" i="26"/>
  <c r="BK107" i="26" s="1"/>
  <c r="BS107" i="26"/>
  <c r="CA107" i="26"/>
  <c r="CY107" i="26"/>
  <c r="DG107" i="26"/>
  <c r="DO44" i="26"/>
  <c r="DO107" i="26" s="1"/>
  <c r="I78" i="9"/>
  <c r="I76" i="9" s="1"/>
  <c r="I79" i="9" s="1"/>
  <c r="I86" i="9" s="1"/>
  <c r="I87" i="9"/>
  <c r="D114" i="15"/>
  <c r="D134" i="15" s="1"/>
  <c r="D73" i="19"/>
  <c r="E74" i="17"/>
  <c r="U132" i="19"/>
  <c r="E15" i="17"/>
  <c r="I108" i="15"/>
  <c r="I116" i="15" s="1"/>
  <c r="I114" i="15" s="1"/>
  <c r="I134" i="15" s="1"/>
  <c r="F74" i="15"/>
  <c r="D57" i="15"/>
  <c r="E90" i="15"/>
  <c r="G159" i="15"/>
  <c r="G160" i="15" s="1"/>
  <c r="E105" i="17"/>
  <c r="G122" i="17"/>
  <c r="D148" i="17"/>
  <c r="D84" i="17"/>
  <c r="D96" i="17" s="1"/>
  <c r="H96" i="17"/>
  <c r="D114" i="19"/>
  <c r="K166" i="19"/>
  <c r="D88" i="26"/>
  <c r="L43" i="26"/>
  <c r="L44" i="26" s="1"/>
  <c r="N38" i="26"/>
  <c r="N43" i="26" s="1"/>
  <c r="N44" i="26" s="1"/>
  <c r="N107" i="26" s="1"/>
  <c r="P38" i="26"/>
  <c r="P43" i="26" s="1"/>
  <c r="P44" i="26" s="1"/>
  <c r="P107" i="26" s="1"/>
  <c r="R38" i="26"/>
  <c r="R43" i="26" s="1"/>
  <c r="R44" i="26" s="1"/>
  <c r="R107" i="26" s="1"/>
  <c r="X38" i="26"/>
  <c r="X43" i="26" s="1"/>
  <c r="X44" i="26" s="1"/>
  <c r="X107" i="26" s="1"/>
  <c r="K47" i="15"/>
  <c r="K50" i="15" s="1"/>
  <c r="K44" i="15"/>
  <c r="K45" i="15" s="1"/>
  <c r="G105" i="19"/>
  <c r="G113" i="19" s="1"/>
  <c r="G111" i="19" s="1"/>
  <c r="E89" i="19"/>
  <c r="F68" i="26"/>
  <c r="Z74" i="26"/>
  <c r="Z107" i="26" s="1"/>
  <c r="F22" i="11"/>
  <c r="F51" i="10"/>
  <c r="D53" i="6"/>
  <c r="D70" i="6" s="1"/>
  <c r="F152" i="9"/>
  <c r="D130" i="9"/>
  <c r="E74" i="15"/>
  <c r="G62" i="17"/>
  <c r="E52" i="17"/>
  <c r="O113" i="19"/>
  <c r="O111" i="19" s="1"/>
  <c r="O131" i="19" s="1"/>
  <c r="O132" i="19" s="1"/>
  <c r="C37" i="26"/>
  <c r="E126" i="4"/>
  <c r="G39" i="6"/>
  <c r="D33" i="6"/>
  <c r="D37" i="6" s="1"/>
  <c r="G37" i="6"/>
  <c r="E99" i="6"/>
  <c r="D122" i="6"/>
  <c r="I156" i="6"/>
  <c r="H91" i="9"/>
  <c r="H85" i="9"/>
  <c r="D57" i="9"/>
  <c r="D79" i="9" s="1"/>
  <c r="E88" i="9"/>
  <c r="D108" i="9"/>
  <c r="F129" i="9"/>
  <c r="D158" i="9"/>
  <c r="N86" i="9"/>
  <c r="N92" i="9" s="1"/>
  <c r="G76" i="1"/>
  <c r="I70" i="4"/>
  <c r="D91" i="4"/>
  <c r="D101" i="4" s="1"/>
  <c r="E123" i="4"/>
  <c r="H37" i="6"/>
  <c r="E31" i="6"/>
  <c r="E35" i="6"/>
  <c r="E37" i="6" s="1"/>
  <c r="E66" i="9"/>
  <c r="D81" i="9"/>
  <c r="D161" i="9"/>
  <c r="E101" i="9"/>
  <c r="E173" i="9"/>
  <c r="J152" i="9"/>
  <c r="E57" i="9"/>
  <c r="K87" i="9"/>
  <c r="K91" i="9" s="1"/>
  <c r="K92" i="9" s="1"/>
  <c r="L178" i="9"/>
  <c r="L179" i="9" s="1"/>
  <c r="K152" i="9"/>
  <c r="G46" i="15"/>
  <c r="E34" i="15"/>
  <c r="I73" i="17"/>
  <c r="I123" i="17" s="1"/>
  <c r="F123" i="17"/>
  <c r="G38" i="15"/>
  <c r="G45" i="15" s="1"/>
  <c r="G47" i="15"/>
  <c r="D40" i="15"/>
  <c r="D44" i="15" s="1"/>
  <c r="F44" i="15"/>
  <c r="E96" i="15"/>
  <c r="E108" i="15" s="1"/>
  <c r="G108" i="15"/>
  <c r="E10" i="17"/>
  <c r="I26" i="17"/>
  <c r="G26" i="17"/>
  <c r="G35" i="17"/>
  <c r="F32" i="17"/>
  <c r="D30" i="17"/>
  <c r="D70" i="17"/>
  <c r="D73" i="17" s="1"/>
  <c r="H73" i="17"/>
  <c r="H123" i="17" s="1"/>
  <c r="H124" i="17" s="1"/>
  <c r="H150" i="17" s="1"/>
  <c r="J96" i="17"/>
  <c r="E84" i="17"/>
  <c r="E165" i="19"/>
  <c r="D39" i="19"/>
  <c r="D55" i="19"/>
  <c r="D72" i="19" s="1"/>
  <c r="S132" i="19"/>
  <c r="P105" i="19"/>
  <c r="J192" i="19"/>
  <c r="E141" i="19"/>
  <c r="BC107" i="26"/>
  <c r="E18" i="26"/>
  <c r="C3" i="26"/>
  <c r="BU44" i="26"/>
  <c r="BU107" i="26" s="1"/>
  <c r="DH38" i="26"/>
  <c r="DH43" i="26" s="1"/>
  <c r="DH44" i="26" s="1"/>
  <c r="DH107" i="26" s="1"/>
  <c r="E9" i="14"/>
  <c r="D8" i="14"/>
  <c r="C22" i="14"/>
  <c r="E23" i="14"/>
  <c r="E9" i="5"/>
  <c r="E20" i="5"/>
  <c r="C8" i="5"/>
  <c r="E9" i="2"/>
  <c r="D8" i="2"/>
  <c r="E11" i="2"/>
  <c r="C22" i="2"/>
  <c r="E23" i="2"/>
  <c r="O44" i="26"/>
  <c r="O107" i="26" s="1"/>
  <c r="AO44" i="26"/>
  <c r="AO107" i="26" s="1"/>
  <c r="CC44" i="26"/>
  <c r="CC107" i="26" s="1"/>
  <c r="D6" i="26"/>
  <c r="D20" i="26"/>
  <c r="D30" i="26"/>
  <c r="F37" i="26"/>
  <c r="D36" i="26"/>
  <c r="D92" i="26"/>
  <c r="D96" i="26"/>
  <c r="CL44" i="26"/>
  <c r="CL107" i="26" s="1"/>
  <c r="CT38" i="26"/>
  <c r="CT43" i="26" s="1"/>
  <c r="CT44" i="26" s="1"/>
  <c r="CT107" i="26" s="1"/>
  <c r="E154" i="6"/>
  <c r="E155" i="6" s="1"/>
  <c r="T105" i="19"/>
  <c r="T132" i="19" s="1"/>
  <c r="T142" i="19" s="1"/>
  <c r="T168" i="19" s="1"/>
  <c r="C2" i="26"/>
  <c r="G18" i="26"/>
  <c r="H23" i="26"/>
  <c r="Q44" i="26"/>
  <c r="Q107" i="26" s="1"/>
  <c r="AI44" i="26"/>
  <c r="AI107" i="26" s="1"/>
  <c r="BG107" i="26"/>
  <c r="CE44" i="26"/>
  <c r="CE107" i="26" s="1"/>
  <c r="CU44" i="26"/>
  <c r="DK44" i="26"/>
  <c r="AC44" i="26"/>
  <c r="AC107" i="26" s="1"/>
  <c r="AM44" i="26"/>
  <c r="AM107" i="26" s="1"/>
  <c r="CU66" i="26"/>
  <c r="G64" i="26"/>
  <c r="I107" i="26"/>
  <c r="D3" i="26"/>
  <c r="D21" i="26"/>
  <c r="D27" i="26"/>
  <c r="D39" i="26"/>
  <c r="D45" i="26"/>
  <c r="D49" i="26"/>
  <c r="D54" i="26"/>
  <c r="D58" i="26"/>
  <c r="D62" i="26"/>
  <c r="D79" i="26"/>
  <c r="BB38" i="26"/>
  <c r="DP44" i="26"/>
  <c r="DP107" i="26" s="1"/>
  <c r="BV66" i="26"/>
  <c r="H59" i="26"/>
  <c r="D59" i="26" s="1"/>
  <c r="BZ107" i="26"/>
  <c r="CP107" i="26"/>
  <c r="DL107" i="26"/>
  <c r="H6" i="11"/>
  <c r="H6" i="10"/>
  <c r="I11" i="11"/>
  <c r="I25" i="10"/>
  <c r="BO38" i="26"/>
  <c r="BO43" i="26" s="1"/>
  <c r="BO44" i="26" s="1"/>
  <c r="BO107" i="26" s="1"/>
  <c r="AQ38" i="26"/>
  <c r="W38" i="26"/>
  <c r="W43" i="26" s="1"/>
  <c r="W44" i="26" s="1"/>
  <c r="W107" i="26" s="1"/>
  <c r="E32" i="26"/>
  <c r="C32" i="26" s="1"/>
  <c r="C21" i="26"/>
  <c r="C23" i="26" s="1"/>
  <c r="E23" i="26"/>
  <c r="C33" i="26"/>
  <c r="BY107" i="26"/>
  <c r="CO44" i="26"/>
  <c r="CO107" i="26" s="1"/>
  <c r="DE44" i="26"/>
  <c r="AK107" i="26"/>
  <c r="BA44" i="26"/>
  <c r="BA107" i="26" s="1"/>
  <c r="BI44" i="26"/>
  <c r="BI107" i="26" s="1"/>
  <c r="DE53" i="26"/>
  <c r="G52" i="26"/>
  <c r="G53" i="26" s="1"/>
  <c r="H88" i="26"/>
  <c r="AD38" i="26"/>
  <c r="AD43" i="26" s="1"/>
  <c r="AD44" i="26" s="1"/>
  <c r="AD107" i="26" s="1"/>
  <c r="BF38" i="26"/>
  <c r="BF43" i="26" s="1"/>
  <c r="BF44" i="26" s="1"/>
  <c r="BF107" i="26" s="1"/>
  <c r="AP44" i="26"/>
  <c r="AP107" i="26" s="1"/>
  <c r="AR44" i="26"/>
  <c r="AR107" i="26" s="1"/>
  <c r="BJ44" i="26"/>
  <c r="BJ107" i="26" s="1"/>
  <c r="BP38" i="26"/>
  <c r="BP43" i="26" s="1"/>
  <c r="BP44" i="26" s="1"/>
  <c r="BP107" i="26" s="1"/>
  <c r="CJ38" i="26"/>
  <c r="CJ43" i="26" s="1"/>
  <c r="CJ44" i="26" s="1"/>
  <c r="CJ107" i="26" s="1"/>
  <c r="F78" i="10"/>
  <c r="D75" i="10"/>
  <c r="D42" i="11"/>
  <c r="H11" i="2"/>
  <c r="F8" i="2"/>
  <c r="D8" i="37"/>
  <c r="E20" i="7"/>
  <c r="C8" i="7"/>
  <c r="D22" i="12"/>
  <c r="E14" i="20"/>
  <c r="E8" i="20" s="1"/>
  <c r="F26" i="20"/>
  <c r="C25" i="20"/>
  <c r="C34" i="11"/>
  <c r="C32" i="24"/>
  <c r="E41" i="10"/>
  <c r="C25" i="10"/>
  <c r="C11" i="11"/>
  <c r="F11" i="11" s="1"/>
  <c r="F26" i="10"/>
  <c r="F82" i="10"/>
  <c r="C43" i="11"/>
  <c r="F43" i="11" s="1"/>
  <c r="F63" i="10"/>
  <c r="H11" i="14"/>
  <c r="F8" i="14"/>
  <c r="G22" i="14"/>
  <c r="H23" i="14"/>
  <c r="G8" i="2"/>
  <c r="E25" i="37"/>
  <c r="C22" i="37"/>
  <c r="E28" i="8"/>
  <c r="E23" i="12"/>
  <c r="D22" i="7"/>
  <c r="D30" i="7" s="1"/>
  <c r="D8" i="12"/>
  <c r="E20" i="12"/>
  <c r="C20" i="11"/>
  <c r="F17" i="20"/>
  <c r="E25" i="20"/>
  <c r="D6" i="10"/>
  <c r="D6" i="11"/>
  <c r="D5" i="11" s="1"/>
  <c r="H11" i="37"/>
  <c r="F8" i="37"/>
  <c r="H23" i="37"/>
  <c r="F22" i="37"/>
  <c r="G8" i="14"/>
  <c r="H20" i="14"/>
  <c r="H9" i="7"/>
  <c r="F8" i="7"/>
  <c r="E20" i="37"/>
  <c r="C22" i="8"/>
  <c r="E23" i="8"/>
  <c r="E9" i="12"/>
  <c r="E25" i="12"/>
  <c r="D39" i="20"/>
  <c r="H28" i="18"/>
  <c r="F22" i="2"/>
  <c r="H23" i="2"/>
  <c r="J88" i="30"/>
  <c r="J86" i="30" s="1"/>
  <c r="J26" i="20"/>
  <c r="F48" i="20"/>
  <c r="C75" i="10"/>
  <c r="G25" i="10"/>
  <c r="G11" i="11"/>
  <c r="G19" i="11"/>
  <c r="J19" i="11" s="1"/>
  <c r="J43" i="10"/>
  <c r="J24" i="11"/>
  <c r="H36" i="11"/>
  <c r="H67" i="10"/>
  <c r="J69" i="10"/>
  <c r="G23" i="23"/>
  <c r="G17" i="24" s="1"/>
  <c r="C8" i="14"/>
  <c r="E26" i="24"/>
  <c r="H20" i="12"/>
  <c r="J26" i="10"/>
  <c r="J29" i="10"/>
  <c r="H18" i="11"/>
  <c r="J18" i="11" s="1"/>
  <c r="J15" i="20"/>
  <c r="H14" i="20"/>
  <c r="H8" i="20" s="1"/>
  <c r="E43" i="12"/>
  <c r="E45" i="20"/>
  <c r="D26" i="24"/>
  <c r="D25" i="24" s="1"/>
  <c r="C6" i="10"/>
  <c r="H25" i="37"/>
  <c r="G8" i="37"/>
  <c r="H11" i="8"/>
  <c r="F8" i="8"/>
  <c r="H20" i="8"/>
  <c r="H28" i="14"/>
  <c r="F22" i="14"/>
  <c r="H9" i="5"/>
  <c r="F8" i="5"/>
  <c r="H20" i="2"/>
  <c r="G22" i="2"/>
  <c r="H23" i="12"/>
  <c r="J11" i="20"/>
  <c r="J7" i="10"/>
  <c r="G6" i="11"/>
  <c r="J27" i="10"/>
  <c r="J13" i="11"/>
  <c r="J34" i="30"/>
  <c r="F37" i="14"/>
  <c r="H37" i="14" s="1"/>
  <c r="F39" i="5"/>
  <c r="F36" i="5" s="1"/>
  <c r="F37" i="2"/>
  <c r="H37" i="2" s="1"/>
  <c r="G45" i="20"/>
  <c r="H37" i="12"/>
  <c r="H39" i="20"/>
  <c r="J43" i="20"/>
  <c r="G26" i="24"/>
  <c r="G25" i="24" s="1"/>
  <c r="D5" i="28"/>
  <c r="H9" i="23"/>
  <c r="H6" i="24" s="1"/>
  <c r="K62" i="10"/>
  <c r="K11" i="8"/>
  <c r="I8" i="14"/>
  <c r="I22" i="5"/>
  <c r="I8" i="37"/>
  <c r="I8" i="18"/>
  <c r="I8" i="7"/>
  <c r="K28" i="12"/>
  <c r="N9" i="20"/>
  <c r="N33" i="24"/>
  <c r="K32" i="24"/>
  <c r="L47" i="11"/>
  <c r="L46" i="11" s="1"/>
  <c r="N73" i="30"/>
  <c r="L23" i="23"/>
  <c r="L17" i="24" s="1"/>
  <c r="K20" i="30"/>
  <c r="K5" i="30" s="1"/>
  <c r="K4" i="30" s="1"/>
  <c r="J35" i="11"/>
  <c r="J38" i="11"/>
  <c r="K25" i="14"/>
  <c r="I8" i="8"/>
  <c r="K28" i="7"/>
  <c r="K9" i="12"/>
  <c r="I8" i="12"/>
  <c r="K23" i="12"/>
  <c r="N55" i="10"/>
  <c r="N105" i="10"/>
  <c r="N31" i="24"/>
  <c r="K25" i="11"/>
  <c r="N25" i="11" s="1"/>
  <c r="N22" i="20"/>
  <c r="N57" i="11"/>
  <c r="D24" i="16" s="1"/>
  <c r="K37" i="12"/>
  <c r="N22" i="30"/>
  <c r="M8" i="37"/>
  <c r="N25" i="37"/>
  <c r="L22" i="37"/>
  <c r="Q25" i="37"/>
  <c r="P8" i="37"/>
  <c r="J8" i="5"/>
  <c r="K9" i="5"/>
  <c r="K28" i="5"/>
  <c r="K25" i="2"/>
  <c r="K25" i="20"/>
  <c r="N26" i="20"/>
  <c r="L12" i="11"/>
  <c r="N12" i="11" s="1"/>
  <c r="L25" i="10"/>
  <c r="K38" i="12"/>
  <c r="J7" i="11"/>
  <c r="E5" i="28"/>
  <c r="E49" i="28" s="1"/>
  <c r="N29" i="10"/>
  <c r="K25" i="10"/>
  <c r="M32" i="24"/>
  <c r="M20" i="11"/>
  <c r="L22" i="11"/>
  <c r="N22" i="11" s="1"/>
  <c r="L41" i="10"/>
  <c r="L24" i="11"/>
  <c r="N24" i="11" s="1"/>
  <c r="N21" i="20"/>
  <c r="L14" i="20"/>
  <c r="K26" i="11"/>
  <c r="L39" i="11"/>
  <c r="N49" i="11"/>
  <c r="M8" i="24"/>
  <c r="D4" i="29"/>
  <c r="L8" i="8"/>
  <c r="Q25" i="8"/>
  <c r="M22" i="18"/>
  <c r="Q23" i="18"/>
  <c r="O22" i="18"/>
  <c r="Q22" i="18" s="1"/>
  <c r="L22" i="7"/>
  <c r="O8" i="7"/>
  <c r="M8" i="5"/>
  <c r="R23" i="20"/>
  <c r="V20" i="20"/>
  <c r="S14" i="20"/>
  <c r="S23" i="11"/>
  <c r="V23" i="11" s="1"/>
  <c r="S25" i="20"/>
  <c r="T18" i="24"/>
  <c r="O92" i="10"/>
  <c r="K45" i="20"/>
  <c r="F23" i="35"/>
  <c r="F34" i="35" s="1"/>
  <c r="F3" i="35" s="1"/>
  <c r="M39" i="11"/>
  <c r="L7" i="24"/>
  <c r="L8" i="23"/>
  <c r="L5" i="24" s="1"/>
  <c r="I38" i="18"/>
  <c r="K38" i="18" s="1"/>
  <c r="I37" i="18"/>
  <c r="K37" i="18" s="1"/>
  <c r="N28" i="14"/>
  <c r="Q9" i="14"/>
  <c r="Q25" i="14"/>
  <c r="N28" i="18"/>
  <c r="Q9" i="18"/>
  <c r="P8" i="18"/>
  <c r="P30" i="18" s="1"/>
  <c r="N23" i="2"/>
  <c r="L22" i="2"/>
  <c r="Q9" i="2"/>
  <c r="O8" i="2"/>
  <c r="O5" i="30"/>
  <c r="O4" i="30" s="1"/>
  <c r="O22" i="12"/>
  <c r="R20" i="20"/>
  <c r="O23" i="11"/>
  <c r="R11" i="20"/>
  <c r="V25" i="11"/>
  <c r="V22" i="20"/>
  <c r="M17" i="24"/>
  <c r="L18" i="24"/>
  <c r="N32" i="11"/>
  <c r="L30" i="11"/>
  <c r="M34" i="11"/>
  <c r="K38" i="7"/>
  <c r="N11" i="8"/>
  <c r="Q9" i="8"/>
  <c r="N20" i="14"/>
  <c r="L22" i="14"/>
  <c r="P8" i="14"/>
  <c r="P22" i="14"/>
  <c r="N20" i="18"/>
  <c r="L22" i="18"/>
  <c r="N25" i="18"/>
  <c r="N28" i="5"/>
  <c r="N9" i="2"/>
  <c r="M8" i="2"/>
  <c r="O22" i="2"/>
  <c r="N23" i="12"/>
  <c r="M22" i="12"/>
  <c r="O8" i="12"/>
  <c r="Q14" i="20"/>
  <c r="Q8" i="20" s="1"/>
  <c r="R15" i="20"/>
  <c r="Q25" i="20"/>
  <c r="V21" i="20"/>
  <c r="U14" i="20"/>
  <c r="U8" i="20" s="1"/>
  <c r="L22" i="8"/>
  <c r="N25" i="8"/>
  <c r="N9" i="12"/>
  <c r="M8" i="12"/>
  <c r="P14" i="20"/>
  <c r="P8" i="20" s="1"/>
  <c r="P23" i="11"/>
  <c r="T14" i="20"/>
  <c r="T8" i="20" s="1"/>
  <c r="V15" i="20"/>
  <c r="T18" i="11"/>
  <c r="V24" i="11"/>
  <c r="Q47" i="11"/>
  <c r="Q46" i="11" s="1"/>
  <c r="L8" i="7"/>
  <c r="D8" i="36"/>
  <c r="V47" i="20"/>
  <c r="O31" i="23"/>
  <c r="Q41" i="10"/>
  <c r="Q25" i="10"/>
  <c r="R55" i="10"/>
  <c r="P25" i="10"/>
  <c r="V32" i="10"/>
  <c r="V46" i="10"/>
  <c r="R27" i="24"/>
  <c r="R33" i="24"/>
  <c r="Q42" i="11"/>
  <c r="Q39" i="11" s="1"/>
  <c r="O36" i="11"/>
  <c r="R36" i="11" s="1"/>
  <c r="O47" i="11"/>
  <c r="O46" i="11" s="1"/>
  <c r="U36" i="11"/>
  <c r="U34" i="11" s="1"/>
  <c r="U47" i="11"/>
  <c r="U46" i="11" s="1"/>
  <c r="V38" i="11"/>
  <c r="V56" i="11"/>
  <c r="F20" i="16" s="1"/>
  <c r="B13" i="22" s="1"/>
  <c r="O8" i="18"/>
  <c r="Q23" i="7"/>
  <c r="L8" i="2"/>
  <c r="P22" i="2"/>
  <c r="L8" i="12"/>
  <c r="Q23" i="12"/>
  <c r="O14" i="20"/>
  <c r="O8" i="20" s="1"/>
  <c r="R43" i="20"/>
  <c r="V43" i="20"/>
  <c r="Q17" i="23"/>
  <c r="Q12" i="23" s="1"/>
  <c r="Q9" i="24" s="1"/>
  <c r="R29" i="10"/>
  <c r="R51" i="10"/>
  <c r="U41" i="10"/>
  <c r="R49" i="11"/>
  <c r="U9" i="11"/>
  <c r="N25" i="5"/>
  <c r="Q45" i="20"/>
  <c r="O45" i="20"/>
  <c r="S45" i="20"/>
  <c r="H8" i="36"/>
  <c r="H19" i="36" s="1"/>
  <c r="R26" i="10"/>
  <c r="P41" i="10"/>
  <c r="O20" i="11"/>
  <c r="V26" i="10"/>
  <c r="T25" i="10"/>
  <c r="S20" i="11"/>
  <c r="S67" i="10"/>
  <c r="V27" i="24"/>
  <c r="L19" i="16" s="1"/>
  <c r="V33" i="24"/>
  <c r="V8" i="11"/>
  <c r="Q43" i="12"/>
  <c r="M37" i="18"/>
  <c r="N37" i="18" s="1"/>
  <c r="N38" i="18"/>
  <c r="K38" i="2"/>
  <c r="H23" i="23"/>
  <c r="H17" i="24" s="1"/>
  <c r="I17" i="23"/>
  <c r="I12" i="23" s="1"/>
  <c r="I9" i="24" s="1"/>
  <c r="H17" i="23"/>
  <c r="L17" i="23"/>
  <c r="U17" i="23"/>
  <c r="U12" i="23" s="1"/>
  <c r="U7" i="23" s="1"/>
  <c r="E37" i="18"/>
  <c r="H44" i="12"/>
  <c r="E37" i="5"/>
  <c r="L39" i="20"/>
  <c r="N86" i="30"/>
  <c r="F86" i="30"/>
  <c r="F42" i="20"/>
  <c r="N21" i="30"/>
  <c r="M6" i="24"/>
  <c r="J41" i="20"/>
  <c r="F20" i="30"/>
  <c r="N42" i="20"/>
  <c r="Q11" i="18"/>
  <c r="C39" i="20"/>
  <c r="F40" i="20"/>
  <c r="J46" i="20"/>
  <c r="J51" i="20" s="1"/>
  <c r="I39" i="20"/>
  <c r="N75" i="30"/>
  <c r="J40" i="20"/>
  <c r="N40" i="20"/>
  <c r="U39" i="20"/>
  <c r="R75" i="30"/>
  <c r="E39" i="20"/>
  <c r="N9" i="30"/>
  <c r="V86" i="30"/>
  <c r="N37" i="2"/>
  <c r="Q41" i="2"/>
  <c r="H38" i="37"/>
  <c r="E37" i="2"/>
  <c r="J36" i="5"/>
  <c r="K37" i="14"/>
  <c r="H43" i="5"/>
  <c r="Q38" i="14"/>
  <c r="T6" i="24"/>
  <c r="C98" i="26"/>
  <c r="C106" i="26" s="1"/>
  <c r="T22" i="11"/>
  <c r="V22" i="11" s="1"/>
  <c r="V51" i="10"/>
  <c r="T20" i="11"/>
  <c r="J36" i="12"/>
  <c r="E37" i="12"/>
  <c r="K43" i="37"/>
  <c r="Q37" i="8"/>
  <c r="K43" i="14"/>
  <c r="K39" i="7"/>
  <c r="K38" i="37"/>
  <c r="K39" i="5"/>
  <c r="Q39" i="37"/>
  <c r="N39" i="8"/>
  <c r="N42" i="14"/>
  <c r="Q39" i="14"/>
  <c r="N43" i="7"/>
  <c r="D36" i="8"/>
  <c r="E42" i="18"/>
  <c r="N37" i="7"/>
  <c r="Q41" i="7"/>
  <c r="N39" i="5"/>
  <c r="F44" i="30"/>
  <c r="R16" i="23"/>
  <c r="P7" i="24"/>
  <c r="J72" i="30"/>
  <c r="K10" i="23"/>
  <c r="J82" i="30"/>
  <c r="N76" i="30"/>
  <c r="Q38" i="5"/>
  <c r="C67" i="26"/>
  <c r="E65" i="26"/>
  <c r="E66" i="26" s="1"/>
  <c r="C69" i="26"/>
  <c r="DK79" i="26"/>
  <c r="DK107" i="26" s="1"/>
  <c r="C73" i="26"/>
  <c r="C70" i="26"/>
  <c r="C65" i="26"/>
  <c r="C66" i="26" s="1"/>
  <c r="G75" i="26"/>
  <c r="G79" i="26" s="1"/>
  <c r="AE74" i="26"/>
  <c r="G74" i="26"/>
  <c r="V20" i="23"/>
  <c r="N20" i="23"/>
  <c r="J20" i="23"/>
  <c r="B34" i="29"/>
  <c r="R20" i="23"/>
  <c r="S19" i="23"/>
  <c r="V19" i="23" s="1"/>
  <c r="C30" i="11"/>
  <c r="C14" i="11"/>
  <c r="J8" i="11"/>
  <c r="G30" i="11"/>
  <c r="N41" i="11"/>
  <c r="V13" i="11"/>
  <c r="R33" i="11"/>
  <c r="Q26" i="11"/>
  <c r="R15" i="11"/>
  <c r="R41" i="11"/>
  <c r="F35" i="11"/>
  <c r="F48" i="11"/>
  <c r="C23" i="16" s="1"/>
  <c r="C22" i="16" s="1"/>
  <c r="J37" i="11"/>
  <c r="J41" i="11"/>
  <c r="M14" i="11"/>
  <c r="M10" i="11" s="1"/>
  <c r="N27" i="11"/>
  <c r="N38" i="11"/>
  <c r="N43" i="11"/>
  <c r="P47" i="11"/>
  <c r="P46" i="11" s="1"/>
  <c r="U26" i="11"/>
  <c r="V35" i="11"/>
  <c r="S34" i="11"/>
  <c r="F41" i="11"/>
  <c r="J49" i="11"/>
  <c r="J33" i="11"/>
  <c r="N16" i="11"/>
  <c r="M30" i="11"/>
  <c r="N54" i="11"/>
  <c r="N56" i="11"/>
  <c r="V19" i="11"/>
  <c r="R54" i="11"/>
  <c r="E19" i="16" s="1"/>
  <c r="O30" i="11"/>
  <c r="S14" i="11"/>
  <c r="S10" i="11" s="1"/>
  <c r="V40" i="11"/>
  <c r="T47" i="11"/>
  <c r="T46" i="11" s="1"/>
  <c r="T93" i="10"/>
  <c r="D47" i="11"/>
  <c r="D46" i="11" s="1"/>
  <c r="N37" i="11"/>
  <c r="C47" i="11"/>
  <c r="D30" i="11"/>
  <c r="G14" i="11"/>
  <c r="J12" i="11"/>
  <c r="J40" i="11"/>
  <c r="K47" i="11"/>
  <c r="N33" i="11"/>
  <c r="N9" i="11"/>
  <c r="M5" i="11"/>
  <c r="N13" i="11"/>
  <c r="M48" i="11"/>
  <c r="R48" i="11"/>
  <c r="E23" i="16" s="1"/>
  <c r="U30" i="11"/>
  <c r="V31" i="11"/>
  <c r="S30" i="11"/>
  <c r="V32" i="11"/>
  <c r="S47" i="11"/>
  <c r="G47" i="11"/>
  <c r="J48" i="11"/>
  <c r="D23" i="16" s="1"/>
  <c r="D14" i="11"/>
  <c r="F16" i="11"/>
  <c r="J31" i="11"/>
  <c r="I30" i="11"/>
  <c r="N15" i="11"/>
  <c r="K14" i="11"/>
  <c r="K30" i="11"/>
  <c r="N35" i="11"/>
  <c r="K34" i="11"/>
  <c r="N40" i="11"/>
  <c r="K39" i="11"/>
  <c r="Q34" i="11"/>
  <c r="R38" i="11"/>
  <c r="R37" i="11"/>
  <c r="U14" i="11"/>
  <c r="V48" i="11"/>
  <c r="F23" i="16" s="1"/>
  <c r="T14" i="11"/>
  <c r="V16" i="11"/>
  <c r="C6" i="32" s="1"/>
  <c r="C5" i="11"/>
  <c r="C26" i="11"/>
  <c r="I14" i="11"/>
  <c r="J16" i="11"/>
  <c r="I26" i="11"/>
  <c r="J27" i="11"/>
  <c r="L14" i="11"/>
  <c r="O26" i="11"/>
  <c r="R27" i="11"/>
  <c r="V27" i="11"/>
  <c r="Q5" i="11"/>
  <c r="R11" i="11"/>
  <c r="O39" i="11"/>
  <c r="T30" i="11"/>
  <c r="R24" i="11"/>
  <c r="V7" i="11"/>
  <c r="T39" i="11"/>
  <c r="V42" i="11"/>
  <c r="T75" i="10"/>
  <c r="T67" i="10"/>
  <c r="T55" i="10"/>
  <c r="V55" i="10" s="1"/>
  <c r="T26" i="11"/>
  <c r="V28" i="11"/>
  <c r="S41" i="10"/>
  <c r="V43" i="10"/>
  <c r="T6" i="10"/>
  <c r="S5" i="11"/>
  <c r="S6" i="10"/>
  <c r="E39" i="12"/>
  <c r="C78" i="26"/>
  <c r="DI74" i="26"/>
  <c r="E79" i="26"/>
  <c r="AE79" i="26"/>
  <c r="C45" i="20"/>
  <c r="D18" i="24"/>
  <c r="C17" i="24"/>
  <c r="D17" i="24"/>
  <c r="N46" i="20"/>
  <c r="R40" i="20"/>
  <c r="T8" i="24"/>
  <c r="F46" i="20"/>
  <c r="M39" i="20"/>
  <c r="R44" i="20"/>
  <c r="V48" i="20"/>
  <c r="T39" i="20"/>
  <c r="R86" i="30"/>
  <c r="V46" i="20"/>
  <c r="C75" i="26"/>
  <c r="K43" i="8"/>
  <c r="Q37" i="7"/>
  <c r="Q43" i="2"/>
  <c r="F79" i="30"/>
  <c r="H38" i="2"/>
  <c r="Q38" i="8"/>
  <c r="E39" i="5"/>
  <c r="N38" i="5"/>
  <c r="Q37" i="5"/>
  <c r="C36" i="37"/>
  <c r="E43" i="37"/>
  <c r="K42" i="2"/>
  <c r="J36" i="7"/>
  <c r="I36" i="2"/>
  <c r="I46" i="2" s="1"/>
  <c r="C31" i="32"/>
  <c r="S25" i="10"/>
  <c r="V11" i="11"/>
  <c r="V54" i="11"/>
  <c r="F19" i="16" s="1"/>
  <c r="Q11" i="8"/>
  <c r="T45" i="20"/>
  <c r="V42" i="20"/>
  <c r="V41" i="20"/>
  <c r="S39" i="20"/>
  <c r="V20" i="30"/>
  <c r="V40" i="20"/>
  <c r="P36" i="14"/>
  <c r="O36" i="18"/>
  <c r="Q38" i="12"/>
  <c r="O42" i="12"/>
  <c r="Q37" i="12"/>
  <c r="C36" i="12"/>
  <c r="G42" i="12"/>
  <c r="N38" i="12"/>
  <c r="N41" i="2"/>
  <c r="E43" i="8"/>
  <c r="E37" i="8"/>
  <c r="E39" i="7"/>
  <c r="E42" i="2"/>
  <c r="H43" i="37"/>
  <c r="J78" i="30"/>
  <c r="H37" i="37"/>
  <c r="H39" i="14"/>
  <c r="H39" i="18"/>
  <c r="G36" i="18"/>
  <c r="N78" i="30"/>
  <c r="M42" i="2"/>
  <c r="H38" i="7"/>
  <c r="J36" i="37"/>
  <c r="J36" i="14"/>
  <c r="J46" i="14" s="1"/>
  <c r="K39" i="2"/>
  <c r="K37" i="5"/>
  <c r="N38" i="14"/>
  <c r="E39" i="8"/>
  <c r="E37" i="7"/>
  <c r="E39" i="2"/>
  <c r="E38" i="14"/>
  <c r="E38" i="7"/>
  <c r="C36" i="5"/>
  <c r="E38" i="2"/>
  <c r="H38" i="14"/>
  <c r="C36" i="18"/>
  <c r="C46" i="18" s="1"/>
  <c r="G36" i="7"/>
  <c r="G46" i="7" s="1"/>
  <c r="M36" i="37"/>
  <c r="M36" i="8"/>
  <c r="M36" i="7"/>
  <c r="E37" i="37"/>
  <c r="C42" i="37"/>
  <c r="E42" i="37" s="1"/>
  <c r="E39" i="14"/>
  <c r="H43" i="14"/>
  <c r="G36" i="2"/>
  <c r="G46" i="2" s="1"/>
  <c r="K38" i="14"/>
  <c r="K39" i="37"/>
  <c r="N31" i="30"/>
  <c r="K43" i="2"/>
  <c r="K39" i="14"/>
  <c r="I36" i="5"/>
  <c r="I46" i="5" s="1"/>
  <c r="K42" i="14"/>
  <c r="Q37" i="18"/>
  <c r="P42" i="2"/>
  <c r="Q42" i="2" s="1"/>
  <c r="E38" i="18"/>
  <c r="E43" i="5"/>
  <c r="E43" i="7"/>
  <c r="H39" i="7"/>
  <c r="H37" i="5"/>
  <c r="P36" i="37"/>
  <c r="P46" i="37" s="1"/>
  <c r="N43" i="14"/>
  <c r="P36" i="7"/>
  <c r="Q43" i="5"/>
  <c r="K42" i="8"/>
  <c r="D36" i="37"/>
  <c r="E38" i="37"/>
  <c r="F42" i="37"/>
  <c r="H42" i="37" s="1"/>
  <c r="Q38" i="37"/>
  <c r="O36" i="37"/>
  <c r="M36" i="14"/>
  <c r="M46" i="14" s="1"/>
  <c r="N39" i="7"/>
  <c r="N11" i="12"/>
  <c r="N11" i="14"/>
  <c r="N11" i="5"/>
  <c r="N11" i="7"/>
  <c r="N11" i="18"/>
  <c r="N11" i="2"/>
  <c r="N11" i="37"/>
  <c r="P75" i="10"/>
  <c r="O62" i="10"/>
  <c r="R43" i="11"/>
  <c r="P42" i="11"/>
  <c r="P34" i="11"/>
  <c r="P67" i="10"/>
  <c r="R67" i="10" s="1"/>
  <c r="P28" i="11"/>
  <c r="R46" i="10"/>
  <c r="O41" i="10"/>
  <c r="P20" i="11"/>
  <c r="P22" i="11"/>
  <c r="R22" i="11" s="1"/>
  <c r="R43" i="10"/>
  <c r="O19" i="11"/>
  <c r="O14" i="11"/>
  <c r="R16" i="11"/>
  <c r="O25" i="10"/>
  <c r="R12" i="11"/>
  <c r="Q6" i="10"/>
  <c r="P6" i="10"/>
  <c r="R7" i="10"/>
  <c r="O5" i="11"/>
  <c r="R6" i="11"/>
  <c r="O6" i="10"/>
  <c r="C36" i="2"/>
  <c r="C46" i="2" s="1"/>
  <c r="D36" i="18"/>
  <c r="E43" i="18"/>
  <c r="G36" i="5"/>
  <c r="F42" i="14"/>
  <c r="H42" i="14" s="1"/>
  <c r="C36" i="14"/>
  <c r="C46" i="14" s="1"/>
  <c r="I36" i="14"/>
  <c r="N34" i="30"/>
  <c r="V37" i="30"/>
  <c r="E42" i="7"/>
  <c r="D36" i="2"/>
  <c r="D46" i="2" s="1"/>
  <c r="H43" i="8"/>
  <c r="G36" i="37"/>
  <c r="K38" i="8"/>
  <c r="K38" i="5"/>
  <c r="N38" i="37"/>
  <c r="E42" i="8"/>
  <c r="E45" i="37"/>
  <c r="E39" i="37"/>
  <c r="E38" i="8"/>
  <c r="D36" i="7"/>
  <c r="D46" i="7" s="1"/>
  <c r="D36" i="5"/>
  <c r="D46" i="5" s="1"/>
  <c r="F42" i="5"/>
  <c r="H42" i="5" s="1"/>
  <c r="H38" i="18"/>
  <c r="J79" i="30"/>
  <c r="G36" i="8"/>
  <c r="G46" i="8" s="1"/>
  <c r="J42" i="37"/>
  <c r="M42" i="7"/>
  <c r="N42" i="7" s="1"/>
  <c r="M36" i="2"/>
  <c r="R18" i="30"/>
  <c r="D36" i="14"/>
  <c r="J18" i="30"/>
  <c r="D42" i="14"/>
  <c r="E42" i="14" s="1"/>
  <c r="E43" i="14"/>
  <c r="F18" i="30"/>
  <c r="O42" i="37"/>
  <c r="Q42" i="37" s="1"/>
  <c r="Q43" i="37"/>
  <c r="O36" i="8"/>
  <c r="Q39" i="8"/>
  <c r="N39" i="14"/>
  <c r="L36" i="14"/>
  <c r="L46" i="14" s="1"/>
  <c r="Q37" i="14"/>
  <c r="O36" i="14"/>
  <c r="P42" i="14"/>
  <c r="Q43" i="14"/>
  <c r="L42" i="18"/>
  <c r="N42" i="18" s="1"/>
  <c r="N43" i="18"/>
  <c r="P36" i="18"/>
  <c r="Q39" i="18"/>
  <c r="O36" i="7"/>
  <c r="Q38" i="7"/>
  <c r="L36" i="5"/>
  <c r="N37" i="5"/>
  <c r="L42" i="5"/>
  <c r="N42" i="5" s="1"/>
  <c r="N43" i="5"/>
  <c r="Q41" i="5"/>
  <c r="O36" i="5"/>
  <c r="O36" i="2"/>
  <c r="Q38" i="2"/>
  <c r="E42" i="5"/>
  <c r="D7" i="24"/>
  <c r="F42" i="8"/>
  <c r="H39" i="2"/>
  <c r="H43" i="2"/>
  <c r="G36" i="14"/>
  <c r="G46" i="14" s="1"/>
  <c r="N37" i="14"/>
  <c r="O42" i="18"/>
  <c r="Q42" i="18" s="1"/>
  <c r="Q43" i="18"/>
  <c r="E38" i="5"/>
  <c r="C36" i="7"/>
  <c r="E43" i="2"/>
  <c r="H42" i="2"/>
  <c r="J31" i="30"/>
  <c r="G42" i="18"/>
  <c r="H43" i="18"/>
  <c r="H43" i="7"/>
  <c r="F42" i="7"/>
  <c r="H42" i="7" s="1"/>
  <c r="H38" i="5"/>
  <c r="Q37" i="37"/>
  <c r="J42" i="5"/>
  <c r="K43" i="5"/>
  <c r="M42" i="8"/>
  <c r="N43" i="8"/>
  <c r="P42" i="8"/>
  <c r="Q42" i="8" s="1"/>
  <c r="Q43" i="8"/>
  <c r="M36" i="5"/>
  <c r="N41" i="5"/>
  <c r="P36" i="5"/>
  <c r="Q39" i="5"/>
  <c r="K43" i="18"/>
  <c r="I42" i="18"/>
  <c r="K43" i="7"/>
  <c r="J42" i="7"/>
  <c r="K42" i="7" s="1"/>
  <c r="J36" i="8"/>
  <c r="K39" i="8"/>
  <c r="J36" i="18"/>
  <c r="K37" i="2"/>
  <c r="J36" i="2"/>
  <c r="V30" i="30"/>
  <c r="I42" i="37"/>
  <c r="M16" i="24"/>
  <c r="N45" i="37"/>
  <c r="P36" i="8"/>
  <c r="V78" i="30"/>
  <c r="N41" i="7"/>
  <c r="Q39" i="7"/>
  <c r="Q42" i="5"/>
  <c r="V79" i="30"/>
  <c r="N18" i="30"/>
  <c r="V31" i="30"/>
  <c r="V34" i="30"/>
  <c r="P42" i="7"/>
  <c r="Q42" i="7" s="1"/>
  <c r="Q43" i="7"/>
  <c r="Q37" i="2"/>
  <c r="P36" i="2"/>
  <c r="N37" i="37"/>
  <c r="N39" i="18"/>
  <c r="L36" i="7"/>
  <c r="L46" i="7" s="1"/>
  <c r="C5" i="24"/>
  <c r="C42" i="12"/>
  <c r="D36" i="12"/>
  <c r="H39" i="12"/>
  <c r="G36" i="12"/>
  <c r="O36" i="12"/>
  <c r="Q39" i="12"/>
  <c r="E38" i="12"/>
  <c r="N44" i="12"/>
  <c r="P36" i="12"/>
  <c r="P42" i="12"/>
  <c r="Q44" i="12"/>
  <c r="O17" i="24"/>
  <c r="T7" i="24"/>
  <c r="C16" i="24"/>
  <c r="C6" i="24"/>
  <c r="T5" i="24"/>
  <c r="R7" i="30"/>
  <c r="E34" i="29"/>
  <c r="L36" i="18"/>
  <c r="F15" i="23"/>
  <c r="J58" i="30"/>
  <c r="J44" i="30"/>
  <c r="D8" i="23"/>
  <c r="D5" i="24" s="1"/>
  <c r="L22" i="23"/>
  <c r="L16" i="24" s="1"/>
  <c r="V72" i="30"/>
  <c r="V76" i="30"/>
  <c r="M37" i="23"/>
  <c r="N72" i="30"/>
  <c r="T22" i="23"/>
  <c r="T16" i="24" s="1"/>
  <c r="V58" i="30"/>
  <c r="V16" i="23"/>
  <c r="R92" i="30"/>
  <c r="R89" i="30" s="1"/>
  <c r="N55" i="30"/>
  <c r="N16" i="23"/>
  <c r="V55" i="30"/>
  <c r="P8" i="23"/>
  <c r="H5" i="24"/>
  <c r="N39" i="23"/>
  <c r="N58" i="30"/>
  <c r="N71" i="30"/>
  <c r="R67" i="30"/>
  <c r="V71" i="30"/>
  <c r="V92" i="30"/>
  <c r="V89" i="30" s="1"/>
  <c r="G32" i="23"/>
  <c r="G31" i="23" s="1"/>
  <c r="R15" i="30"/>
  <c r="D93" i="27"/>
  <c r="E93" i="27"/>
  <c r="C93" i="27"/>
  <c r="DJ68" i="26"/>
  <c r="DJ74" i="26" s="1"/>
  <c r="DJ107" i="26" s="1"/>
  <c r="C32" i="23"/>
  <c r="C31" i="23" s="1"/>
  <c r="I21" i="23"/>
  <c r="S5" i="30"/>
  <c r="S4" i="30" s="1"/>
  <c r="D12" i="23"/>
  <c r="D9" i="24" s="1"/>
  <c r="J89" i="30"/>
  <c r="F16" i="23"/>
  <c r="F30" i="24"/>
  <c r="I20" i="16" s="1"/>
  <c r="F89" i="30"/>
  <c r="K17" i="24"/>
  <c r="M21" i="23"/>
  <c r="R39" i="23"/>
  <c r="G18" i="24"/>
  <c r="J24" i="23"/>
  <c r="F9" i="23"/>
  <c r="D32" i="23"/>
  <c r="D31" i="23" s="1"/>
  <c r="J29" i="23"/>
  <c r="K24" i="23"/>
  <c r="F39" i="23"/>
  <c r="F23" i="23"/>
  <c r="D21" i="23"/>
  <c r="N89" i="30"/>
  <c r="V11" i="23"/>
  <c r="V37" i="23"/>
  <c r="O24" i="23"/>
  <c r="O18" i="24" s="1"/>
  <c r="R22" i="23"/>
  <c r="F11" i="23"/>
  <c r="E21" i="23"/>
  <c r="C24" i="23"/>
  <c r="C26" i="24"/>
  <c r="L32" i="23"/>
  <c r="M5" i="24"/>
  <c r="P8" i="24"/>
  <c r="R11" i="23"/>
  <c r="P17" i="24"/>
  <c r="P21" i="23"/>
  <c r="R23" i="23"/>
  <c r="S17" i="24"/>
  <c r="V39" i="23"/>
  <c r="V30" i="24"/>
  <c r="R29" i="24"/>
  <c r="K21" i="16" s="1"/>
  <c r="Q26" i="24"/>
  <c r="I30" i="24"/>
  <c r="J30" i="24" s="1"/>
  <c r="J20" i="16" s="1"/>
  <c r="J39" i="23"/>
  <c r="I29" i="24"/>
  <c r="J37" i="23"/>
  <c r="U21" i="23"/>
  <c r="D16" i="24"/>
  <c r="N11" i="23"/>
  <c r="M7" i="24"/>
  <c r="R13" i="23"/>
  <c r="V29" i="24"/>
  <c r="L21" i="16" s="1"/>
  <c r="R15" i="23"/>
  <c r="R37" i="23"/>
  <c r="Q21" i="23"/>
  <c r="R9" i="23"/>
  <c r="R6" i="30"/>
  <c r="N39" i="12"/>
  <c r="M36" i="12"/>
  <c r="M46" i="12" s="1"/>
  <c r="N37" i="12"/>
  <c r="L42" i="12"/>
  <c r="N42" i="12" s="1"/>
  <c r="N43" i="12"/>
  <c r="O5" i="24"/>
  <c r="L36" i="12"/>
  <c r="R46" i="20"/>
  <c r="O39" i="20"/>
  <c r="P45" i="20"/>
  <c r="R42" i="20"/>
  <c r="P39" i="20"/>
  <c r="R41" i="20"/>
  <c r="Q39" i="20"/>
  <c r="L36" i="8"/>
  <c r="O6" i="24"/>
  <c r="N38" i="8"/>
  <c r="R37" i="30"/>
  <c r="M7" i="23" l="1"/>
  <c r="AF107" i="26"/>
  <c r="I38" i="17"/>
  <c r="D85" i="15"/>
  <c r="E160" i="15"/>
  <c r="E44" i="15"/>
  <c r="F132" i="19"/>
  <c r="F142" i="19" s="1"/>
  <c r="K142" i="19"/>
  <c r="D32" i="26"/>
  <c r="D129" i="9"/>
  <c r="F131" i="6"/>
  <c r="F132" i="6" s="1"/>
  <c r="F158" i="6" s="1"/>
  <c r="C53" i="26"/>
  <c r="O160" i="9"/>
  <c r="O158" i="9" s="1"/>
  <c r="O178" i="9" s="1"/>
  <c r="O179" i="9" s="1"/>
  <c r="O180" i="9" s="1"/>
  <c r="O206" i="9" s="1"/>
  <c r="G40" i="1"/>
  <c r="Q180" i="9"/>
  <c r="Q206" i="9" s="1"/>
  <c r="D156" i="6"/>
  <c r="O46" i="19"/>
  <c r="E47" i="15"/>
  <c r="Q44" i="25"/>
  <c r="Q6" i="25" s="1"/>
  <c r="Q213" i="25"/>
  <c r="L25" i="24"/>
  <c r="E18" i="16"/>
  <c r="J92" i="10"/>
  <c r="N7" i="10"/>
  <c r="G5" i="11"/>
  <c r="G49" i="20"/>
  <c r="J9" i="11"/>
  <c r="H25" i="24"/>
  <c r="U9" i="24"/>
  <c r="U4" i="24" s="1"/>
  <c r="H37" i="7"/>
  <c r="H39" i="11"/>
  <c r="R9" i="11"/>
  <c r="B12" i="22"/>
  <c r="F18" i="16"/>
  <c r="B17" i="22"/>
  <c r="F22" i="16"/>
  <c r="F41" i="30"/>
  <c r="J32" i="30"/>
  <c r="N33" i="30"/>
  <c r="R41" i="30"/>
  <c r="J93" i="10"/>
  <c r="D62" i="10"/>
  <c r="I62" i="10"/>
  <c r="S5" i="10"/>
  <c r="R93" i="10"/>
  <c r="V93" i="10"/>
  <c r="H5" i="10"/>
  <c r="N6" i="10"/>
  <c r="L6" i="24"/>
  <c r="E49" i="20"/>
  <c r="O49" i="20"/>
  <c r="U33" i="20"/>
  <c r="N45" i="20"/>
  <c r="M30" i="2"/>
  <c r="N22" i="2"/>
  <c r="K8" i="2"/>
  <c r="J30" i="2"/>
  <c r="M30" i="5"/>
  <c r="O30" i="5"/>
  <c r="Q30" i="5" s="1"/>
  <c r="L30" i="5"/>
  <c r="L30" i="7"/>
  <c r="L30" i="18"/>
  <c r="C30" i="18"/>
  <c r="O30" i="18"/>
  <c r="N8" i="14"/>
  <c r="L30" i="14"/>
  <c r="D46" i="8"/>
  <c r="D30" i="8"/>
  <c r="D34" i="8" s="1"/>
  <c r="D32" i="8" s="1"/>
  <c r="D31" i="8" s="1"/>
  <c r="D35" i="8" s="1"/>
  <c r="G30" i="8"/>
  <c r="D46" i="37"/>
  <c r="O30" i="37"/>
  <c r="O34" i="37" s="1"/>
  <c r="L30" i="37"/>
  <c r="P30" i="37"/>
  <c r="P34" i="37" s="1"/>
  <c r="P32" i="37" s="1"/>
  <c r="P31" i="37" s="1"/>
  <c r="P35" i="37" s="1"/>
  <c r="G30" i="37"/>
  <c r="G34" i="37" s="1"/>
  <c r="G32" i="37" s="1"/>
  <c r="G31" i="37" s="1"/>
  <c r="G35" i="37" s="1"/>
  <c r="G30" i="12"/>
  <c r="J30" i="12"/>
  <c r="P30" i="12"/>
  <c r="J46" i="12"/>
  <c r="F30" i="12"/>
  <c r="H30" i="12" s="1"/>
  <c r="I36" i="8"/>
  <c r="I46" i="8" s="1"/>
  <c r="C7" i="24"/>
  <c r="F7" i="24" s="1"/>
  <c r="I6" i="16" s="1"/>
  <c r="N30" i="30"/>
  <c r="I36" i="37"/>
  <c r="K36" i="37" s="1"/>
  <c r="J30" i="30"/>
  <c r="F36" i="2"/>
  <c r="F46" i="2" s="1"/>
  <c r="D38" i="6"/>
  <c r="E119" i="27"/>
  <c r="F42" i="12"/>
  <c r="H42" i="12" s="1"/>
  <c r="V67" i="10"/>
  <c r="T33" i="20"/>
  <c r="R92" i="10"/>
  <c r="F93" i="10"/>
  <c r="H53" i="26"/>
  <c r="G66" i="26"/>
  <c r="C18" i="26"/>
  <c r="G33" i="17"/>
  <c r="D130" i="6"/>
  <c r="O142" i="19"/>
  <c r="O168" i="19" s="1"/>
  <c r="D112" i="4"/>
  <c r="D136" i="1"/>
  <c r="K22" i="18"/>
  <c r="BT107" i="26"/>
  <c r="F73" i="26"/>
  <c r="D52" i="26"/>
  <c r="D32" i="17"/>
  <c r="I33" i="17"/>
  <c r="F45" i="15"/>
  <c r="F51" i="15" s="1"/>
  <c r="G87" i="9"/>
  <c r="J179" i="9"/>
  <c r="D85" i="9"/>
  <c r="G62" i="4"/>
  <c r="G69" i="4" s="1"/>
  <c r="E104" i="6"/>
  <c r="D74" i="15"/>
  <c r="G79" i="9"/>
  <c r="E27" i="1"/>
  <c r="E46" i="1"/>
  <c r="D161" i="4"/>
  <c r="E112" i="4"/>
  <c r="P179" i="9"/>
  <c r="E39" i="19"/>
  <c r="E148" i="17"/>
  <c r="D30" i="5"/>
  <c r="D62" i="17"/>
  <c r="D187" i="4"/>
  <c r="N8" i="7"/>
  <c r="E162" i="1"/>
  <c r="N22" i="8"/>
  <c r="N8" i="8"/>
  <c r="J6" i="10"/>
  <c r="C34" i="26"/>
  <c r="BV107" i="26"/>
  <c r="D37" i="26"/>
  <c r="J123" i="17"/>
  <c r="J124" i="17" s="1"/>
  <c r="J150" i="17" s="1"/>
  <c r="G123" i="17"/>
  <c r="E105" i="19"/>
  <c r="F135" i="15"/>
  <c r="E6" i="4"/>
  <c r="E62" i="4" s="1"/>
  <c r="E69" i="4" s="1"/>
  <c r="E85" i="15"/>
  <c r="Q8" i="8"/>
  <c r="C41" i="10"/>
  <c r="F41" i="10" s="1"/>
  <c r="I142" i="19"/>
  <c r="I168" i="19" s="1"/>
  <c r="H162" i="4"/>
  <c r="H163" i="4" s="1"/>
  <c r="H189" i="4" s="1"/>
  <c r="E8" i="18"/>
  <c r="K22" i="14"/>
  <c r="D30" i="18"/>
  <c r="H8" i="18"/>
  <c r="N22" i="12"/>
  <c r="D68" i="4"/>
  <c r="D69" i="4" s="1"/>
  <c r="D75" i="4" s="1"/>
  <c r="U5" i="11"/>
  <c r="L34" i="11"/>
  <c r="F42" i="11"/>
  <c r="I5" i="11"/>
  <c r="F6" i="11"/>
  <c r="N11" i="11"/>
  <c r="H5" i="11"/>
  <c r="F13" i="11"/>
  <c r="C17" i="16"/>
  <c r="C17" i="23"/>
  <c r="C12" i="23" s="1"/>
  <c r="C7" i="23" s="1"/>
  <c r="O17" i="23"/>
  <c r="O12" i="23" s="1"/>
  <c r="O7" i="23" s="1"/>
  <c r="E25" i="24"/>
  <c r="F32" i="24"/>
  <c r="T25" i="24"/>
  <c r="J25" i="20"/>
  <c r="I49" i="20"/>
  <c r="N14" i="20"/>
  <c r="Q33" i="20"/>
  <c r="P33" i="20"/>
  <c r="K39" i="20"/>
  <c r="K49" i="20" s="1"/>
  <c r="U49" i="20"/>
  <c r="D46" i="12"/>
  <c r="K43" i="12"/>
  <c r="L30" i="12"/>
  <c r="E8" i="12"/>
  <c r="Q8" i="12"/>
  <c r="K22" i="12"/>
  <c r="C30" i="12"/>
  <c r="I42" i="12"/>
  <c r="K42" i="12" s="1"/>
  <c r="E42" i="12"/>
  <c r="I30" i="2"/>
  <c r="I34" i="2" s="1"/>
  <c r="I32" i="2" s="1"/>
  <c r="I31" i="2" s="1"/>
  <c r="K22" i="2"/>
  <c r="N8" i="2"/>
  <c r="Q8" i="5"/>
  <c r="C34" i="5"/>
  <c r="C32" i="5" s="1"/>
  <c r="J30" i="5"/>
  <c r="N8" i="5"/>
  <c r="M30" i="7"/>
  <c r="J28" i="11"/>
  <c r="F18" i="11"/>
  <c r="K22" i="7"/>
  <c r="P30" i="7"/>
  <c r="H22" i="7"/>
  <c r="J30" i="7"/>
  <c r="Q8" i="7"/>
  <c r="O30" i="7"/>
  <c r="Q22" i="7"/>
  <c r="G30" i="7"/>
  <c r="G34" i="7" s="1"/>
  <c r="G32" i="7" s="1"/>
  <c r="G31" i="7" s="1"/>
  <c r="G35" i="7" s="1"/>
  <c r="D34" i="7"/>
  <c r="D32" i="7" s="1"/>
  <c r="D31" i="7" s="1"/>
  <c r="D35" i="7" s="1"/>
  <c r="F30" i="18"/>
  <c r="N8" i="18"/>
  <c r="Q30" i="18"/>
  <c r="M30" i="18"/>
  <c r="J30" i="18"/>
  <c r="G30" i="18"/>
  <c r="E22" i="18"/>
  <c r="O30" i="14"/>
  <c r="J20" i="11"/>
  <c r="F36" i="14"/>
  <c r="F46" i="14" s="1"/>
  <c r="K8" i="14"/>
  <c r="D30" i="14"/>
  <c r="Q8" i="14"/>
  <c r="P5" i="24"/>
  <c r="R5" i="24" s="1"/>
  <c r="K4" i="16" s="1"/>
  <c r="N32" i="30"/>
  <c r="Q22" i="8"/>
  <c r="O30" i="8"/>
  <c r="O34" i="8" s="1"/>
  <c r="E47" i="11"/>
  <c r="E46" i="11" s="1"/>
  <c r="F19" i="11"/>
  <c r="K22" i="8"/>
  <c r="P30" i="8"/>
  <c r="P34" i="8" s="1"/>
  <c r="P32" i="8" s="1"/>
  <c r="P31" i="8" s="1"/>
  <c r="P35" i="8" s="1"/>
  <c r="D26" i="11"/>
  <c r="F26" i="11" s="1"/>
  <c r="C7" i="16" s="1"/>
  <c r="J30" i="8"/>
  <c r="J34" i="8" s="1"/>
  <c r="M30" i="8"/>
  <c r="M34" i="8" s="1"/>
  <c r="M32" i="8" s="1"/>
  <c r="M31" i="8" s="1"/>
  <c r="M35" i="8" s="1"/>
  <c r="K22" i="37"/>
  <c r="E8" i="37"/>
  <c r="J30" i="37"/>
  <c r="J34" i="37" s="1"/>
  <c r="J32" i="37" s="1"/>
  <c r="J31" i="37" s="1"/>
  <c r="J35" i="37" s="1"/>
  <c r="M30" i="37"/>
  <c r="F36" i="37"/>
  <c r="F46" i="37" s="1"/>
  <c r="S17" i="11"/>
  <c r="S4" i="11" s="1"/>
  <c r="F36" i="8"/>
  <c r="H36" i="8" s="1"/>
  <c r="M36" i="18"/>
  <c r="M46" i="18" s="1"/>
  <c r="H39" i="5"/>
  <c r="I36" i="18"/>
  <c r="I34" i="18" s="1"/>
  <c r="G7" i="24"/>
  <c r="P30" i="14"/>
  <c r="E5" i="10"/>
  <c r="E91" i="10" s="1"/>
  <c r="M33" i="20"/>
  <c r="M37" i="20" s="1"/>
  <c r="M35" i="20" s="1"/>
  <c r="M34" i="20" s="1"/>
  <c r="M38" i="20" s="1"/>
  <c r="N22" i="5"/>
  <c r="M30" i="14"/>
  <c r="Q142" i="19"/>
  <c r="Q168" i="19" s="1"/>
  <c r="R179" i="9"/>
  <c r="E29" i="11"/>
  <c r="R42" i="11"/>
  <c r="V36" i="11"/>
  <c r="I10" i="11"/>
  <c r="F36" i="11"/>
  <c r="V43" i="11"/>
  <c r="J11" i="11"/>
  <c r="Q7" i="23"/>
  <c r="Q30" i="23" s="1"/>
  <c r="G6" i="24"/>
  <c r="J6" i="24" s="1"/>
  <c r="J5" i="16" s="1"/>
  <c r="F14" i="11"/>
  <c r="N6" i="11"/>
  <c r="E10" i="11"/>
  <c r="C17" i="11"/>
  <c r="T34" i="11"/>
  <c r="V34" i="11" s="1"/>
  <c r="C39" i="11"/>
  <c r="C29" i="11" s="1"/>
  <c r="U10" i="11"/>
  <c r="L29" i="11"/>
  <c r="F25" i="11"/>
  <c r="Q5" i="10"/>
  <c r="Q108" i="10" s="1"/>
  <c r="I5" i="10"/>
  <c r="J75" i="10"/>
  <c r="N75" i="10"/>
  <c r="S29" i="11"/>
  <c r="N39" i="11"/>
  <c r="J39" i="11"/>
  <c r="D13" i="16" s="1"/>
  <c r="O34" i="11"/>
  <c r="R34" i="11" s="1"/>
  <c r="E12" i="16" s="1"/>
  <c r="J41" i="10"/>
  <c r="R41" i="10"/>
  <c r="P5" i="10"/>
  <c r="R25" i="10"/>
  <c r="D5" i="10"/>
  <c r="U5" i="10"/>
  <c r="U91" i="10" s="1"/>
  <c r="F25" i="10"/>
  <c r="G29" i="11"/>
  <c r="I143" i="4"/>
  <c r="I141" i="4" s="1"/>
  <c r="I161" i="4" s="1"/>
  <c r="I162" i="4" s="1"/>
  <c r="M5" i="10"/>
  <c r="M91" i="10" s="1"/>
  <c r="N22" i="18"/>
  <c r="CU107" i="26"/>
  <c r="K160" i="9"/>
  <c r="K158" i="9" s="1"/>
  <c r="K178" i="9" s="1"/>
  <c r="G70" i="4"/>
  <c r="D137" i="1"/>
  <c r="N8" i="12"/>
  <c r="M123" i="17"/>
  <c r="M124" i="17" s="1"/>
  <c r="M150" i="17" s="1"/>
  <c r="H135" i="15"/>
  <c r="H136" i="15" s="1"/>
  <c r="H162" i="15" s="1"/>
  <c r="D105" i="19"/>
  <c r="C30" i="5"/>
  <c r="D122" i="17"/>
  <c r="G34" i="18"/>
  <c r="G32" i="18" s="1"/>
  <c r="G31" i="18" s="1"/>
  <c r="G35" i="18" s="1"/>
  <c r="Q22" i="14"/>
  <c r="R25" i="20"/>
  <c r="DE107" i="26"/>
  <c r="E156" i="6"/>
  <c r="E8" i="5"/>
  <c r="G91" i="9"/>
  <c r="J180" i="9"/>
  <c r="J206" i="9" s="1"/>
  <c r="H138" i="1"/>
  <c r="H164" i="1" s="1"/>
  <c r="D40" i="19"/>
  <c r="D46" i="19" s="1"/>
  <c r="J32" i="24"/>
  <c r="G33" i="20"/>
  <c r="G37" i="20" s="1"/>
  <c r="G35" i="20" s="1"/>
  <c r="G34" i="20" s="1"/>
  <c r="L123" i="17"/>
  <c r="L124" i="17" s="1"/>
  <c r="N132" i="19"/>
  <c r="N142" i="19" s="1"/>
  <c r="N168" i="19" s="1"/>
  <c r="C26" i="26"/>
  <c r="L142" i="19"/>
  <c r="L168" i="19" s="1"/>
  <c r="D166" i="19"/>
  <c r="J135" i="15"/>
  <c r="J136" i="15" s="1"/>
  <c r="J162" i="15" s="1"/>
  <c r="E40" i="19"/>
  <c r="H22" i="8"/>
  <c r="E8" i="14"/>
  <c r="F75" i="10"/>
  <c r="E26" i="17"/>
  <c r="E33" i="17" s="1"/>
  <c r="R180" i="9"/>
  <c r="R206" i="9" s="1"/>
  <c r="D118" i="9"/>
  <c r="E73" i="17"/>
  <c r="K123" i="17"/>
  <c r="K124" i="17" s="1"/>
  <c r="K150" i="17" s="1"/>
  <c r="M179" i="9"/>
  <c r="E22" i="7"/>
  <c r="I148" i="17"/>
  <c r="G166" i="19"/>
  <c r="E85" i="9"/>
  <c r="J11" i="23"/>
  <c r="F36" i="12"/>
  <c r="H36" i="12" s="1"/>
  <c r="K6" i="24"/>
  <c r="I36" i="12"/>
  <c r="K36" i="12" s="1"/>
  <c r="G17" i="11"/>
  <c r="Q17" i="11"/>
  <c r="Q4" i="11" s="1"/>
  <c r="R23" i="11"/>
  <c r="E8" i="8"/>
  <c r="F20" i="11"/>
  <c r="D17" i="11"/>
  <c r="V18" i="11"/>
  <c r="I46" i="7"/>
  <c r="K36" i="7"/>
  <c r="J9" i="23"/>
  <c r="K5" i="24"/>
  <c r="N5" i="24" s="1"/>
  <c r="N8" i="37"/>
  <c r="L30" i="8"/>
  <c r="L32" i="8" s="1"/>
  <c r="V26" i="11"/>
  <c r="F7" i="16" s="1"/>
  <c r="L10" i="11"/>
  <c r="C10" i="11"/>
  <c r="S62" i="10"/>
  <c r="R14" i="20"/>
  <c r="N20" i="11"/>
  <c r="H22" i="2"/>
  <c r="I39" i="17"/>
  <c r="E41" i="19"/>
  <c r="D152" i="9"/>
  <c r="L107" i="26"/>
  <c r="D131" i="19"/>
  <c r="P180" i="9"/>
  <c r="P206" i="9" s="1"/>
  <c r="F162" i="4"/>
  <c r="F163" i="4" s="1"/>
  <c r="F189" i="4" s="1"/>
  <c r="S25" i="24"/>
  <c r="J30" i="14"/>
  <c r="J34" i="14" s="1"/>
  <c r="J32" i="14" s="1"/>
  <c r="J31" i="14" s="1"/>
  <c r="J35" i="14" s="1"/>
  <c r="M108" i="10"/>
  <c r="G19" i="23"/>
  <c r="C34" i="29"/>
  <c r="K92" i="10"/>
  <c r="N92" i="10" s="1"/>
  <c r="N93" i="10"/>
  <c r="F19" i="26"/>
  <c r="D19" i="26" s="1"/>
  <c r="V39" i="11"/>
  <c r="F13" i="16" s="1"/>
  <c r="G30" i="14"/>
  <c r="G34" i="14" s="1"/>
  <c r="G32" i="14" s="1"/>
  <c r="G31" i="14" s="1"/>
  <c r="G35" i="14" s="1"/>
  <c r="L150" i="17"/>
  <c r="I53" i="1"/>
  <c r="I138" i="1" s="1"/>
  <c r="I164" i="1" s="1"/>
  <c r="L32" i="14"/>
  <c r="L31" i="14" s="1"/>
  <c r="L35" i="14" s="1"/>
  <c r="L30" i="2"/>
  <c r="N30" i="2" s="1"/>
  <c r="K37" i="7"/>
  <c r="V75" i="10"/>
  <c r="N34" i="11"/>
  <c r="U29" i="11"/>
  <c r="R30" i="11"/>
  <c r="E11" i="16" s="1"/>
  <c r="J54" i="11"/>
  <c r="D19" i="16" s="1"/>
  <c r="D18" i="16" s="1"/>
  <c r="V9" i="11"/>
  <c r="N10" i="23"/>
  <c r="Q8" i="18"/>
  <c r="P30" i="2"/>
  <c r="N26" i="11"/>
  <c r="D30" i="37"/>
  <c r="D34" i="37" s="1"/>
  <c r="D32" i="37" s="1"/>
  <c r="D31" i="37" s="1"/>
  <c r="D35" i="37" s="1"/>
  <c r="D53" i="26"/>
  <c r="P132" i="19"/>
  <c r="P142" i="19" s="1"/>
  <c r="P168" i="19" s="1"/>
  <c r="E118" i="9"/>
  <c r="D83" i="19"/>
  <c r="E152" i="9"/>
  <c r="G116" i="15"/>
  <c r="G114" i="15" s="1"/>
  <c r="E114" i="15" s="1"/>
  <c r="E134" i="15" s="1"/>
  <c r="E135" i="15" s="1"/>
  <c r="F137" i="1"/>
  <c r="F138" i="1" s="1"/>
  <c r="F164" i="1" s="1"/>
  <c r="Q22" i="5"/>
  <c r="E42" i="19"/>
  <c r="G46" i="19"/>
  <c r="M46" i="19"/>
  <c r="M142" i="19" s="1"/>
  <c r="M168" i="19" s="1"/>
  <c r="D34" i="26"/>
  <c r="K41" i="10"/>
  <c r="N41" i="10" s="1"/>
  <c r="N43" i="10"/>
  <c r="K19" i="11"/>
  <c r="N19" i="11" s="1"/>
  <c r="R18" i="24"/>
  <c r="K13" i="16" s="1"/>
  <c r="F36" i="18"/>
  <c r="F46" i="18" s="1"/>
  <c r="DI107" i="26"/>
  <c r="V41" i="10"/>
  <c r="J26" i="11"/>
  <c r="D7" i="16" s="1"/>
  <c r="M29" i="11"/>
  <c r="I37" i="20"/>
  <c r="I35" i="20" s="1"/>
  <c r="I34" i="20" s="1"/>
  <c r="I38" i="20" s="1"/>
  <c r="L5" i="10"/>
  <c r="L91" i="10" s="1"/>
  <c r="L8" i="20"/>
  <c r="L33" i="20" s="1"/>
  <c r="L37" i="20" s="1"/>
  <c r="L35" i="20" s="1"/>
  <c r="L34" i="20" s="1"/>
  <c r="L38" i="20" s="1"/>
  <c r="J8" i="20"/>
  <c r="J14" i="20"/>
  <c r="D39" i="11"/>
  <c r="H8" i="37"/>
  <c r="E38" i="26"/>
  <c r="S142" i="19"/>
  <c r="S168" i="19" s="1"/>
  <c r="E38" i="15"/>
  <c r="E45" i="15" s="1"/>
  <c r="D178" i="9"/>
  <c r="D86" i="9"/>
  <c r="D92" i="9" s="1"/>
  <c r="D44" i="6"/>
  <c r="K51" i="15"/>
  <c r="K136" i="15" s="1"/>
  <c r="K162" i="15" s="1"/>
  <c r="K168" i="19"/>
  <c r="M86" i="9"/>
  <c r="M92" i="9" s="1"/>
  <c r="H86" i="9"/>
  <c r="H92" i="9" s="1"/>
  <c r="G74" i="4"/>
  <c r="G75" i="4" s="1"/>
  <c r="G47" i="1"/>
  <c r="D162" i="1"/>
  <c r="E102" i="17"/>
  <c r="E122" i="17" s="1"/>
  <c r="N179" i="9"/>
  <c r="N180" i="9" s="1"/>
  <c r="N206" i="9" s="1"/>
  <c r="D47" i="1"/>
  <c r="D53" i="1" s="1"/>
  <c r="D138" i="1" s="1"/>
  <c r="U46" i="19"/>
  <c r="U142" i="19" s="1"/>
  <c r="U168" i="19" s="1"/>
  <c r="D2" i="26"/>
  <c r="D18" i="26" s="1"/>
  <c r="F18" i="26"/>
  <c r="N8" i="23"/>
  <c r="N23" i="23"/>
  <c r="P12" i="23"/>
  <c r="P9" i="24" s="1"/>
  <c r="J30" i="11"/>
  <c r="D11" i="16" s="1"/>
  <c r="R14" i="11"/>
  <c r="Q29" i="11"/>
  <c r="F34" i="11"/>
  <c r="C12" i="16" s="1"/>
  <c r="R18" i="11"/>
  <c r="I29" i="11"/>
  <c r="J6" i="11"/>
  <c r="V20" i="11"/>
  <c r="C5" i="32" s="1"/>
  <c r="C46" i="5"/>
  <c r="E46" i="5" s="1"/>
  <c r="G5" i="24"/>
  <c r="K36" i="14"/>
  <c r="N8" i="24"/>
  <c r="D6" i="24"/>
  <c r="D4" i="24" s="1"/>
  <c r="L49" i="20"/>
  <c r="J18" i="24"/>
  <c r="J13" i="16" s="1"/>
  <c r="J45" i="20"/>
  <c r="R45" i="20"/>
  <c r="F8" i="24"/>
  <c r="I7" i="16" s="1"/>
  <c r="H7" i="24"/>
  <c r="J42" i="20"/>
  <c r="M15" i="24"/>
  <c r="V45" i="20"/>
  <c r="I15" i="24"/>
  <c r="F41" i="20"/>
  <c r="U37" i="20"/>
  <c r="U35" i="20" s="1"/>
  <c r="U34" i="20" s="1"/>
  <c r="U38" i="20" s="1"/>
  <c r="U17" i="11"/>
  <c r="T17" i="11"/>
  <c r="E17" i="11"/>
  <c r="M17" i="11"/>
  <c r="M4" i="11" s="1"/>
  <c r="R47" i="11"/>
  <c r="U15" i="24"/>
  <c r="R8" i="24"/>
  <c r="K7" i="16" s="1"/>
  <c r="J73" i="30"/>
  <c r="J41" i="30" s="1"/>
  <c r="J39" i="20"/>
  <c r="J52" i="20" s="1"/>
  <c r="H49" i="20"/>
  <c r="D49" i="20"/>
  <c r="D37" i="20"/>
  <c r="D35" i="20" s="1"/>
  <c r="D34" i="20" s="1"/>
  <c r="D38" i="20" s="1"/>
  <c r="F39" i="20"/>
  <c r="R46" i="11"/>
  <c r="M30" i="12"/>
  <c r="M34" i="12" s="1"/>
  <c r="M32" i="12" s="1"/>
  <c r="M31" i="12" s="1"/>
  <c r="M35" i="12" s="1"/>
  <c r="N25" i="20"/>
  <c r="K33" i="20"/>
  <c r="K37" i="20" s="1"/>
  <c r="Q22" i="37"/>
  <c r="L17" i="11"/>
  <c r="K22" i="5"/>
  <c r="I30" i="5"/>
  <c r="N62" i="10"/>
  <c r="J67" i="10"/>
  <c r="H62" i="10"/>
  <c r="F8" i="20"/>
  <c r="H33" i="20"/>
  <c r="E33" i="20"/>
  <c r="E37" i="20" s="1"/>
  <c r="E35" i="20" s="1"/>
  <c r="E34" i="20" s="1"/>
  <c r="E38" i="20" s="1"/>
  <c r="E22" i="37"/>
  <c r="C30" i="37"/>
  <c r="H8" i="14"/>
  <c r="C62" i="10"/>
  <c r="E8" i="7"/>
  <c r="C30" i="7"/>
  <c r="E30" i="7" s="1"/>
  <c r="H8" i="2"/>
  <c r="F30" i="2"/>
  <c r="H17" i="11"/>
  <c r="D23" i="26"/>
  <c r="G50" i="15"/>
  <c r="G118" i="1"/>
  <c r="G116" i="1" s="1"/>
  <c r="D131" i="6"/>
  <c r="E111" i="19"/>
  <c r="E131" i="19" s="1"/>
  <c r="E132" i="19" s="1"/>
  <c r="G131" i="19"/>
  <c r="G132" i="19" s="1"/>
  <c r="I91" i="9"/>
  <c r="I92" i="9" s="1"/>
  <c r="I180" i="9" s="1"/>
  <c r="I206" i="9" s="1"/>
  <c r="E87" i="9"/>
  <c r="E91" i="9" s="1"/>
  <c r="K179" i="9"/>
  <c r="K180" i="9" s="1"/>
  <c r="K206" i="9" s="1"/>
  <c r="G86" i="9"/>
  <c r="G92" i="9" s="1"/>
  <c r="I112" i="6"/>
  <c r="I110" i="6" s="1"/>
  <c r="I130" i="6" s="1"/>
  <c r="I131" i="6" s="1"/>
  <c r="I132" i="6" s="1"/>
  <c r="I158" i="6" s="1"/>
  <c r="G48" i="1"/>
  <c r="M34" i="37"/>
  <c r="M32" i="37" s="1"/>
  <c r="M31" i="37" s="1"/>
  <c r="M35" i="37" s="1"/>
  <c r="J14" i="11"/>
  <c r="O30" i="12"/>
  <c r="Q22" i="12"/>
  <c r="V14" i="20"/>
  <c r="S8" i="20"/>
  <c r="V8" i="20" s="1"/>
  <c r="K19" i="23"/>
  <c r="D34" i="29"/>
  <c r="AH65" i="26" s="1"/>
  <c r="K25" i="24"/>
  <c r="N32" i="24"/>
  <c r="K8" i="7"/>
  <c r="I30" i="7"/>
  <c r="H8" i="8"/>
  <c r="F30" i="8"/>
  <c r="H30" i="8" s="1"/>
  <c r="I30" i="14"/>
  <c r="H34" i="11"/>
  <c r="J36" i="11"/>
  <c r="C30" i="8"/>
  <c r="C34" i="8" s="1"/>
  <c r="E22" i="8"/>
  <c r="H22" i="5"/>
  <c r="H8" i="7"/>
  <c r="F30" i="7"/>
  <c r="H22" i="37"/>
  <c r="F30" i="37"/>
  <c r="H30" i="37" s="1"/>
  <c r="F25" i="20"/>
  <c r="C33" i="20"/>
  <c r="AQ43" i="26"/>
  <c r="AQ44" i="26" s="1"/>
  <c r="AQ107" i="26" s="1"/>
  <c r="G38" i="26"/>
  <c r="G43" i="26" s="1"/>
  <c r="G44" i="26" s="1"/>
  <c r="D30" i="2"/>
  <c r="D34" i="2" s="1"/>
  <c r="D32" i="2" s="1"/>
  <c r="D31" i="2" s="1"/>
  <c r="D35" i="2" s="1"/>
  <c r="E8" i="2"/>
  <c r="I124" i="17"/>
  <c r="G51" i="15"/>
  <c r="D162" i="4"/>
  <c r="F38" i="26"/>
  <c r="F33" i="17"/>
  <c r="F39" i="17" s="1"/>
  <c r="F124" i="17" s="1"/>
  <c r="F150" i="17" s="1"/>
  <c r="D45" i="15"/>
  <c r="D51" i="15" s="1"/>
  <c r="E35" i="17"/>
  <c r="H180" i="9"/>
  <c r="H206" i="9" s="1"/>
  <c r="H38" i="6"/>
  <c r="H44" i="6" s="1"/>
  <c r="H132" i="6" s="1"/>
  <c r="H158" i="6" s="1"/>
  <c r="E187" i="4"/>
  <c r="P39" i="11"/>
  <c r="R39" i="11" s="1"/>
  <c r="E13" i="16" s="1"/>
  <c r="V39" i="20"/>
  <c r="B14" i="22"/>
  <c r="T5" i="10"/>
  <c r="D19" i="36"/>
  <c r="Q22" i="2"/>
  <c r="O30" i="2"/>
  <c r="Q8" i="2"/>
  <c r="N22" i="7"/>
  <c r="Q8" i="37"/>
  <c r="N22" i="37"/>
  <c r="K8" i="12"/>
  <c r="I30" i="12"/>
  <c r="K8" i="18"/>
  <c r="I30" i="18"/>
  <c r="H8" i="5"/>
  <c r="F30" i="5"/>
  <c r="H30" i="5" s="1"/>
  <c r="F30" i="14"/>
  <c r="H22" i="14"/>
  <c r="J25" i="10"/>
  <c r="G5" i="10"/>
  <c r="H22" i="18"/>
  <c r="F14" i="20"/>
  <c r="H8" i="12"/>
  <c r="D30" i="12"/>
  <c r="E22" i="12"/>
  <c r="H66" i="26"/>
  <c r="D106" i="26"/>
  <c r="C30" i="2"/>
  <c r="C34" i="2" s="1"/>
  <c r="E22" i="2"/>
  <c r="E38" i="6"/>
  <c r="E70" i="4"/>
  <c r="E74" i="4" s="1"/>
  <c r="I74" i="4"/>
  <c r="I75" i="4" s="1"/>
  <c r="D33" i="17"/>
  <c r="D39" i="17" s="1"/>
  <c r="E46" i="15"/>
  <c r="E50" i="15" s="1"/>
  <c r="I135" i="15"/>
  <c r="I136" i="15" s="1"/>
  <c r="I162" i="15" s="1"/>
  <c r="E96" i="17"/>
  <c r="E76" i="9"/>
  <c r="E62" i="17"/>
  <c r="E166" i="19"/>
  <c r="G178" i="9"/>
  <c r="G179" i="9" s="1"/>
  <c r="E158" i="9"/>
  <c r="E178" i="9" s="1"/>
  <c r="F179" i="9"/>
  <c r="F180" i="9" s="1"/>
  <c r="F206" i="9" s="1"/>
  <c r="L180" i="9"/>
  <c r="L206" i="9" s="1"/>
  <c r="G143" i="4"/>
  <c r="G141" i="4" s="1"/>
  <c r="E40" i="1"/>
  <c r="E47" i="1" s="1"/>
  <c r="N22" i="14"/>
  <c r="V25" i="20"/>
  <c r="N25" i="10"/>
  <c r="I30" i="8"/>
  <c r="K8" i="8"/>
  <c r="K8" i="37"/>
  <c r="I30" i="37"/>
  <c r="C5" i="10"/>
  <c r="F6" i="10"/>
  <c r="G30" i="2"/>
  <c r="G34" i="2" s="1"/>
  <c r="G32" i="2" s="1"/>
  <c r="G31" i="2" s="1"/>
  <c r="G35" i="2" s="1"/>
  <c r="F92" i="10"/>
  <c r="E34" i="26"/>
  <c r="BB43" i="26"/>
  <c r="BB44" i="26" s="1"/>
  <c r="BB107" i="26" s="1"/>
  <c r="H38" i="26"/>
  <c r="H43" i="26" s="1"/>
  <c r="H44" i="26" s="1"/>
  <c r="E22" i="5"/>
  <c r="C30" i="14"/>
  <c r="E22" i="14"/>
  <c r="D132" i="19"/>
  <c r="E79" i="9"/>
  <c r="E86" i="9" s="1"/>
  <c r="E92" i="9" s="1"/>
  <c r="G43" i="6"/>
  <c r="E39" i="6"/>
  <c r="E43" i="6" s="1"/>
  <c r="D135" i="15"/>
  <c r="F168" i="19"/>
  <c r="G130" i="6"/>
  <c r="G131" i="6" s="1"/>
  <c r="K8" i="5"/>
  <c r="G38" i="6"/>
  <c r="E135" i="4"/>
  <c r="G38" i="17"/>
  <c r="G39" i="17" s="1"/>
  <c r="G124" i="17" s="1"/>
  <c r="G150" i="17" s="1"/>
  <c r="E34" i="17"/>
  <c r="E38" i="17" s="1"/>
  <c r="E39" i="17" s="1"/>
  <c r="E36" i="8"/>
  <c r="E22" i="16"/>
  <c r="C119" i="27"/>
  <c r="D49" i="28"/>
  <c r="H12" i="23"/>
  <c r="P46" i="2"/>
  <c r="N36" i="8"/>
  <c r="J10" i="23"/>
  <c r="T49" i="20"/>
  <c r="M46" i="37"/>
  <c r="C46" i="37"/>
  <c r="P46" i="14"/>
  <c r="N36" i="7"/>
  <c r="G34" i="8"/>
  <c r="G32" i="8" s="1"/>
  <c r="G31" i="8" s="1"/>
  <c r="G35" i="8" s="1"/>
  <c r="E36" i="5"/>
  <c r="N36" i="14"/>
  <c r="E36" i="37"/>
  <c r="K7" i="24"/>
  <c r="N7" i="24" s="1"/>
  <c r="D119" i="27"/>
  <c r="E36" i="12"/>
  <c r="H36" i="7"/>
  <c r="Q36" i="37"/>
  <c r="R10" i="23"/>
  <c r="V8" i="24"/>
  <c r="L7" i="16" s="1"/>
  <c r="Q15" i="24"/>
  <c r="T37" i="20"/>
  <c r="T35" i="20" s="1"/>
  <c r="T34" i="20" s="1"/>
  <c r="T38" i="20" s="1"/>
  <c r="U30" i="23"/>
  <c r="D15" i="24"/>
  <c r="J8" i="24"/>
  <c r="J7" i="16" s="1"/>
  <c r="L21" i="23"/>
  <c r="Q4" i="24"/>
  <c r="AE107" i="26"/>
  <c r="G107" i="26"/>
  <c r="C79" i="26"/>
  <c r="V47" i="11"/>
  <c r="S17" i="23"/>
  <c r="T92" i="10"/>
  <c r="V92" i="10" s="1"/>
  <c r="L15" i="24"/>
  <c r="V30" i="11"/>
  <c r="F11" i="16" s="1"/>
  <c r="V5" i="11"/>
  <c r="F4" i="16" s="1"/>
  <c r="V14" i="11"/>
  <c r="C4" i="32" s="1"/>
  <c r="N5" i="11"/>
  <c r="F5" i="11"/>
  <c r="C4" i="16" s="1"/>
  <c r="K29" i="11"/>
  <c r="N30" i="11"/>
  <c r="M47" i="11"/>
  <c r="M46" i="11" s="1"/>
  <c r="N48" i="11"/>
  <c r="D22" i="16" s="1"/>
  <c r="C46" i="11"/>
  <c r="T10" i="11"/>
  <c r="K46" i="11"/>
  <c r="S46" i="11"/>
  <c r="V46" i="11" s="1"/>
  <c r="F30" i="11"/>
  <c r="C11" i="16" s="1"/>
  <c r="G10" i="11"/>
  <c r="N14" i="11"/>
  <c r="D10" i="11"/>
  <c r="K10" i="11"/>
  <c r="G46" i="11"/>
  <c r="J47" i="11"/>
  <c r="T62" i="10"/>
  <c r="V6" i="10"/>
  <c r="Q42" i="12"/>
  <c r="S49" i="20"/>
  <c r="M49" i="20"/>
  <c r="F45" i="20"/>
  <c r="C49" i="20"/>
  <c r="N17" i="24"/>
  <c r="E15" i="24"/>
  <c r="L46" i="18"/>
  <c r="M46" i="8"/>
  <c r="I46" i="14"/>
  <c r="K46" i="14" s="1"/>
  <c r="M46" i="2"/>
  <c r="M34" i="2" s="1"/>
  <c r="M32" i="2" s="1"/>
  <c r="M31" i="2" s="1"/>
  <c r="M35" i="2" s="1"/>
  <c r="E36" i="18"/>
  <c r="Q42" i="14"/>
  <c r="V25" i="10"/>
  <c r="L46" i="5"/>
  <c r="G46" i="12"/>
  <c r="P46" i="12"/>
  <c r="N42" i="8"/>
  <c r="N46" i="14"/>
  <c r="C34" i="18"/>
  <c r="C32" i="18" s="1"/>
  <c r="C46" i="8"/>
  <c r="L32" i="5"/>
  <c r="L31" i="5" s="1"/>
  <c r="L35" i="5" s="1"/>
  <c r="K36" i="5"/>
  <c r="I34" i="5"/>
  <c r="I32" i="5" s="1"/>
  <c r="I31" i="5" s="1"/>
  <c r="O33" i="20"/>
  <c r="R8" i="20"/>
  <c r="O10" i="11"/>
  <c r="R10" i="11" s="1"/>
  <c r="E5" i="16" s="1"/>
  <c r="R75" i="10"/>
  <c r="P62" i="10"/>
  <c r="R62" i="10" s="1"/>
  <c r="P26" i="11"/>
  <c r="R26" i="11" s="1"/>
  <c r="E7" i="16" s="1"/>
  <c r="R28" i="11"/>
  <c r="P17" i="11"/>
  <c r="R20" i="11"/>
  <c r="O17" i="11"/>
  <c r="R19" i="11"/>
  <c r="Q91" i="10"/>
  <c r="O5" i="10"/>
  <c r="R6" i="10"/>
  <c r="R5" i="11"/>
  <c r="E4" i="16" s="1"/>
  <c r="F5" i="24"/>
  <c r="I4" i="16" s="1"/>
  <c r="F10" i="23"/>
  <c r="D46" i="18"/>
  <c r="E46" i="18" s="1"/>
  <c r="D34" i="18"/>
  <c r="D32" i="18" s="1"/>
  <c r="D31" i="18" s="1"/>
  <c r="D35" i="18" s="1"/>
  <c r="L32" i="7"/>
  <c r="N36" i="5"/>
  <c r="G46" i="37"/>
  <c r="G46" i="5"/>
  <c r="G34" i="5"/>
  <c r="G32" i="5" s="1"/>
  <c r="G31" i="5" s="1"/>
  <c r="G35" i="5" s="1"/>
  <c r="E36" i="2"/>
  <c r="M46" i="7"/>
  <c r="M34" i="7" s="1"/>
  <c r="M32" i="7" s="1"/>
  <c r="M31" i="7" s="1"/>
  <c r="M35" i="7" s="1"/>
  <c r="O46" i="18"/>
  <c r="J46" i="37"/>
  <c r="D34" i="5"/>
  <c r="D32" i="5" s="1"/>
  <c r="D31" i="5" s="1"/>
  <c r="D35" i="5" s="1"/>
  <c r="L32" i="18"/>
  <c r="K36" i="2"/>
  <c r="J46" i="2"/>
  <c r="K42" i="18"/>
  <c r="F34" i="5"/>
  <c r="F46" i="5"/>
  <c r="H36" i="5"/>
  <c r="O46" i="2"/>
  <c r="Q36" i="2"/>
  <c r="P34" i="18"/>
  <c r="P32" i="18" s="1"/>
  <c r="P31" i="18" s="1"/>
  <c r="P35" i="18" s="1"/>
  <c r="P46" i="18"/>
  <c r="Q36" i="8"/>
  <c r="O46" i="8"/>
  <c r="F46" i="7"/>
  <c r="G46" i="18"/>
  <c r="P46" i="7"/>
  <c r="P46" i="8"/>
  <c r="J46" i="8"/>
  <c r="M46" i="5"/>
  <c r="M34" i="5"/>
  <c r="Q36" i="18"/>
  <c r="D46" i="14"/>
  <c r="E36" i="14"/>
  <c r="J34" i="18"/>
  <c r="J32" i="18" s="1"/>
  <c r="J31" i="18" s="1"/>
  <c r="J35" i="18" s="1"/>
  <c r="J46" i="18"/>
  <c r="C46" i="7"/>
  <c r="E36" i="7"/>
  <c r="J46" i="7"/>
  <c r="H42" i="8"/>
  <c r="Q36" i="7"/>
  <c r="O46" i="7"/>
  <c r="E46" i="2"/>
  <c r="H42" i="18"/>
  <c r="K42" i="37"/>
  <c r="P46" i="5"/>
  <c r="P34" i="5"/>
  <c r="P32" i="5" s="1"/>
  <c r="P31" i="5" s="1"/>
  <c r="P35" i="5" s="1"/>
  <c r="K42" i="5"/>
  <c r="J34" i="5"/>
  <c r="J46" i="5"/>
  <c r="K46" i="5" s="1"/>
  <c r="O46" i="5"/>
  <c r="Q36" i="5"/>
  <c r="O34" i="5"/>
  <c r="O46" i="14"/>
  <c r="Q36" i="14"/>
  <c r="O46" i="37"/>
  <c r="Q46" i="37" s="1"/>
  <c r="O34" i="18"/>
  <c r="C46" i="12"/>
  <c r="R17" i="24"/>
  <c r="K12" i="16" s="1"/>
  <c r="Q36" i="12"/>
  <c r="O46" i="12"/>
  <c r="E17" i="23"/>
  <c r="F19" i="23"/>
  <c r="N41" i="30"/>
  <c r="L46" i="8"/>
  <c r="F8" i="23"/>
  <c r="T12" i="23"/>
  <c r="J17" i="24"/>
  <c r="J12" i="16" s="1"/>
  <c r="R8" i="23"/>
  <c r="N22" i="23"/>
  <c r="N37" i="23"/>
  <c r="M29" i="24"/>
  <c r="M26" i="24" s="1"/>
  <c r="J16" i="23"/>
  <c r="L12" i="23"/>
  <c r="M30" i="23"/>
  <c r="O21" i="23"/>
  <c r="R21" i="23" s="1"/>
  <c r="H68" i="26"/>
  <c r="D68" i="26" s="1"/>
  <c r="D74" i="26" s="1"/>
  <c r="C68" i="26"/>
  <c r="C74" i="26" s="1"/>
  <c r="D7" i="23"/>
  <c r="R24" i="23"/>
  <c r="K18" i="24"/>
  <c r="N18" i="24" s="1"/>
  <c r="N24" i="23"/>
  <c r="J23" i="23"/>
  <c r="K21" i="23"/>
  <c r="L31" i="23"/>
  <c r="U26" i="24"/>
  <c r="P15" i="24"/>
  <c r="N16" i="24"/>
  <c r="J6" i="30"/>
  <c r="C21" i="23"/>
  <c r="F21" i="23" s="1"/>
  <c r="C18" i="24"/>
  <c r="F24" i="23"/>
  <c r="M4" i="24"/>
  <c r="J22" i="23"/>
  <c r="G16" i="24"/>
  <c r="G21" i="23"/>
  <c r="F16" i="24"/>
  <c r="I11" i="16" s="1"/>
  <c r="F26" i="24"/>
  <c r="I18" i="16" s="1"/>
  <c r="C25" i="24"/>
  <c r="J29" i="24"/>
  <c r="J21" i="16" s="1"/>
  <c r="I26" i="24"/>
  <c r="R26" i="24"/>
  <c r="K18" i="16" s="1"/>
  <c r="Q25" i="24"/>
  <c r="R25" i="24" s="1"/>
  <c r="H21" i="23"/>
  <c r="H16" i="24"/>
  <c r="H15" i="24" s="1"/>
  <c r="F17" i="24"/>
  <c r="I12" i="16" s="1"/>
  <c r="L46" i="12"/>
  <c r="N46" i="12" s="1"/>
  <c r="N36" i="12"/>
  <c r="R6" i="24"/>
  <c r="K5" i="16" s="1"/>
  <c r="P49" i="20"/>
  <c r="P35" i="20"/>
  <c r="P34" i="20" s="1"/>
  <c r="P38" i="20" s="1"/>
  <c r="R39" i="20"/>
  <c r="Q49" i="20"/>
  <c r="J49" i="20" l="1"/>
  <c r="K36" i="8"/>
  <c r="F12" i="16"/>
  <c r="C7" i="32"/>
  <c r="C11" i="32" s="1"/>
  <c r="C12" i="32" s="1"/>
  <c r="C32" i="32" s="1"/>
  <c r="R33" i="20"/>
  <c r="N30" i="5"/>
  <c r="H30" i="14"/>
  <c r="E46" i="8"/>
  <c r="N30" i="37"/>
  <c r="E46" i="37"/>
  <c r="F17" i="16"/>
  <c r="D91" i="10"/>
  <c r="F10" i="16"/>
  <c r="F62" i="10"/>
  <c r="L108" i="10"/>
  <c r="E108" i="10"/>
  <c r="I34" i="8"/>
  <c r="I32" i="8" s="1"/>
  <c r="I31" i="8" s="1"/>
  <c r="I35" i="8" s="1"/>
  <c r="I46" i="37"/>
  <c r="R16" i="30"/>
  <c r="I108" i="10"/>
  <c r="F39" i="11"/>
  <c r="C13" i="16" s="1"/>
  <c r="C10" i="16" s="1"/>
  <c r="I91" i="10"/>
  <c r="H91" i="10"/>
  <c r="S108" i="10"/>
  <c r="V62" i="10"/>
  <c r="H4" i="11"/>
  <c r="J33" i="20"/>
  <c r="J16" i="30"/>
  <c r="R17" i="23"/>
  <c r="N6" i="24"/>
  <c r="O9" i="24"/>
  <c r="R9" i="24" s="1"/>
  <c r="K8" i="16" s="1"/>
  <c r="N39" i="20"/>
  <c r="E30" i="5"/>
  <c r="K30" i="7"/>
  <c r="E30" i="18"/>
  <c r="N30" i="18"/>
  <c r="H30" i="18"/>
  <c r="N30" i="14"/>
  <c r="L32" i="37"/>
  <c r="L31" i="37" s="1"/>
  <c r="L35" i="37" s="1"/>
  <c r="N35" i="37" s="1"/>
  <c r="Q30" i="37"/>
  <c r="E30" i="37"/>
  <c r="C34" i="37"/>
  <c r="C32" i="37" s="1"/>
  <c r="P34" i="12"/>
  <c r="P32" i="12" s="1"/>
  <c r="P31" i="12" s="1"/>
  <c r="P35" i="12" s="1"/>
  <c r="K30" i="37"/>
  <c r="K30" i="12"/>
  <c r="J34" i="12"/>
  <c r="J32" i="12" s="1"/>
  <c r="J31" i="12" s="1"/>
  <c r="J35" i="12" s="1"/>
  <c r="F46" i="12"/>
  <c r="F34" i="12" s="1"/>
  <c r="F32" i="12" s="1"/>
  <c r="N30" i="12"/>
  <c r="D34" i="12"/>
  <c r="D32" i="12" s="1"/>
  <c r="D31" i="12" s="1"/>
  <c r="D35" i="12" s="1"/>
  <c r="G34" i="12"/>
  <c r="G32" i="12" s="1"/>
  <c r="G31" i="12" s="1"/>
  <c r="G35" i="12" s="1"/>
  <c r="E46" i="12"/>
  <c r="C34" i="12"/>
  <c r="C32" i="12" s="1"/>
  <c r="H36" i="2"/>
  <c r="H36" i="14"/>
  <c r="H36" i="37"/>
  <c r="K36" i="18"/>
  <c r="C9" i="24"/>
  <c r="C4" i="24" s="1"/>
  <c r="E179" i="9"/>
  <c r="I163" i="4"/>
  <c r="I189" i="4" s="1"/>
  <c r="M180" i="9"/>
  <c r="M206" i="9" s="1"/>
  <c r="D123" i="17"/>
  <c r="F136" i="15"/>
  <c r="F162" i="15" s="1"/>
  <c r="D73" i="26"/>
  <c r="F74" i="26"/>
  <c r="E75" i="4"/>
  <c r="D163" i="4"/>
  <c r="D189" i="4" s="1"/>
  <c r="D132" i="6"/>
  <c r="D158" i="6" s="1"/>
  <c r="N30" i="7"/>
  <c r="Q30" i="7"/>
  <c r="I4" i="11"/>
  <c r="I45" i="11" s="1"/>
  <c r="J5" i="11"/>
  <c r="D4" i="16" s="1"/>
  <c r="T29" i="11"/>
  <c r="V29" i="11" s="1"/>
  <c r="F25" i="24"/>
  <c r="I17" i="16"/>
  <c r="F33" i="20"/>
  <c r="Q30" i="12"/>
  <c r="E30" i="12"/>
  <c r="K30" i="2"/>
  <c r="P34" i="7"/>
  <c r="P32" i="7" s="1"/>
  <c r="P31" i="7" s="1"/>
  <c r="P35" i="7" s="1"/>
  <c r="H30" i="7"/>
  <c r="N36" i="18"/>
  <c r="N46" i="18"/>
  <c r="J7" i="24"/>
  <c r="J6" i="16" s="1"/>
  <c r="M32" i="18"/>
  <c r="M31" i="18" s="1"/>
  <c r="M35" i="18" s="1"/>
  <c r="P4" i="24"/>
  <c r="K30" i="18"/>
  <c r="E30" i="14"/>
  <c r="P34" i="14"/>
  <c r="P32" i="14" s="1"/>
  <c r="P31" i="14" s="1"/>
  <c r="P35" i="14" s="1"/>
  <c r="K30" i="14"/>
  <c r="M32" i="14"/>
  <c r="M31" i="14" s="1"/>
  <c r="I34" i="14"/>
  <c r="K34" i="14" s="1"/>
  <c r="F47" i="11"/>
  <c r="K30" i="8"/>
  <c r="F46" i="8"/>
  <c r="H46" i="8" s="1"/>
  <c r="N30" i="8"/>
  <c r="F34" i="8"/>
  <c r="F32" i="8" s="1"/>
  <c r="I34" i="37"/>
  <c r="K34" i="37" s="1"/>
  <c r="F34" i="37"/>
  <c r="F32" i="37" s="1"/>
  <c r="I46" i="18"/>
  <c r="K46" i="18" s="1"/>
  <c r="E4" i="11"/>
  <c r="E60" i="11" s="1"/>
  <c r="O29" i="11"/>
  <c r="L4" i="11"/>
  <c r="L60" i="11" s="1"/>
  <c r="H29" i="11"/>
  <c r="J29" i="11" s="1"/>
  <c r="D29" i="11"/>
  <c r="F29" i="11" s="1"/>
  <c r="C4" i="11"/>
  <c r="C60" i="11" s="1"/>
  <c r="V5" i="10"/>
  <c r="S91" i="10"/>
  <c r="N29" i="11"/>
  <c r="C108" i="10"/>
  <c r="M45" i="11"/>
  <c r="V17" i="11"/>
  <c r="F6" i="16" s="1"/>
  <c r="D4" i="11"/>
  <c r="U108" i="10"/>
  <c r="D108" i="10"/>
  <c r="K17" i="11"/>
  <c r="N17" i="11" s="1"/>
  <c r="H36" i="18"/>
  <c r="S33" i="20"/>
  <c r="E51" i="15"/>
  <c r="Q30" i="14"/>
  <c r="I46" i="12"/>
  <c r="I34" i="12" s="1"/>
  <c r="D142" i="19"/>
  <c r="D168" i="19" s="1"/>
  <c r="D164" i="1"/>
  <c r="C38" i="26"/>
  <c r="C43" i="26" s="1"/>
  <c r="C44" i="26" s="1"/>
  <c r="E10" i="16"/>
  <c r="C37" i="20"/>
  <c r="C35" i="20" s="1"/>
  <c r="C34" i="20" s="1"/>
  <c r="E110" i="6"/>
  <c r="E130" i="6" s="1"/>
  <c r="E131" i="6" s="1"/>
  <c r="E30" i="2"/>
  <c r="I150" i="17"/>
  <c r="D179" i="9"/>
  <c r="P7" i="23"/>
  <c r="R7" i="23" s="1"/>
  <c r="R12" i="23"/>
  <c r="V49" i="20"/>
  <c r="U4" i="11"/>
  <c r="T4" i="11"/>
  <c r="F34" i="18"/>
  <c r="H34" i="18" s="1"/>
  <c r="V10" i="11"/>
  <c r="F5" i="16" s="1"/>
  <c r="P34" i="2"/>
  <c r="P32" i="2" s="1"/>
  <c r="P31" i="2" s="1"/>
  <c r="P35" i="2" s="1"/>
  <c r="E136" i="15"/>
  <c r="E162" i="15" s="1"/>
  <c r="N8" i="20"/>
  <c r="O35" i="20"/>
  <c r="O34" i="20" s="1"/>
  <c r="O38" i="20" s="1"/>
  <c r="Q30" i="2"/>
  <c r="E43" i="26"/>
  <c r="E44" i="26" s="1"/>
  <c r="E107" i="26" s="1"/>
  <c r="N33" i="20"/>
  <c r="G134" i="15"/>
  <c r="G135" i="15" s="1"/>
  <c r="K5" i="10"/>
  <c r="E45" i="19"/>
  <c r="E46" i="19" s="1"/>
  <c r="E180" i="9"/>
  <c r="E206" i="9" s="1"/>
  <c r="D180" i="9"/>
  <c r="D206" i="9" s="1"/>
  <c r="J19" i="23"/>
  <c r="G17" i="23"/>
  <c r="D17" i="16"/>
  <c r="G44" i="6"/>
  <c r="E123" i="17"/>
  <c r="E124" i="17" s="1"/>
  <c r="E150" i="17" s="1"/>
  <c r="G142" i="19"/>
  <c r="G168" i="19" s="1"/>
  <c r="Q30" i="8"/>
  <c r="F6" i="24"/>
  <c r="I5" i="16" s="1"/>
  <c r="M24" i="24"/>
  <c r="P29" i="11"/>
  <c r="F49" i="20"/>
  <c r="H7" i="23"/>
  <c r="H9" i="24"/>
  <c r="H4" i="24" s="1"/>
  <c r="H24" i="24" s="1"/>
  <c r="H35" i="24" s="1"/>
  <c r="F17" i="11"/>
  <c r="C6" i="16" s="1"/>
  <c r="U24" i="24"/>
  <c r="J17" i="11"/>
  <c r="D6" i="16" s="1"/>
  <c r="M60" i="11"/>
  <c r="E44" i="6"/>
  <c r="E132" i="6" s="1"/>
  <c r="E158" i="6" s="1"/>
  <c r="J5" i="10"/>
  <c r="G91" i="10"/>
  <c r="G108" i="10"/>
  <c r="E30" i="8"/>
  <c r="N19" i="23"/>
  <c r="K17" i="23"/>
  <c r="G52" i="1"/>
  <c r="G53" i="1" s="1"/>
  <c r="E48" i="1"/>
  <c r="E52" i="1" s="1"/>
  <c r="E53" i="1" s="1"/>
  <c r="G180" i="9"/>
  <c r="G206" i="9" s="1"/>
  <c r="G132" i="6"/>
  <c r="G158" i="6" s="1"/>
  <c r="E141" i="4"/>
  <c r="E161" i="4" s="1"/>
  <c r="E162" i="4" s="1"/>
  <c r="E163" i="4" s="1"/>
  <c r="E189" i="4" s="1"/>
  <c r="G161" i="4"/>
  <c r="G162" i="4" s="1"/>
  <c r="G163" i="4" s="1"/>
  <c r="G189" i="4" s="1"/>
  <c r="D124" i="17"/>
  <c r="D150" i="17" s="1"/>
  <c r="D136" i="15"/>
  <c r="D162" i="15" s="1"/>
  <c r="E116" i="1"/>
  <c r="E136" i="1" s="1"/>
  <c r="E137" i="1" s="1"/>
  <c r="G136" i="1"/>
  <c r="G137" i="1" s="1"/>
  <c r="K30" i="5"/>
  <c r="P108" i="10"/>
  <c r="R17" i="11"/>
  <c r="E6" i="16" s="1"/>
  <c r="E142" i="19"/>
  <c r="E168" i="19" s="1"/>
  <c r="G136" i="15"/>
  <c r="G162" i="15" s="1"/>
  <c r="I34" i="7"/>
  <c r="I32" i="7" s="1"/>
  <c r="I31" i="7" s="1"/>
  <c r="I35" i="7" s="1"/>
  <c r="H30" i="2"/>
  <c r="N47" i="11"/>
  <c r="F5" i="10"/>
  <c r="C91" i="10"/>
  <c r="F91" i="10" s="1"/>
  <c r="C34" i="14"/>
  <c r="C32" i="14" s="1"/>
  <c r="C31" i="14" s="1"/>
  <c r="F43" i="26"/>
  <c r="F44" i="26" s="1"/>
  <c r="D38" i="26"/>
  <c r="D43" i="26" s="1"/>
  <c r="D44" i="26" s="1"/>
  <c r="AH66" i="26"/>
  <c r="AH107" i="26" s="1"/>
  <c r="F65" i="26"/>
  <c r="J62" i="10"/>
  <c r="H108" i="10"/>
  <c r="J34" i="11"/>
  <c r="D12" i="16" s="1"/>
  <c r="D10" i="16" s="1"/>
  <c r="H37" i="20"/>
  <c r="E17" i="16"/>
  <c r="N49" i="20"/>
  <c r="N46" i="8"/>
  <c r="K46" i="8"/>
  <c r="K46" i="37"/>
  <c r="N34" i="7"/>
  <c r="Q46" i="18"/>
  <c r="Q24" i="24"/>
  <c r="Q35" i="24" s="1"/>
  <c r="D24" i="24"/>
  <c r="D35" i="24" s="1"/>
  <c r="C107" i="26"/>
  <c r="T108" i="10"/>
  <c r="T91" i="10"/>
  <c r="V17" i="23"/>
  <c r="S60" i="11"/>
  <c r="J10" i="11"/>
  <c r="D5" i="16" s="1"/>
  <c r="G4" i="11"/>
  <c r="G60" i="11" s="1"/>
  <c r="F46" i="11"/>
  <c r="P4" i="11"/>
  <c r="N10" i="11"/>
  <c r="F10" i="11"/>
  <c r="C5" i="16" s="1"/>
  <c r="J46" i="11"/>
  <c r="Q45" i="11"/>
  <c r="Q60" i="11"/>
  <c r="N46" i="11"/>
  <c r="S45" i="11"/>
  <c r="N37" i="20"/>
  <c r="K35" i="20"/>
  <c r="G38" i="20"/>
  <c r="E34" i="18"/>
  <c r="H46" i="5"/>
  <c r="H74" i="26"/>
  <c r="H107" i="26" s="1"/>
  <c r="N46" i="5"/>
  <c r="H46" i="37"/>
  <c r="Q46" i="8"/>
  <c r="O4" i="11"/>
  <c r="P91" i="10"/>
  <c r="R5" i="10"/>
  <c r="O91" i="10"/>
  <c r="O108" i="10"/>
  <c r="E34" i="5"/>
  <c r="Q46" i="5"/>
  <c r="N46" i="7"/>
  <c r="C31" i="5"/>
  <c r="E32" i="5"/>
  <c r="Q34" i="18"/>
  <c r="O32" i="18"/>
  <c r="E32" i="18"/>
  <c r="C31" i="18"/>
  <c r="C32" i="2"/>
  <c r="E34" i="2"/>
  <c r="E46" i="7"/>
  <c r="C34" i="7"/>
  <c r="D34" i="14"/>
  <c r="E46" i="14"/>
  <c r="Q34" i="8"/>
  <c r="O32" i="8"/>
  <c r="H34" i="5"/>
  <c r="F32" i="5"/>
  <c r="J34" i="2"/>
  <c r="K46" i="2"/>
  <c r="Q46" i="14"/>
  <c r="O34" i="14"/>
  <c r="O32" i="5"/>
  <c r="Q34" i="5"/>
  <c r="H46" i="18"/>
  <c r="Q46" i="7"/>
  <c r="O34" i="7"/>
  <c r="N32" i="8"/>
  <c r="F34" i="2"/>
  <c r="H46" i="2"/>
  <c r="H46" i="14"/>
  <c r="F34" i="14"/>
  <c r="I35" i="2"/>
  <c r="J32" i="8"/>
  <c r="F34" i="7"/>
  <c r="H46" i="7"/>
  <c r="Q46" i="2"/>
  <c r="O34" i="2"/>
  <c r="J32" i="5"/>
  <c r="K34" i="5"/>
  <c r="J34" i="7"/>
  <c r="K46" i="7"/>
  <c r="I35" i="5"/>
  <c r="O32" i="37"/>
  <c r="Q34" i="37"/>
  <c r="M32" i="5"/>
  <c r="N34" i="5"/>
  <c r="K34" i="18"/>
  <c r="I32" i="18"/>
  <c r="O34" i="12"/>
  <c r="Q46" i="12"/>
  <c r="L32" i="12"/>
  <c r="N29" i="24"/>
  <c r="F17" i="23"/>
  <c r="E12" i="23"/>
  <c r="E9" i="24" s="1"/>
  <c r="N32" i="7"/>
  <c r="L31" i="7"/>
  <c r="L31" i="8"/>
  <c r="N31" i="8" s="1"/>
  <c r="N34" i="8"/>
  <c r="T9" i="24"/>
  <c r="T7" i="23"/>
  <c r="O30" i="23"/>
  <c r="O44" i="23" s="1"/>
  <c r="L9" i="24"/>
  <c r="L7" i="23"/>
  <c r="D30" i="23"/>
  <c r="D44" i="23" s="1"/>
  <c r="L31" i="18"/>
  <c r="N21" i="23"/>
  <c r="K15" i="24"/>
  <c r="N15" i="24" s="1"/>
  <c r="J21" i="23"/>
  <c r="J16" i="24"/>
  <c r="J11" i="16" s="1"/>
  <c r="J10" i="16" s="1"/>
  <c r="G15" i="24"/>
  <c r="J15" i="24" s="1"/>
  <c r="C30" i="23"/>
  <c r="U25" i="24"/>
  <c r="V25" i="24" s="1"/>
  <c r="V26" i="24"/>
  <c r="M25" i="24"/>
  <c r="N25" i="24" s="1"/>
  <c r="N26" i="24"/>
  <c r="I25" i="24"/>
  <c r="J26" i="24"/>
  <c r="J18" i="16" s="1"/>
  <c r="F18" i="24"/>
  <c r="I13" i="16" s="1"/>
  <c r="I10" i="16" s="1"/>
  <c r="C15" i="24"/>
  <c r="F15" i="24" s="1"/>
  <c r="R49" i="20"/>
  <c r="Q35" i="20"/>
  <c r="R37" i="20"/>
  <c r="N31" i="37"/>
  <c r="K34" i="8" l="1"/>
  <c r="R29" i="11"/>
  <c r="J17" i="16"/>
  <c r="F3" i="16"/>
  <c r="F15" i="16" s="1"/>
  <c r="F25" i="16" s="1"/>
  <c r="K17" i="16"/>
  <c r="L18" i="16"/>
  <c r="L17" i="16" s="1"/>
  <c r="P24" i="24"/>
  <c r="P35" i="24" s="1"/>
  <c r="H46" i="12"/>
  <c r="J91" i="10"/>
  <c r="T45" i="11"/>
  <c r="V91" i="10"/>
  <c r="J5" i="30"/>
  <c r="J4" i="30" s="1"/>
  <c r="N32" i="37"/>
  <c r="N34" i="37"/>
  <c r="H34" i="37"/>
  <c r="H34" i="8"/>
  <c r="I32" i="37"/>
  <c r="K32" i="37" s="1"/>
  <c r="K46" i="12"/>
  <c r="I60" i="11"/>
  <c r="O60" i="11"/>
  <c r="D14" i="16"/>
  <c r="D60" i="11"/>
  <c r="F60" i="11" s="1"/>
  <c r="F35" i="20"/>
  <c r="F37" i="20"/>
  <c r="F32" i="18"/>
  <c r="F31" i="18" s="1"/>
  <c r="N32" i="18"/>
  <c r="N34" i="18"/>
  <c r="N32" i="14"/>
  <c r="I32" i="14"/>
  <c r="K32" i="14" s="1"/>
  <c r="N34" i="14"/>
  <c r="K4" i="11"/>
  <c r="K60" i="11" s="1"/>
  <c r="N60" i="11" s="1"/>
  <c r="L45" i="11"/>
  <c r="T60" i="11"/>
  <c r="E45" i="11"/>
  <c r="H45" i="11"/>
  <c r="D45" i="11"/>
  <c r="H60" i="11"/>
  <c r="C45" i="11"/>
  <c r="C3" i="16"/>
  <c r="C15" i="16" s="1"/>
  <c r="C25" i="16" s="1"/>
  <c r="E3" i="16"/>
  <c r="E15" i="16" s="1"/>
  <c r="E25" i="16" s="1"/>
  <c r="F4" i="11"/>
  <c r="F108" i="10"/>
  <c r="V108" i="10"/>
  <c r="V111" i="10" s="1"/>
  <c r="V113" i="10" s="1"/>
  <c r="V4" i="11"/>
  <c r="P30" i="23"/>
  <c r="P44" i="23" s="1"/>
  <c r="R91" i="10"/>
  <c r="E138" i="1"/>
  <c r="E164" i="1" s="1"/>
  <c r="V33" i="20"/>
  <c r="S37" i="20"/>
  <c r="E34" i="12"/>
  <c r="U45" i="11"/>
  <c r="U60" i="11"/>
  <c r="K91" i="10"/>
  <c r="N91" i="10" s="1"/>
  <c r="N5" i="10"/>
  <c r="K108" i="10"/>
  <c r="N108" i="10" s="1"/>
  <c r="C31" i="37"/>
  <c r="E32" i="37"/>
  <c r="E34" i="37"/>
  <c r="R108" i="10"/>
  <c r="G12" i="23"/>
  <c r="J17" i="23"/>
  <c r="H30" i="23"/>
  <c r="H44" i="23" s="1"/>
  <c r="P60" i="11"/>
  <c r="D3" i="16"/>
  <c r="D15" i="16" s="1"/>
  <c r="D25" i="16" s="1"/>
  <c r="P45" i="11"/>
  <c r="F66" i="26"/>
  <c r="F107" i="26" s="1"/>
  <c r="D65" i="26"/>
  <c r="D66" i="26" s="1"/>
  <c r="D107" i="26" s="1"/>
  <c r="C32" i="8"/>
  <c r="E34" i="8"/>
  <c r="G138" i="1"/>
  <c r="G164" i="1" s="1"/>
  <c r="N17" i="23"/>
  <c r="K12" i="23"/>
  <c r="J108" i="10"/>
  <c r="H35" i="20"/>
  <c r="J37" i="20"/>
  <c r="N34" i="12"/>
  <c r="C31" i="12"/>
  <c r="L35" i="8"/>
  <c r="N35" i="8" s="1"/>
  <c r="J14" i="16"/>
  <c r="C14" i="16"/>
  <c r="I14" i="16"/>
  <c r="G45" i="11"/>
  <c r="J4" i="11"/>
  <c r="K34" i="20"/>
  <c r="N35" i="20"/>
  <c r="C38" i="20"/>
  <c r="F38" i="20" s="1"/>
  <c r="F34" i="20"/>
  <c r="O45" i="11"/>
  <c r="R4" i="11"/>
  <c r="Q34" i="7"/>
  <c r="O32" i="7"/>
  <c r="O31" i="5"/>
  <c r="Q32" i="5"/>
  <c r="J32" i="2"/>
  <c r="K34" i="2"/>
  <c r="C35" i="18"/>
  <c r="E35" i="18" s="1"/>
  <c r="E31" i="18"/>
  <c r="C35" i="5"/>
  <c r="E35" i="5" s="1"/>
  <c r="E31" i="5"/>
  <c r="J32" i="7"/>
  <c r="K34" i="7"/>
  <c r="J31" i="8"/>
  <c r="K32" i="8"/>
  <c r="O31" i="8"/>
  <c r="Q32" i="8"/>
  <c r="E32" i="2"/>
  <c r="C31" i="2"/>
  <c r="I31" i="18"/>
  <c r="K32" i="18"/>
  <c r="H32" i="8"/>
  <c r="F31" i="8"/>
  <c r="J31" i="5"/>
  <c r="K32" i="5"/>
  <c r="H34" i="7"/>
  <c r="F32" i="7"/>
  <c r="H34" i="2"/>
  <c r="F32" i="2"/>
  <c r="H32" i="5"/>
  <c r="F31" i="5"/>
  <c r="F31" i="37"/>
  <c r="H32" i="37"/>
  <c r="O32" i="14"/>
  <c r="Q34" i="14"/>
  <c r="C32" i="7"/>
  <c r="E34" i="7"/>
  <c r="M31" i="5"/>
  <c r="N32" i="5"/>
  <c r="Q32" i="37"/>
  <c r="O31" i="37"/>
  <c r="O32" i="2"/>
  <c r="Q34" i="2"/>
  <c r="H34" i="14"/>
  <c r="F32" i="14"/>
  <c r="C35" i="14"/>
  <c r="D32" i="14"/>
  <c r="E34" i="14"/>
  <c r="O31" i="18"/>
  <c r="Q32" i="18"/>
  <c r="I32" i="12"/>
  <c r="K34" i="12"/>
  <c r="O32" i="12"/>
  <c r="Q34" i="12"/>
  <c r="H34" i="12"/>
  <c r="E7" i="23"/>
  <c r="F12" i="23"/>
  <c r="N31" i="7"/>
  <c r="L35" i="7"/>
  <c r="N35" i="7" s="1"/>
  <c r="M35" i="14"/>
  <c r="N35" i="14" s="1"/>
  <c r="N31" i="14"/>
  <c r="T4" i="24"/>
  <c r="L30" i="23"/>
  <c r="L4" i="24"/>
  <c r="L35" i="18"/>
  <c r="N35" i="18" s="1"/>
  <c r="N31" i="18"/>
  <c r="J25" i="24"/>
  <c r="M35" i="24"/>
  <c r="U35" i="24"/>
  <c r="C44" i="23"/>
  <c r="C24" i="24"/>
  <c r="L31" i="12"/>
  <c r="N32" i="12"/>
  <c r="Q34" i="20"/>
  <c r="R35" i="20"/>
  <c r="V45" i="11" l="1"/>
  <c r="R60" i="11"/>
  <c r="F16" i="30"/>
  <c r="I31" i="37"/>
  <c r="I35" i="37" s="1"/>
  <c r="K35" i="37" s="1"/>
  <c r="J60" i="11"/>
  <c r="I31" i="14"/>
  <c r="K31" i="14" s="1"/>
  <c r="H32" i="18"/>
  <c r="K45" i="11"/>
  <c r="N45" i="11" s="1"/>
  <c r="N4" i="11"/>
  <c r="V60" i="11"/>
  <c r="F45" i="11"/>
  <c r="J45" i="11"/>
  <c r="R30" i="23"/>
  <c r="J110" i="10"/>
  <c r="S35" i="20"/>
  <c r="V37" i="20"/>
  <c r="G9" i="24"/>
  <c r="J12" i="23"/>
  <c r="G7" i="23"/>
  <c r="C35" i="37"/>
  <c r="E35" i="37" s="1"/>
  <c r="E31" i="37"/>
  <c r="R45" i="11"/>
  <c r="H34" i="20"/>
  <c r="J35" i="20"/>
  <c r="K9" i="24"/>
  <c r="K7" i="23"/>
  <c r="N12" i="23"/>
  <c r="E32" i="8"/>
  <c r="C31" i="8"/>
  <c r="E32" i="12"/>
  <c r="N34" i="20"/>
  <c r="K38" i="20"/>
  <c r="N38" i="20" s="1"/>
  <c r="M38" i="23"/>
  <c r="H32" i="14"/>
  <c r="F31" i="14"/>
  <c r="E32" i="7"/>
  <c r="C31" i="7"/>
  <c r="F35" i="5"/>
  <c r="H35" i="5" s="1"/>
  <c r="H31" i="5"/>
  <c r="F31" i="2"/>
  <c r="H32" i="2"/>
  <c r="E31" i="2"/>
  <c r="C35" i="2"/>
  <c r="E35" i="2" s="1"/>
  <c r="D31" i="14"/>
  <c r="E32" i="14"/>
  <c r="J35" i="5"/>
  <c r="K35" i="5" s="1"/>
  <c r="K31" i="5"/>
  <c r="I35" i="18"/>
  <c r="K35" i="18" s="1"/>
  <c r="K31" i="18"/>
  <c r="J35" i="8"/>
  <c r="K35" i="8" s="1"/>
  <c r="K31" i="8"/>
  <c r="J31" i="7"/>
  <c r="K32" i="7"/>
  <c r="Q31" i="5"/>
  <c r="O35" i="5"/>
  <c r="Q35" i="5" s="1"/>
  <c r="O35" i="37"/>
  <c r="Q35" i="37" s="1"/>
  <c r="Q31" i="37"/>
  <c r="M35" i="5"/>
  <c r="N35" i="5" s="1"/>
  <c r="N31" i="5"/>
  <c r="Q32" i="14"/>
  <c r="O31" i="14"/>
  <c r="H32" i="7"/>
  <c r="F31" i="7"/>
  <c r="F35" i="8"/>
  <c r="H35" i="8" s="1"/>
  <c r="H31" i="8"/>
  <c r="O31" i="7"/>
  <c r="Q32" i="7"/>
  <c r="O35" i="18"/>
  <c r="Q35" i="18" s="1"/>
  <c r="Q31" i="18"/>
  <c r="Q32" i="2"/>
  <c r="O31" i="2"/>
  <c r="F35" i="37"/>
  <c r="H35" i="37" s="1"/>
  <c r="H31" i="37"/>
  <c r="Q31" i="8"/>
  <c r="O35" i="8"/>
  <c r="Q35" i="8" s="1"/>
  <c r="F35" i="18"/>
  <c r="H35" i="18" s="1"/>
  <c r="H31" i="18"/>
  <c r="J31" i="2"/>
  <c r="K32" i="2"/>
  <c r="Q32" i="12"/>
  <c r="O31" i="12"/>
  <c r="F31" i="12"/>
  <c r="H32" i="12"/>
  <c r="E31" i="12"/>
  <c r="C35" i="12"/>
  <c r="E35" i="12" s="1"/>
  <c r="I31" i="12"/>
  <c r="K32" i="12"/>
  <c r="E30" i="23"/>
  <c r="F7" i="23"/>
  <c r="E4" i="24"/>
  <c r="F9" i="24"/>
  <c r="I8" i="16" s="1"/>
  <c r="I3" i="16" s="1"/>
  <c r="L44" i="23"/>
  <c r="L24" i="24"/>
  <c r="L35" i="24" s="1"/>
  <c r="C35" i="24"/>
  <c r="N31" i="12"/>
  <c r="L35" i="12"/>
  <c r="N35" i="12" s="1"/>
  <c r="Q38" i="20"/>
  <c r="R38" i="20" s="1"/>
  <c r="R34" i="20"/>
  <c r="Q204" i="25" l="1"/>
  <c r="Q203" i="25" s="1"/>
  <c r="K31" i="37"/>
  <c r="N16" i="30"/>
  <c r="N5" i="30" s="1"/>
  <c r="N4" i="30" s="1"/>
  <c r="I38" i="23"/>
  <c r="J38" i="23" s="1"/>
  <c r="I8" i="23"/>
  <c r="I5" i="24" s="1"/>
  <c r="F5" i="30"/>
  <c r="F4" i="30" s="1"/>
  <c r="I35" i="14"/>
  <c r="K35" i="14" s="1"/>
  <c r="V35" i="20"/>
  <c r="S34" i="20"/>
  <c r="G30" i="23"/>
  <c r="G4" i="24"/>
  <c r="J9" i="24"/>
  <c r="J8" i="16" s="1"/>
  <c r="H38" i="20"/>
  <c r="J38" i="20" s="1"/>
  <c r="J34" i="20"/>
  <c r="K30" i="23"/>
  <c r="N7" i="23"/>
  <c r="C35" i="8"/>
  <c r="E35" i="8" s="1"/>
  <c r="E31" i="8"/>
  <c r="K4" i="24"/>
  <c r="N9" i="24"/>
  <c r="E38" i="23"/>
  <c r="F38" i="23" s="1"/>
  <c r="C9" i="16"/>
  <c r="I15" i="16"/>
  <c r="I25" i="16" s="1"/>
  <c r="I9" i="16"/>
  <c r="Q31" i="14"/>
  <c r="O35" i="14"/>
  <c r="Q35" i="14" s="1"/>
  <c r="D35" i="14"/>
  <c r="E35" i="14" s="1"/>
  <c r="E31" i="14"/>
  <c r="H31" i="2"/>
  <c r="F35" i="2"/>
  <c r="H35" i="2" s="1"/>
  <c r="Q31" i="2"/>
  <c r="O35" i="2"/>
  <c r="Q35" i="2" s="1"/>
  <c r="F35" i="7"/>
  <c r="H35" i="7" s="1"/>
  <c r="H31" i="7"/>
  <c r="J35" i="7"/>
  <c r="K35" i="7" s="1"/>
  <c r="K31" i="7"/>
  <c r="J35" i="2"/>
  <c r="K35" i="2" s="1"/>
  <c r="K31" i="2"/>
  <c r="O35" i="7"/>
  <c r="Q35" i="7" s="1"/>
  <c r="Q31" i="7"/>
  <c r="C35" i="7"/>
  <c r="E35" i="7" s="1"/>
  <c r="E31" i="7"/>
  <c r="H31" i="14"/>
  <c r="F35" i="14"/>
  <c r="H35" i="14" s="1"/>
  <c r="F35" i="12"/>
  <c r="H35" i="12" s="1"/>
  <c r="H31" i="12"/>
  <c r="N38" i="23"/>
  <c r="M32" i="23"/>
  <c r="Q31" i="12"/>
  <c r="O35" i="12"/>
  <c r="Q35" i="12" s="1"/>
  <c r="K31" i="12"/>
  <c r="I35" i="12"/>
  <c r="K35" i="12" s="1"/>
  <c r="E24" i="24"/>
  <c r="F24" i="24" s="1"/>
  <c r="F4" i="24"/>
  <c r="F30" i="23"/>
  <c r="Q5" i="25" l="1"/>
  <c r="Q220" i="25"/>
  <c r="Q221" i="25" s="1"/>
  <c r="U38" i="23"/>
  <c r="V38" i="23" s="1"/>
  <c r="I32" i="23"/>
  <c r="J32" i="23" s="1"/>
  <c r="I7" i="23"/>
  <c r="J8" i="23"/>
  <c r="S38" i="20"/>
  <c r="V38" i="20" s="1"/>
  <c r="V34" i="20"/>
  <c r="G24" i="24"/>
  <c r="G44" i="23"/>
  <c r="E32" i="23"/>
  <c r="E31" i="23" s="1"/>
  <c r="F31" i="23" s="1"/>
  <c r="K24" i="24"/>
  <c r="N4" i="24"/>
  <c r="K44" i="23"/>
  <c r="N30" i="23"/>
  <c r="C16" i="16"/>
  <c r="I16" i="16"/>
  <c r="M31" i="23"/>
  <c r="N32" i="23"/>
  <c r="E35" i="24"/>
  <c r="F35" i="24" s="1"/>
  <c r="U32" i="23" l="1"/>
  <c r="U31" i="23" s="1"/>
  <c r="U44" i="23" s="1"/>
  <c r="I30" i="23"/>
  <c r="J30" i="23" s="1"/>
  <c r="J7" i="23"/>
  <c r="I31" i="23"/>
  <c r="J31" i="23" s="1"/>
  <c r="I4" i="24"/>
  <c r="J5" i="24"/>
  <c r="J4" i="16" s="1"/>
  <c r="J3" i="16" s="1"/>
  <c r="F32" i="23"/>
  <c r="G35" i="24"/>
  <c r="E44" i="23"/>
  <c r="F44" i="23" s="1"/>
  <c r="K35" i="24"/>
  <c r="N35" i="24" s="1"/>
  <c r="N24" i="24"/>
  <c r="M44" i="23"/>
  <c r="N44" i="23" s="1"/>
  <c r="N31" i="23"/>
  <c r="V32" i="23" l="1"/>
  <c r="V31" i="23"/>
  <c r="I44" i="23"/>
  <c r="J44" i="23" s="1"/>
  <c r="J9" i="16"/>
  <c r="J15" i="16"/>
  <c r="J25" i="16" s="1"/>
  <c r="D9" i="16"/>
  <c r="I24" i="24"/>
  <c r="J4" i="24"/>
  <c r="D16" i="16" l="1"/>
  <c r="J16" i="16"/>
  <c r="I35" i="24"/>
  <c r="J35" i="24" s="1"/>
  <c r="J24" i="24"/>
  <c r="L43" i="37" l="1"/>
  <c r="L42" i="37" l="1"/>
  <c r="N42" i="37" s="1"/>
  <c r="N43" i="37"/>
  <c r="R40" i="30"/>
  <c r="L39" i="37" l="1"/>
  <c r="R39" i="30" l="1"/>
  <c r="L36" i="37"/>
  <c r="N39" i="37"/>
  <c r="L46" i="37" l="1"/>
  <c r="N46" i="37" s="1"/>
  <c r="N36" i="37"/>
  <c r="L43" i="2" l="1"/>
  <c r="L42" i="2" l="1"/>
  <c r="N42" i="2" s="1"/>
  <c r="N43" i="2"/>
  <c r="O16" i="24"/>
  <c r="O15" i="24" l="1"/>
  <c r="R15" i="24" s="1"/>
  <c r="R16" i="24"/>
  <c r="K11" i="16" s="1"/>
  <c r="K10" i="16" s="1"/>
  <c r="R30" i="30"/>
  <c r="E14" i="16" l="1"/>
  <c r="K14" i="16"/>
  <c r="L39" i="2"/>
  <c r="N39" i="2" s="1"/>
  <c r="R31" i="30"/>
  <c r="R5" i="30" s="1"/>
  <c r="R4" i="30" s="1"/>
  <c r="O7" i="24" l="1"/>
  <c r="O4" i="24" s="1"/>
  <c r="L36" i="2"/>
  <c r="N36" i="2" s="1"/>
  <c r="L46" i="2" l="1"/>
  <c r="R7" i="24"/>
  <c r="K6" i="16" s="1"/>
  <c r="K3" i="16" s="1"/>
  <c r="K9" i="16" s="1"/>
  <c r="O24" i="24"/>
  <c r="R4" i="24"/>
  <c r="N46" i="2"/>
  <c r="K15" i="16" l="1"/>
  <c r="K25" i="16" s="1"/>
  <c r="E9" i="16"/>
  <c r="K16" i="16" s="1"/>
  <c r="L32" i="2"/>
  <c r="N34" i="2"/>
  <c r="R24" i="24"/>
  <c r="O35" i="24"/>
  <c r="R35" i="24" s="1"/>
  <c r="E16" i="16" l="1"/>
  <c r="Q38" i="23"/>
  <c r="N32" i="2"/>
  <c r="L31" i="2"/>
  <c r="N31" i="2" l="1"/>
  <c r="L35" i="2"/>
  <c r="N35" i="2" s="1"/>
  <c r="Q32" i="23"/>
  <c r="R38" i="23"/>
  <c r="Q31" i="23" l="1"/>
  <c r="R32" i="23"/>
  <c r="Q44" i="23" l="1"/>
  <c r="R44" i="23" s="1"/>
  <c r="R31" i="23"/>
  <c r="T23" i="23" l="1"/>
  <c r="V73" i="30" l="1"/>
  <c r="V41" i="30" s="1"/>
  <c r="T17" i="24"/>
  <c r="V23" i="23"/>
  <c r="T21" i="23"/>
  <c r="T30" i="23" s="1"/>
  <c r="T44" i="23" s="1"/>
  <c r="V17" i="24" l="1"/>
  <c r="L12" i="16" s="1"/>
  <c r="T15" i="24"/>
  <c r="T24" i="24" s="1"/>
  <c r="T35" i="24" s="1"/>
  <c r="S13" i="23" l="1"/>
  <c r="V13" i="23" l="1"/>
  <c r="S12" i="23"/>
  <c r="V16" i="30" l="1"/>
  <c r="S9" i="24"/>
  <c r="V9" i="24" s="1"/>
  <c r="L8" i="16" s="1"/>
  <c r="V12" i="23"/>
  <c r="V14" i="30" l="1"/>
  <c r="S29" i="23"/>
  <c r="V15" i="30"/>
  <c r="V11" i="30"/>
  <c r="V13" i="30"/>
  <c r="V21" i="30" l="1"/>
  <c r="S24" i="23"/>
  <c r="S18" i="24" s="1"/>
  <c r="V29" i="23"/>
  <c r="V10" i="30"/>
  <c r="V9" i="30" l="1"/>
  <c r="V18" i="24"/>
  <c r="L13" i="16" s="1"/>
  <c r="V24" i="23"/>
  <c r="V18" i="30"/>
  <c r="V25" i="30" l="1"/>
  <c r="S8" i="23" l="1"/>
  <c r="S9" i="23"/>
  <c r="S22" i="23"/>
  <c r="V22" i="23" s="1"/>
  <c r="V7" i="30"/>
  <c r="S6" i="24" l="1"/>
  <c r="V6" i="24" s="1"/>
  <c r="L5" i="16" s="1"/>
  <c r="V9" i="23"/>
  <c r="S5" i="24"/>
  <c r="V5" i="24" s="1"/>
  <c r="L4" i="16" s="1"/>
  <c r="V8" i="23"/>
  <c r="V8" i="30"/>
  <c r="S21" i="23"/>
  <c r="V21" i="23" s="1"/>
  <c r="S16" i="24"/>
  <c r="S15" i="24" l="1"/>
  <c r="V15" i="24" s="1"/>
  <c r="V16" i="24"/>
  <c r="L11" i="16" s="1"/>
  <c r="L10" i="16" s="1"/>
  <c r="L14" i="16" l="1"/>
  <c r="B7" i="22" s="1"/>
  <c r="F14" i="16"/>
  <c r="B6" i="22" s="1"/>
  <c r="V6" i="30" l="1"/>
  <c r="V46" i="23"/>
  <c r="V10" i="23"/>
  <c r="S7" i="24"/>
  <c r="S7" i="23"/>
  <c r="V7" i="23" s="1"/>
  <c r="V5" i="30" l="1"/>
  <c r="V4" i="30" s="1"/>
  <c r="S30" i="23"/>
  <c r="V30" i="23" s="1"/>
  <c r="V7" i="24"/>
  <c r="L6" i="16" s="1"/>
  <c r="L3" i="16" s="1"/>
  <c r="S4" i="24"/>
  <c r="L9" i="16" l="1"/>
  <c r="F9" i="16"/>
  <c r="B2" i="22" s="1"/>
  <c r="B3" i="22" s="1"/>
  <c r="L15" i="16"/>
  <c r="L25" i="16" s="1"/>
  <c r="V4" i="24"/>
  <c r="S24" i="24"/>
  <c r="S44" i="23"/>
  <c r="V44" i="23" l="1"/>
  <c r="V47" i="23" s="1"/>
  <c r="V24" i="24"/>
  <c r="S35" i="24"/>
  <c r="V35" i="24" s="1"/>
  <c r="B21" i="22"/>
  <c r="F23" i="22" s="1"/>
  <c r="B20" i="22"/>
  <c r="F16" i="16"/>
  <c r="B9" i="22" s="1"/>
  <c r="L16" i="16"/>
  <c r="B10" i="22" s="1"/>
  <c r="B4" i="22"/>
  <c r="AH59" i="30"/>
  <c r="AH41" i="30" s="1"/>
  <c r="AH4" i="30" s="1"/>
  <c r="Z72" i="25"/>
  <c r="Z5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A2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Kiss Pisti kérésére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T20" authorId="0" shapeId="0" xr:uid="{65F71B73-AD81-4A13-82FF-CFE262A6E074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X20" authorId="0" shapeId="0" xr:uid="{BB520912-6863-448C-84AF-13EEDBE941C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AB20" authorId="0" shapeId="0" xr:uid="{14AF8DB1-039F-4C52-89AA-BBCB7FCFB529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AF20" authorId="0" shapeId="0" xr:uid="{C9D00A18-6ABA-4D46-86F9-7B91E0965CDC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B23" authorId="0" shapeId="0" xr:uid="{E240DFA7-B414-4ECE-880F-83123403C56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C23" authorId="0" shapeId="0" xr:uid="{8BBCDE65-AAED-4A2B-9977-CF44194CA13B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D23" authorId="0" shapeId="0" xr:uid="{D3D8BAB5-1177-45FA-B000-67E47887E5EE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B32" authorId="0" shapeId="0" xr:uid="{00000000-0006-0000-0A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SOLVEX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7" authorId="0" shapeId="0" xr:uid="{00000000-0006-0000-19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honlap projekt 100 E Ft.</t>
        </r>
      </text>
    </comment>
    <comment ref="G95" authorId="0" shapeId="0" xr:uid="{00000000-0006-0000-19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Human T. ép.üzemeltetés 762E Ft, lift karbantartás 114E Ft (rendelk állás), lift nagyjavítása, 200E egyéb javítási munkákra</t>
        </r>
      </text>
    </comment>
    <comment ref="G102" authorId="0" shapeId="0" xr:uid="{00000000-0006-0000-19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Rácz Judit tiszteletdíja 40000 Ft</t>
        </r>
      </text>
    </comment>
    <comment ref="G106" authorId="0" shapeId="0" xr:uid="{00000000-0006-0000-19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Volf György verseny buszktg</t>
        </r>
      </text>
    </comment>
    <comment ref="G147" authorId="0" shapeId="0" xr:uid="{00000000-0006-0000-19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Laptop nettó 200 ezer</t>
        </r>
      </text>
    </comment>
    <comment ref="G148" authorId="0" shapeId="0" xr:uid="{00000000-0006-0000-19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szünetmentes akkumlátor csere</t>
        </r>
      </text>
    </comment>
    <comment ref="I152" authorId="0" shapeId="0" xr:uid="{00000000-0006-0000-19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könyvbeszerzésekre tekintettel 12% áfát számol átlagosan a képlet. Ne másold!!!!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7" authorId="0" shapeId="0" xr:uid="{635BEA6E-E7D2-4D8A-B7D9-9A7AFD1E401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15 mFt kertészetre, de még nincs szerződés
</t>
        </r>
      </text>
    </comment>
    <comment ref="C11" authorId="0" shapeId="0" xr:uid="{3459AA83-E9AA-4225-9C63-3A10BC293525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forgalomtechnika felülvizsgálata városi szinten</t>
        </r>
      </text>
    </comment>
    <comment ref="C12" authorId="0" shapeId="0" xr:uid="{8A533227-E66C-47A6-ACF4-88CE7BBAB5D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szomor és tsa - a szerződés él, de nem fizetünk, egyezségre várunk</t>
        </r>
      </text>
    </comment>
    <comment ref="C14" authorId="0" shapeId="0" xr:uid="{5DE5EDB5-1426-4366-AE80-D51EF798D3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L.N.Éva szerint tervezésre kel 4.000 eFt
20 milliót áttettünk az útalapból</t>
        </r>
      </text>
    </comment>
    <comment ref="C41" authorId="0" shapeId="0" xr:uid="{04E711FD-B729-425C-9C8E-35069D17EAFF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nincs szerződés</t>
        </r>
      </text>
    </comment>
    <comment ref="C45" authorId="0" shapeId="0" xr:uid="{3E177804-6FD5-4C0A-A726-7E319DC259A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Walla óvi előtti parkoló</t>
        </r>
      </text>
    </comment>
    <comment ref="C51" authorId="0" shapeId="0" xr:uid="{34BC19F2-A558-4138-BE7A-2448739B6FF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argon-geo tervezési díja
</t>
        </r>
      </text>
    </comment>
    <comment ref="C72" authorId="0" shapeId="0" xr:uid="{0010AF56-0DB4-44E9-B6F5-B3199DC9277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Annahegy vízelvezetés tervezése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41" authorId="0" shapeId="0" xr:uid="{F20839D4-D3EA-4C13-86C0-DF7857FDCF61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  <comment ref="G41" authorId="0" shapeId="0" xr:uid="{23FCE247-7699-4F43-A894-E0B87296A1F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R2" authorId="0" shapeId="0" xr:uid="{00000000-0006-0000-1F00-000001000000}">
      <text>
        <r>
          <rPr>
            <b/>
            <sz val="8"/>
            <color indexed="81"/>
            <rFont val="Tahoma"/>
            <family val="2"/>
            <charset val="238"/>
          </rPr>
          <t>lantoso:
Klári táblája alapján + 1 000 e ft Ács Ildikó szabi plusz bér</t>
        </r>
      </text>
    </comment>
    <comment ref="Q8" authorId="0" shapeId="0" xr:uid="{00000000-0006-0000-1F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Kajajegy</t>
        </r>
      </text>
    </comment>
    <comment ref="R8" authorId="0" shapeId="0" xr:uid="{00000000-0006-0000-1F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 fő * 8000 Ft/hó/fő * 12 hó</t>
        </r>
      </text>
    </comment>
    <comment ref="DT14" authorId="0" shapeId="0" xr:uid="{00000000-0006-0000-1F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E/178/2014 szerződés, éves keret, ha megmarad (időarányosan szeptemberig 15543000 lenne.</t>
        </r>
      </text>
    </comment>
    <comment ref="AF15" authorId="0" shapeId="0" xr:uid="{00000000-0006-0000-1F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Képviselők 23776
Bizottsági tagok 6660
Pm, apm ktgtér 1696
pm illetmény 6282
apm illetmény 5767</t>
        </r>
      </text>
    </comment>
    <comment ref="Q17" authorId="0" shapeId="0" xr:uid="{00000000-0006-0000-1F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repi</t>
        </r>
      </text>
    </comment>
    <comment ref="AT17" authorId="0" shapeId="0" xr:uid="{00000000-0006-0000-1F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Szociális tanulmányi 2 millió, egyéb tanulmányi 1,2 millió</t>
        </r>
      </text>
    </comment>
    <comment ref="DH17" authorId="0" shapeId="0" xr:uid="{00000000-0006-0000-1F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6 millió adóköteles juttatás keret + 2 millió szoc tanulmányi ösztöndíj</t>
        </r>
      </text>
    </comment>
    <comment ref="AT19" authorId="0" shapeId="0" xr:uid="{00000000-0006-0000-1F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Járulékmentes volt 2015. évben</t>
        </r>
      </text>
    </comment>
    <comment ref="R20" authorId="0" shapeId="0" xr:uid="{00000000-0006-0000-1F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 db Lang II sztereoteszt 53, 1 db színlátás vizsgáló teszt 41, 1 db mellvizsgálati modell 52 + 30 keret egyébre</t>
        </r>
      </text>
    </comment>
    <comment ref="AD21" authorId="0" shapeId="0" xr:uid="{00000000-0006-0000-1F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21" authorId="0" shapeId="0" xr:uid="{00000000-0006-0000-1F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Sztahó Csaba fapótlás áthúzódó</t>
        </r>
      </text>
    </comment>
    <comment ref="DN21" authorId="0" shapeId="0" xr:uid="{00000000-0006-0000-1F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Informális ülés döntése</t>
        </r>
      </text>
    </comment>
    <comment ref="L24" authorId="0" shapeId="0" xr:uid="{00000000-0006-0000-1F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Digitális alaptérkép frissítése</t>
        </r>
      </text>
    </comment>
    <comment ref="Q24" authorId="0" shapeId="0" xr:uid="{00000000-0006-0000-1F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Védőniői szoftver (Stefánia) 41 ezer/n. év *4 n.év = 164 ezer</t>
        </r>
      </text>
    </comment>
    <comment ref="R24" authorId="0" shapeId="0" xr:uid="{00000000-0006-0000-1F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Stefánia védőnői szoftver</t>
        </r>
      </text>
    </comment>
    <comment ref="O27" authorId="0" shapeId="0" xr:uid="{00000000-0006-0000-1F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</t>
        </r>
      </text>
    </comment>
    <comment ref="P27" authorId="0" shapeId="0" xr:uid="{00000000-0006-0000-1F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rezsije</t>
        </r>
      </text>
    </comment>
    <comment ref="P29" authorId="0" shapeId="0" xr:uid="{00000000-0006-0000-1F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Medicatus helyett Olajág bérleti díj 90000 Ft/hó, Víg patika nettó 73000 FT/hó</t>
        </r>
      </text>
    </comment>
    <comment ref="BK30" authorId="0" shapeId="0" xr:uid="{00000000-0006-0000-1F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ERANDO: karbantartás 298 ezer/negyedév, üzemeltetés 37 ezer/hó + karbantartási keret 500 ezer forint.</t>
        </r>
      </text>
    </comment>
    <comment ref="BL30" authorId="0" shapeId="0" xr:uid="{00000000-0006-0000-1F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 szerződések megszűntek, karbantartási keretet sem terveztünk jegyző asszonnyal egyeztetve</t>
        </r>
      </text>
    </comment>
    <comment ref="K32" authorId="0" shapeId="0" xr:uid="{00000000-0006-0000-1F00-00001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Csenger Zalán 6600, Kálnoki 1350, egyéb 200 ezer</t>
        </r>
      </text>
    </comment>
    <comment ref="L32" authorId="0" shapeId="0" xr:uid="{00000000-0006-0000-1F00-00001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nettó 550000 Ft/hó, egyéb szakértői díj 500000</t>
        </r>
      </text>
    </comment>
    <comment ref="P32" authorId="0" shapeId="0" xr:uid="{00000000-0006-0000-1F00-00001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Iskolaeü 1480, Europmed 14300</t>
        </r>
      </text>
    </comment>
    <comment ref="Q32" authorId="0" shapeId="0" xr:uid="{00000000-0006-0000-1F00-00001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R32" authorId="0" shapeId="0" xr:uid="{00000000-0006-0000-1F00-00001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AX32" authorId="0" shapeId="0" xr:uid="{00000000-0006-0000-1F00-00001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Sorsunk 8 fő *700 Ft/fő/nap * 365 nap és Lea 3 fő * 700 Ft/fő/nap *365 nap</t>
        </r>
      </text>
    </comment>
    <comment ref="AZ32" authorId="0" shapeId="0" xr:uid="{00000000-0006-0000-1F00-00001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Fészek 500000 Ft készenléti díj/év + 1 fh * 3000 Ft/fh/nap*365 nap</t>
        </r>
      </text>
    </comment>
    <comment ref="BD32" authorId="0" shapeId="0" xr:uid="{00000000-0006-0000-1F00-00001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Élő szerződés nincs!!!!</t>
        </r>
      </text>
    </comment>
    <comment ref="BF32" authorId="0" shapeId="0" xr:uid="{00000000-0006-0000-1F00-00001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120000 Ft/hó*12 hó, élő szerződés csak 2016.04.30-ig</t>
        </r>
      </text>
    </comment>
    <comment ref="BM32" authorId="0" shapeId="0" xr:uid="{00000000-0006-0000-1F00-00001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megállapított keret</t>
        </r>
      </text>
    </comment>
    <comment ref="DD32" authorId="0" shapeId="0" xr:uid="{00000000-0006-0000-1F00-00002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Újbudai Habilitációs Kp-tal szerződés E/170/2014. 2015.12.31-én lejár. 1 fő gondozása.</t>
        </r>
      </text>
    </comment>
    <comment ref="M33" authorId="0" shapeId="0" xr:uid="{00000000-0006-0000-1F00-00002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2015 évben BUXUS, PQS két hóra, 2015 márciustól Városgondnokságnál</t>
        </r>
      </text>
    </comment>
    <comment ref="N33" authorId="0" shapeId="0" xr:uid="{00000000-0006-0000-1F00-00002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Keretjellegű tétel, áthúzódók nincsenek mögötte!</t>
        </r>
      </text>
    </comment>
    <comment ref="Q33" authorId="0" shapeId="0" xr:uid="{00000000-0006-0000-1F00-00002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biztosítás, postaktg, egyéb üzemeltetési szolgáltatás kerete</t>
        </r>
      </text>
    </comment>
    <comment ref="Y33" authorId="0" shapeId="0" xr:uid="{00000000-0006-0000-1F00-00002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 nettó 788 (áfa nem képletes!)</t>
        </r>
      </text>
    </comment>
    <comment ref="Z33" authorId="0" shapeId="0" xr:uid="{00000000-0006-0000-1F00-00002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irtásra induló keret bruttó 1 millió, (áfa nem képletes!)</t>
        </r>
      </text>
    </comment>
    <comment ref="AA33" authorId="0" shapeId="0" xr:uid="{00000000-0006-0000-1F00-00002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 (VII.21) ÖK hat alapján Kerekdomb és környéke botanikus kert bruttó 3 millió = nettó 2362 e ft + veszélyes hulladék 1500 + áfa.</t>
        </r>
      </text>
    </comment>
    <comment ref="AB33" authorId="0" shapeId="0" xr:uid="{00000000-0006-0000-1F00-00002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250/2014. (VII.21.) ÖK hat. Botanikus kert 3 millió/év, A veszélyes hulladék elszállítását Városgondnokság tervezte 1,5 millió forinttal)</t>
        </r>
      </text>
    </comment>
    <comment ref="AD33" authorId="0" shapeId="0" xr:uid="{00000000-0006-0000-1F00-00002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BH33" authorId="0" shapeId="0" xr:uid="{00000000-0006-0000-1F00-00002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Boldog Gizella Alapítvány E/55/2013 tapasztalati adatok alapján becsült keret, 2008-ig visszamenőleg 2 millió volt a legnagyobb igénybevét (2010-ben)</t>
        </r>
      </text>
    </comment>
    <comment ref="BJ33" authorId="0" shapeId="0" xr:uid="{00000000-0006-0000-1F00-00002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Leopart, a szerződés lejár 2015.12.31</t>
        </r>
      </text>
    </comment>
    <comment ref="BO33" authorId="0" shapeId="0" xr:uid="{00000000-0006-0000-1F00-00002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visszavett keret</t>
        </r>
      </text>
    </comment>
    <comment ref="BP33" authorId="0" shapeId="0" xr:uid="{00000000-0006-0000-1F00-00002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nettó kiadások összetevői: 4724000 (bruttó 6m) helyi újság, havi 700000*12hó TV</t>
        </r>
      </text>
    </comment>
    <comment ref="CK38" authorId="0" shapeId="0" xr:uid="{00000000-0006-0000-1F00-00002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27150*0,27 = 7331</t>
        </r>
      </text>
    </comment>
    <comment ref="L42" authorId="0" shapeId="0" xr:uid="{00000000-0006-0000-1F00-00002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évközi tartaléka</t>
        </r>
      </text>
    </comment>
    <comment ref="X42" authorId="0" shapeId="0" xr:uid="{00000000-0006-0000-1F00-00002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Karbantartásra, vagy kis értékű beruházásra keret</t>
        </r>
      </text>
    </comment>
    <comment ref="AA42" authorId="0" shapeId="0" xr:uid="{00000000-0006-0000-1F00-00003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Duna-Vértes tagdíj</t>
        </r>
      </text>
    </comment>
    <comment ref="AD42" authorId="0" shapeId="0" xr:uid="{00000000-0006-0000-1F00-00003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42" authorId="0" shapeId="0" xr:uid="{00000000-0006-0000-1F00-00003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16 milliós keret energetikai projektek előkészítésére (testületi határozat alapján), záportározó működtetésére 2 millió keret, a 318/2015 (XII.10. ) ÖK hat. Alapján.</t>
        </r>
      </text>
    </comment>
    <comment ref="BP42" authorId="0" shapeId="0" xr:uid="{00000000-0006-0000-1F00-00003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Egyéb felmerülő kiadásokra keret</t>
        </r>
      </text>
    </comment>
    <comment ref="AI46" authorId="0" shapeId="0" xr:uid="{00000000-0006-0000-1F00-00003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 gyermekvédelmi tám 8500 e ft, egyéb (pl gyermekétk) 2500 e ft</t>
        </r>
      </text>
    </comment>
    <comment ref="DF46" authorId="0" shapeId="0" xr:uid="{00000000-0006-0000-1F00-00003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Étkezési tám 2500000</t>
        </r>
      </text>
    </comment>
    <comment ref="DE48" authorId="0" shapeId="0" xr:uid="{00000000-0006-0000-1F00-00003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megállapítású közgyógy, új néven gyógyszertám 5000</t>
        </r>
      </text>
    </comment>
    <comment ref="DF48" authorId="0" shapeId="0" xr:uid="{00000000-0006-0000-1F00-00003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Ápolási díj 6000000, gyógszertám 1500000</t>
        </r>
      </text>
    </comment>
    <comment ref="DE50" authorId="0" shapeId="0" xr:uid="{00000000-0006-0000-1F00-00003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Adósságkezelés 4004, tüzelőtám 5928, lakbértám 88</t>
        </r>
      </text>
    </comment>
    <comment ref="DF50" authorId="0" shapeId="0" xr:uid="{00000000-0006-0000-1F00-00003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 6840000 Adósságcsökk tám 2000000</t>
        </r>
      </text>
    </comment>
    <comment ref="AI52" authorId="0" shapeId="0" xr:uid="{00000000-0006-0000-1F00-00003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(korábbi r. gyerm.véd. Tám, átmeneti segély, temetési segély) 23000, köztemetés 1000</t>
        </r>
      </text>
    </comment>
    <comment ref="AJ52" authorId="0" shapeId="0" xr:uid="{00000000-0006-0000-1F00-00003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21 millió, köztemetés 1,6 millió</t>
        </r>
      </text>
    </comment>
    <comment ref="DE52" authorId="0" shapeId="0" xr:uid="{00000000-0006-0000-1F00-00003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támogatás 9000, adósságcsökkentési támogatás 4000, ápolási támogatás 12000 étkezési térítési támogatás 2000</t>
        </r>
      </text>
    </comment>
    <comment ref="BR59" authorId="0" shapeId="0" xr:uid="{00000000-0006-0000-1F00-00003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Aljegyző által 2015.11.19-ei e-mail alapján tervezet:
Jelzőrendszeres: 2 559 000
Támogató szolg:  5 604 000
Összesen:            </t>
        </r>
      </text>
    </comment>
    <comment ref="BT59" authorId="0" shapeId="0" xr:uid="{00000000-0006-0000-1F00-00003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303/2015. (XII.10.) ÖK hat. Alapján 1 830 ezer forint 1 fő státusz finanszírozásához. Azóta érkezett kérelem 2363000 Ft támogatásra</t>
        </r>
      </text>
    </comment>
    <comment ref="BU59" authorId="0" shapeId="0" xr:uid="{00000000-0006-0000-1F00-00003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3 millió visszafogásával, nem végleges)</t>
        </r>
      </text>
    </comment>
    <comment ref="BV59" authorId="0" shapeId="0" xr:uid="{00000000-0006-0000-1F00-000040000000}">
      <text>
        <r>
          <rPr>
            <b/>
            <sz val="8"/>
            <color indexed="81"/>
            <rFont val="Tahoma"/>
            <family val="2"/>
            <charset val="238"/>
          </rPr>
          <t xml:space="preserve">lantoso:
</t>
        </r>
        <r>
          <rPr>
            <sz val="8"/>
            <color indexed="81"/>
            <rFont val="Tahoma"/>
            <family val="2"/>
            <charset val="238"/>
          </rPr>
          <t>A 2014-es adatok (5 millió a német ÖK-nak, 14,12 millió az óvoda fenntartásához). Jövőre lehet, hogy több kell, a Csupaszívnek még nincs kész a terve</t>
        </r>
      </text>
    </comment>
    <comment ref="BW59" authorId="0" shapeId="0" xr:uid="{00000000-0006-0000-1F00-00004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504 ezer forinttal visszafogott támogatás. Még nem végleges.</t>
        </r>
      </text>
    </comment>
    <comment ref="BX59" authorId="0" shapeId="0" xr:uid="{00000000-0006-0000-1F00-00004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szinttel egyező</t>
        </r>
      </text>
    </comment>
    <comment ref="BY59" authorId="0" shapeId="0" xr:uid="{00000000-0006-0000-1F00-00004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státusz: 2766, személyi és tárgyi feltételek biztosítása 1000</t>
        </r>
      </text>
    </comment>
    <comment ref="BZ59" authorId="0" shapeId="0" xr:uid="{00000000-0006-0000-1F00-00004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státusz finanszírozása nélküli tavalyi keret (P. Boros I. már nálunk van).</t>
        </r>
      </text>
    </comment>
    <comment ref="CA64" authorId="0" shapeId="0" xr:uid="{00000000-0006-0000-1F00-00004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Areté 260*12= 3120, Haraszty 125*12 = 1500, lévay 60*12 = 720, SF 60*12=720, Urgent 125*12 = 1500, össz = 7560</t>
        </r>
      </text>
    </comment>
    <comment ref="CB64" authorId="0" shapeId="0" xr:uid="{00000000-0006-0000-1F00-00004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SF 720000, Lévai 720000, Urgent 1500000 Haraszty 1500000 Areté 1560000 jelenleg.
Úgy tudom, az Areté (7 sz. körzet) jövőre már nem igényel támogatást.</t>
        </r>
      </text>
    </comment>
    <comment ref="CC64" authorId="0" shapeId="0" xr:uid="{00000000-0006-0000-1F00-00004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E64" authorId="0" shapeId="0" xr:uid="{00000000-0006-0000-1F00-00004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G64" authorId="0" shapeId="0" xr:uid="{00000000-0006-0000-1F00-00004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Áthúzódó 2013. évről</t>
        </r>
      </text>
    </comment>
    <comment ref="CI64" authorId="0" shapeId="0" xr:uid="{00000000-0006-0000-1F00-00004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december 18-ai testületi ülés alapján</t>
        </r>
      </text>
    </comment>
    <comment ref="CJ64" authorId="0" shapeId="0" xr:uid="{00000000-0006-0000-1F00-00004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tám szerződés szerint a KSH 2015. szeptemberi, előző évhez viszonyított fogy. Árindexe szerint növekszik. Ez 99,6%, vagyis marad a tám. + 2015. október-2015. december áthúzódó kifizetése </t>
        </r>
      </text>
    </comment>
    <comment ref="CK64" authorId="0" shapeId="0" xr:uid="{00000000-0006-0000-1F00-00004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évi 10%-os visszafogásával (ld. Tervezési anyagok)</t>
        </r>
      </text>
    </comment>
    <comment ref="CM64" authorId="0" shapeId="0" xr:uid="{00000000-0006-0000-1F00-00004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Turay Ida színház 3 M a 217/2013 (Vi.27.) ÖK hat és az E/164/2013 szerz alapján</t>
        </r>
      </text>
    </comment>
    <comment ref="CN64" authorId="0" shapeId="0" xr:uid="{00000000-0006-0000-1F00-00004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E/146/2013 Turay Ida színház szerződés alapján</t>
        </r>
      </text>
    </comment>
    <comment ref="CO64" authorId="0" shapeId="0" xr:uid="{00000000-0006-0000-1F00-00004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civil 10 000 ft (Elite Basket a sportszervezeteknél)</t>
        </r>
      </text>
    </comment>
    <comment ref="CP64" authorId="0" shapeId="0" xr:uid="{00000000-0006-0000-1F00-00005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Q64" authorId="0" shapeId="0" xr:uid="{00000000-0006-0000-1F00-00005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előirányzat 10%-kal csökkentett összege</t>
        </r>
      </text>
    </comment>
    <comment ref="CR64" authorId="0" shapeId="0" xr:uid="{00000000-0006-0000-1F00-00005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S64" authorId="0" shapeId="0" xr:uid="{00000000-0006-0000-1F00-00005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CU64" authorId="0" shapeId="0" xr:uid="{00000000-0006-0000-1F00-00005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Foci 12 000, Kosárlabda 6 000, Kenu 3 000, egyéb sportág 4500</t>
        </r>
      </text>
    </comment>
    <comment ref="CV64" authorId="0" shapeId="0" xr:uid="{00000000-0006-0000-1F00-00005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 továbbvezetése</t>
        </r>
      </text>
    </comment>
    <comment ref="CX64" authorId="0" shapeId="0" xr:uid="{00000000-0006-0000-1F00-00005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Még nincs info, ha lesz, 100%-ban támogatás fogja fedezni. Előző évről áthúzódó 760 e Ft!!!!</t>
        </r>
      </text>
    </comment>
    <comment ref="CY64" authorId="0" shapeId="0" xr:uid="{00000000-0006-0000-1F00-00005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K67" authorId="0" shapeId="0" xr:uid="{00000000-0006-0000-1F00-00005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TSZT/HÉSZ 2820 ezer áthúzódó</t>
        </r>
      </text>
    </comment>
    <comment ref="L67" authorId="0" shapeId="0" xr:uid="{00000000-0006-0000-1F00-00005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HÉSZ módosítása (Mechanikai művek) nettó 4724000 (bruttó 6M) + Településfejlesztési koncepció, városmarketing stratégia bruttó 4 millió</t>
        </r>
      </text>
    </comment>
    <comment ref="Z67" authorId="0" shapeId="0" xr:uid="{00000000-0006-0000-1F00-00005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</t>
        </r>
      </text>
    </comment>
    <comment ref="K68" authorId="0" shapeId="0" xr:uid="{00000000-0006-0000-1F00-00005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Értékvédelmi keret (5millió) nettó összege</t>
        </r>
      </text>
    </comment>
    <comment ref="N68" authorId="0" shapeId="0" xr:uid="{00000000-0006-0000-1F00-00005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 bruttó 1 500</t>
        </r>
      </text>
    </comment>
    <comment ref="Z68" authorId="0" shapeId="0" xr:uid="{00000000-0006-0000-1F00-00005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7801 hrsz-ú ingatlan rekultivációja bruttó 526</t>
        </r>
      </text>
    </comment>
    <comment ref="Z70" authorId="0" shapeId="0" xr:uid="{00000000-0006-0000-1F00-00005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Zajvédelmi terv végrehajtása</t>
        </r>
      </text>
    </comment>
    <comment ref="L87" authorId="0" shapeId="0" xr:uid="{00000000-0006-0000-1F00-00005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Dózsa Gy. U. 13. vápa 600 000
Hadik ház felújítása    1 200 000
</t>
        </r>
        <r>
          <rPr>
            <b/>
            <sz val="8"/>
            <color indexed="81"/>
            <rFont val="Tahoma"/>
            <family val="2"/>
            <charset val="238"/>
          </rPr>
          <t>Összesen                1 800 000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6" authorId="0" shapeId="0" xr:uid="{00000000-0006-0000-2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Munkáltatói döntések visszapótlása (Takácsné, Kovácsné, Kökéy, Kusnyér, Strasszer)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204" authorId="0" shapeId="0" xr:uid="{00000000-0006-0000-21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400 e ft /hó * 11 hó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5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Teljesítés alapján indokoltnak látszik.</t>
        </r>
      </text>
    </comment>
    <comment ref="I173" authorId="0" shapeId="0" xr:uid="{00000000-0006-0000-22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550e/hó * 11 hó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3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helyettesítéseknél az beszámolt, aki többe kerül (Fridikné, Lászlóné Sebők kivéve)</t>
        </r>
      </text>
    </comment>
    <comment ref="M6" authorId="0" shapeId="0" xr:uid="{00000000-0006-0000-23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I26" authorId="0" shapeId="0" xr:uid="{00000000-0006-0000-23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7*12 = munkáltatói visszapótlása</t>
        </r>
      </text>
    </comment>
    <comment ref="M54" authorId="0" shapeId="0" xr:uid="{00000000-0006-0000-23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Keresztély, Illia, Megyaszai, fejenként havi 60 000 Ft/hó pluisz ktg.</t>
        </r>
      </text>
    </comment>
    <comment ref="O114" authorId="0" shapeId="0" xr:uid="{00000000-0006-0000-23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Konyhai felszerelések beszerzése</t>
        </r>
      </text>
    </comment>
    <comment ref="M139" authorId="0" shapeId="0" xr:uid="{00000000-0006-0000-23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1,5 millió épület, 1,0 millió udvari játszótér (pm engedélyétől függő)</t>
        </r>
      </text>
    </comment>
    <comment ref="M146" authorId="0" shapeId="0" xr:uid="{00000000-0006-0000-23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O160" authorId="0" shapeId="0" xr:uid="{00000000-0006-0000-23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20% áfát terveztem, mert több élelmiszerféle alacsonyabb áfakulcsú!</t>
        </r>
      </text>
    </comment>
    <comment ref="Q160" authorId="0" shapeId="0" xr:uid="{00000000-0006-0000-23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korai fejlesztés számlája várhatóan áfamentes lesz</t>
        </r>
      </text>
    </comment>
    <comment ref="M222" authorId="0" shapeId="0" xr:uid="{00000000-0006-0000-23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4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Eltérítéssel, pm, alpm nélkül</t>
        </r>
      </text>
    </comment>
    <comment ref="M6" authorId="0" shapeId="0" xr:uid="{00000000-0006-0000-24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G9" authorId="0" shapeId="0" xr:uid="{00000000-0006-0000-24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Nagy Adrienn célfeladat, Klári táblája alapján</t>
        </r>
      </text>
    </comment>
    <comment ref="G14" authorId="0" shapeId="0" xr:uid="{00000000-0006-0000-24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Klári táblája szerint</t>
        </r>
      </text>
    </comment>
    <comment ref="G31" authorId="0" shapeId="0" xr:uid="{00000000-0006-0000-24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Önkormányzaton van tervezve</t>
        </r>
      </text>
    </comment>
    <comment ref="G35" authorId="0" shapeId="0" xr:uid="{00000000-0006-0000-24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Niklasz 3 000 000, Szabó Adrienn 922 000, egyéb keret 2 000 000</t>
        </r>
      </text>
    </comment>
    <comment ref="U37" authorId="0" shapeId="0" xr:uid="{00000000-0006-0000-24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Honosítás repije</t>
        </r>
      </text>
    </comment>
    <comment ref="U67" authorId="0" shapeId="0" xr:uid="{00000000-0006-0000-24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Anyakönyv vezetők részére ruha, fodrász</t>
        </r>
      </text>
    </comment>
    <comment ref="O92" authorId="0" shapeId="0" xr:uid="{00000000-0006-0000-24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100 ezer általános keret + nettó 55 ezer nyári gumi csere + nettó 40 ezer a két robogó karbantartása</t>
        </r>
      </text>
    </comment>
    <comment ref="G99" authorId="0" shapeId="0" xr:uid="{00000000-0006-0000-24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Menczinger 550 000 Ft/hó * 12 hó = 6 600 000 Ft
Stylus Magister (Fáy Kisné) 250 000 Ft/hó * 12 hó = 3 000 000 Ft
Egyéb megrendelt szakértői tev. Re keret nettó = 3 400 000 Ft
</t>
        </r>
        <r>
          <rPr>
            <b/>
            <sz val="8"/>
            <color indexed="81"/>
            <rFont val="Tahoma"/>
            <family val="2"/>
            <charset val="238"/>
          </rPr>
          <t>Összesen 13 000 000 Ft</t>
        </r>
      </text>
    </comment>
    <comment ref="M99" authorId="0" shapeId="0" xr:uid="{00000000-0006-0000-24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U99" authorId="0" shapeId="0" xr:uid="{00000000-0006-0000-24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Nem volt semmilyen teljesítés</t>
        </r>
      </text>
    </comment>
    <comment ref="O104" authorId="0" shapeId="0" xr:uid="{00000000-0006-0000-24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továbbképzés kerete 150 000 Ft</t>
        </r>
      </text>
    </comment>
    <comment ref="U104" authorId="0" shapeId="0" xr:uid="{00000000-0006-0000-24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NKE köztisztviselő továbbképzés 680 000 Ft * 3 alkalom</t>
        </r>
      </text>
    </comment>
    <comment ref="G127" authorId="0" shapeId="0" xr:uid="{00000000-0006-0000-24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Cégautóadó</t>
        </r>
      </text>
    </comment>
    <comment ref="G128" authorId="0" shapeId="0" xr:uid="{00000000-0006-0000-24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Eljárási díjak (pl. hitelezői nyilvántartásba vétel)</t>
        </r>
      </text>
    </comment>
    <comment ref="S141" authorId="0" shapeId="0" xr:uid="{00000000-0006-0000-24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2016-ban már nem lesz jegyzői hatáskörbe tartozó segély?</t>
        </r>
      </text>
    </comment>
    <comment ref="G153" authorId="0" shapeId="0" xr:uid="{00000000-0006-0000-24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Számítástechn eszköz besz. keret</t>
        </r>
      </text>
    </comment>
    <comment ref="G154" authorId="0" shapeId="0" xr:uid="{00000000-0006-0000-24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 (pl. bútorbeszerzés, kis értékű egyéb eszközök)</t>
        </r>
      </text>
    </comment>
    <comment ref="U154" authorId="0" shapeId="0" xr:uid="{00000000-0006-0000-24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CD lejátszó a házasságkötőbe</t>
        </r>
      </text>
    </comment>
    <comment ref="M186" authorId="0" shapeId="0" xr:uid="{00000000-0006-0000-24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sharedStrings.xml><?xml version="1.0" encoding="utf-8"?>
<sst xmlns="http://schemas.openxmlformats.org/spreadsheetml/2006/main" count="6409" uniqueCount="1762">
  <si>
    <t>rovat</t>
  </si>
  <si>
    <t>főkönyvi szám</t>
  </si>
  <si>
    <t>megnevezés</t>
  </si>
  <si>
    <t>SZEMÉLYI JUTTATÁSOK ÉS JÁRULÉKOK</t>
  </si>
  <si>
    <t>K1101</t>
  </si>
  <si>
    <t>0511011</t>
  </si>
  <si>
    <t>Törvény szerinti illetmények, munkabérek</t>
  </si>
  <si>
    <t>K1102</t>
  </si>
  <si>
    <t>0511021</t>
  </si>
  <si>
    <t>Normatív jutalmak</t>
  </si>
  <si>
    <t>K1103</t>
  </si>
  <si>
    <t>0511031</t>
  </si>
  <si>
    <t>Céljuttatás, projektprémium</t>
  </si>
  <si>
    <t>K1104</t>
  </si>
  <si>
    <t>0511041</t>
  </si>
  <si>
    <t>Készenlét, ügyelet, helyettesítés, túlóra</t>
  </si>
  <si>
    <t>Készenléti, ügyeleti, helyettesítési díj</t>
  </si>
  <si>
    <t>Túlóra, túlszolgálat</t>
  </si>
  <si>
    <t>K1105</t>
  </si>
  <si>
    <t>0511051</t>
  </si>
  <si>
    <t>Végkielégítés</t>
  </si>
  <si>
    <t>K1106</t>
  </si>
  <si>
    <t>0511061</t>
  </si>
  <si>
    <t>Jubileumi jutalom</t>
  </si>
  <si>
    <t>K1107</t>
  </si>
  <si>
    <t>0511071</t>
  </si>
  <si>
    <t>Béren kívüli juttatások</t>
  </si>
  <si>
    <t>K1108</t>
  </si>
  <si>
    <t>0511081</t>
  </si>
  <si>
    <t>Ruházati költségtérítés</t>
  </si>
  <si>
    <t>K1109</t>
  </si>
  <si>
    <t>0511091</t>
  </si>
  <si>
    <t>Közlekedési költségtérítés</t>
  </si>
  <si>
    <t>K1110</t>
  </si>
  <si>
    <t>0511101</t>
  </si>
  <si>
    <t>Egyéb költségtérítések</t>
  </si>
  <si>
    <t>K1111</t>
  </si>
  <si>
    <t>0511111</t>
  </si>
  <si>
    <t>Lakhatási támogatások</t>
  </si>
  <si>
    <t>K1112</t>
  </si>
  <si>
    <t>0511121</t>
  </si>
  <si>
    <t>Szociális támogatások</t>
  </si>
  <si>
    <t>K1113</t>
  </si>
  <si>
    <t>0511131</t>
  </si>
  <si>
    <t>Foglalkoztatottak egyéb személyi juttatásai</t>
  </si>
  <si>
    <t>K11</t>
  </si>
  <si>
    <t>0511</t>
  </si>
  <si>
    <t>Foglalkoztatottak személyi juttatásai</t>
  </si>
  <si>
    <t>K121</t>
  </si>
  <si>
    <t>051211</t>
  </si>
  <si>
    <t>Választott tisztviselők juttatásai</t>
  </si>
  <si>
    <t>K122</t>
  </si>
  <si>
    <t>051221</t>
  </si>
  <si>
    <t>Nem saját foglalkoztatottnak fizetett jutt</t>
  </si>
  <si>
    <t>K123</t>
  </si>
  <si>
    <t>051231</t>
  </si>
  <si>
    <t>K12</t>
  </si>
  <si>
    <t>0512</t>
  </si>
  <si>
    <t>Külső személyi juttatások</t>
  </si>
  <si>
    <t>K1</t>
  </si>
  <si>
    <t>051</t>
  </si>
  <si>
    <t>Egészségügyi hozzájárulás</t>
  </si>
  <si>
    <t>Rehabilitációs hozzájárulás</t>
  </si>
  <si>
    <t>Munkáltatót terhelő SZJA</t>
  </si>
  <si>
    <t>K2</t>
  </si>
  <si>
    <t>052</t>
  </si>
  <si>
    <t>SZEMÉLYI JUTTATÁSOK ÉS JÁRULÉKOK ÖSSZESEN:</t>
  </si>
  <si>
    <t>K311</t>
  </si>
  <si>
    <t>053111</t>
  </si>
  <si>
    <t>Szakmai anyagok beszerzése összesen</t>
  </si>
  <si>
    <t>Gyógyszerbeszerzés</t>
  </si>
  <si>
    <t>Vegyszerbeszerzés</t>
  </si>
  <si>
    <t>Könyvbeszerzés</t>
  </si>
  <si>
    <t>Folyóirat-beszerzés</t>
  </si>
  <si>
    <t>Egyéb információhordozó beszerzés</t>
  </si>
  <si>
    <t>Egyéb szakmai anyagbeszerzés</t>
  </si>
  <si>
    <t>K312</t>
  </si>
  <si>
    <t>053121</t>
  </si>
  <si>
    <t>Üzemeltetési anyagok beszerzése összesen</t>
  </si>
  <si>
    <t>Élelmiszer-beszerzés</t>
  </si>
  <si>
    <t>Irodaszer-nyomtatvány beszerzés</t>
  </si>
  <si>
    <t>Tüzelőanyag-beszerzés</t>
  </si>
  <si>
    <t>Hajtó- és kenőanyag beszerzés</t>
  </si>
  <si>
    <t>Munkaruha, védőruha, formaruha, egyenruha</t>
  </si>
  <si>
    <t>Egyéb üzemeltetési, fennt anyagbeszerzés</t>
  </si>
  <si>
    <t>K313</t>
  </si>
  <si>
    <t>053131</t>
  </si>
  <si>
    <t>Árubeszerzés összesen</t>
  </si>
  <si>
    <t>Árubeszerzés</t>
  </si>
  <si>
    <t>Göngyölegbeszerzés</t>
  </si>
  <si>
    <t>K31</t>
  </si>
  <si>
    <t>0531</t>
  </si>
  <si>
    <t>Készletbeszerzés összesen</t>
  </si>
  <si>
    <t>K321</t>
  </si>
  <si>
    <t>053211</t>
  </si>
  <si>
    <t>Informatikai szolgáltatások igénybevétele</t>
  </si>
  <si>
    <t>Informatikai tanácsadás, üzembehelyezés</t>
  </si>
  <si>
    <t>Informatikai szolgáltatások</t>
  </si>
  <si>
    <t>Informatikai eszköz, szolg bérlése, lízing</t>
  </si>
  <si>
    <t>Informatikai eszközök karbantartása</t>
  </si>
  <si>
    <t>Adatátviteli célú távközlési díjak</t>
  </si>
  <si>
    <t>Egyéb informatikai szolgáltatás</t>
  </si>
  <si>
    <t>K322</t>
  </si>
  <si>
    <t>053221</t>
  </si>
  <si>
    <t>Egyéb kommunikációs szolg összesen</t>
  </si>
  <si>
    <t>Nem adatátviteli célú távközlési díjak</t>
  </si>
  <si>
    <t>Egyéb kommunikációs szolgáltatások</t>
  </si>
  <si>
    <t>K32</t>
  </si>
  <si>
    <t>0532</t>
  </si>
  <si>
    <t>Kommunikációs szolgáltatások összesen</t>
  </si>
  <si>
    <t>K331</t>
  </si>
  <si>
    <t>053311</t>
  </si>
  <si>
    <t>Közüzemi díjak összesen</t>
  </si>
  <si>
    <t>Villamos energia szolgáltatási díjak</t>
  </si>
  <si>
    <t>Gázenergia szolgáltatási díjak</t>
  </si>
  <si>
    <t>Víz- és csatorna díjak</t>
  </si>
  <si>
    <t>K332</t>
  </si>
  <si>
    <t>053321</t>
  </si>
  <si>
    <t>Vásárolt élelmezés</t>
  </si>
  <si>
    <t>K333</t>
  </si>
  <si>
    <t>053331</t>
  </si>
  <si>
    <t>Bérleti és lízing-díjak összesen</t>
  </si>
  <si>
    <t>PPP konstrukcióhoz kapcsolódó szolg díjak</t>
  </si>
  <si>
    <t>Egyéb bérleti és lízing díjak</t>
  </si>
  <si>
    <t>K334</t>
  </si>
  <si>
    <t>053341</t>
  </si>
  <si>
    <t>Karbantartási, kisjavítási szolgáltatások</t>
  </si>
  <si>
    <t>K335</t>
  </si>
  <si>
    <t>053351</t>
  </si>
  <si>
    <t>Közvetített szolgáltatások összesen</t>
  </si>
  <si>
    <t>Államháztartások belüli közvetített szolg</t>
  </si>
  <si>
    <t>Államháztartások kívüli közvetített szolg</t>
  </si>
  <si>
    <t>K336</t>
  </si>
  <si>
    <t>053361</t>
  </si>
  <si>
    <t>Szakmai tevékenységet segítő szolgáltatások</t>
  </si>
  <si>
    <t>Vásárolt közszolgáltatások</t>
  </si>
  <si>
    <t>Számlázott szellemi tevékenységek</t>
  </si>
  <si>
    <t>Egyéb szakmai szolgáltatások</t>
  </si>
  <si>
    <t>K337</t>
  </si>
  <si>
    <t>053371</t>
  </si>
  <si>
    <t>Egyéb szolgáltatások összesen</t>
  </si>
  <si>
    <t>Biztosítási szolgáltatási díjak</t>
  </si>
  <si>
    <t>Pénzügyi szolgáltatási díjak</t>
  </si>
  <si>
    <t>Szállítási szolgáltatási díjak</t>
  </si>
  <si>
    <t>Egyéb üzemeltetési, fennt szolgáltatások</t>
  </si>
  <si>
    <t>K33</t>
  </si>
  <si>
    <t>0533</t>
  </si>
  <si>
    <t>Szolgáltatási kiadások összesen</t>
  </si>
  <si>
    <t>K341</t>
  </si>
  <si>
    <t>053411</t>
  </si>
  <si>
    <t>Kiküldetések kiadásai összesen</t>
  </si>
  <si>
    <t>Belföldi kiküldetések kiadásai</t>
  </si>
  <si>
    <t>Külföldi kiküldetések kiadásai</t>
  </si>
  <si>
    <t>K342</t>
  </si>
  <si>
    <t>053421</t>
  </si>
  <si>
    <t>Reklám- és propaganda kiadások</t>
  </si>
  <si>
    <t>K34</t>
  </si>
  <si>
    <t>0534</t>
  </si>
  <si>
    <t>Kiküldetés, reklám, propaganda összesen</t>
  </si>
  <si>
    <t>K351</t>
  </si>
  <si>
    <t>053511</t>
  </si>
  <si>
    <t>Működési célú ÁFA összesen</t>
  </si>
  <si>
    <t>Működési célú felszám, levonható ÁFA</t>
  </si>
  <si>
    <t>Működési célú felszám, le nem vonható ÁFA</t>
  </si>
  <si>
    <t>K352</t>
  </si>
  <si>
    <t>053521</t>
  </si>
  <si>
    <t>Fizetendő ÁFA összesen</t>
  </si>
  <si>
    <t>ÁFA befizetés</t>
  </si>
  <si>
    <t>Ért tárgyi eszk, imm javak egyenes ÁFA bef</t>
  </si>
  <si>
    <t>Fordított ÁFA befizetése</t>
  </si>
  <si>
    <t>K353</t>
  </si>
  <si>
    <t>053531</t>
  </si>
  <si>
    <t>Kamatkiadások</t>
  </si>
  <si>
    <t>Államháztartáson belüli egyéb kamat</t>
  </si>
  <si>
    <t>Hitelek kamatai</t>
  </si>
  <si>
    <t>Pénzügyi lízing kiadások</t>
  </si>
  <si>
    <t>Államháztartáson kívüli egyéb kamatok</t>
  </si>
  <si>
    <t>K354</t>
  </si>
  <si>
    <t>053541</t>
  </si>
  <si>
    <t>Egyéb pénzügyi műveletek kiadásai</t>
  </si>
  <si>
    <t>Árfolyamveszteség</t>
  </si>
  <si>
    <t>Egyéb, különféle pénzügyi műveletek kiad</t>
  </si>
  <si>
    <t>K355</t>
  </si>
  <si>
    <t>053551</t>
  </si>
  <si>
    <t>Egyéb dologi kiadások</t>
  </si>
  <si>
    <t>Adók, adójellegű befizetések</t>
  </si>
  <si>
    <t>Díjak, egyéb befizetések</t>
  </si>
  <si>
    <t>Késedelmi kamat, kötbér, egyéb kártérítés</t>
  </si>
  <si>
    <t>Egyéb különféle dologi kiadások</t>
  </si>
  <si>
    <t>K35</t>
  </si>
  <si>
    <t>0535</t>
  </si>
  <si>
    <t>Különféle befizetések, egyéb dologi kiadások</t>
  </si>
  <si>
    <t>K3</t>
  </si>
  <si>
    <t>053</t>
  </si>
  <si>
    <t>FELHALMOZÁSI KIADÁSOK</t>
  </si>
  <si>
    <t>K61</t>
  </si>
  <si>
    <t>056111</t>
  </si>
  <si>
    <t>Immateriális javak beszerzése, létesítése</t>
  </si>
  <si>
    <t>K62</t>
  </si>
  <si>
    <t>056211</t>
  </si>
  <si>
    <t>Ingatlanok beszerzése, létesítése</t>
  </si>
  <si>
    <t>K63</t>
  </si>
  <si>
    <t>056311</t>
  </si>
  <si>
    <t>Informatikai eszközök beszerzése, létesítése</t>
  </si>
  <si>
    <t>K64</t>
  </si>
  <si>
    <t>056411</t>
  </si>
  <si>
    <t>Egyéb tárgyi eszköz beszerzése, létesítése</t>
  </si>
  <si>
    <t>056415</t>
  </si>
  <si>
    <t>Jármű beszerzés</t>
  </si>
  <si>
    <t>K65</t>
  </si>
  <si>
    <t>056511</t>
  </si>
  <si>
    <t>Részesedések beszerzése</t>
  </si>
  <si>
    <t>K66</t>
  </si>
  <si>
    <t>056611</t>
  </si>
  <si>
    <t>Meglévő részesedések növeléséhez kapcs kiad</t>
  </si>
  <si>
    <t>K67</t>
  </si>
  <si>
    <t>05671</t>
  </si>
  <si>
    <t>Beruházási célú előzetesen felszámított ÁFA</t>
  </si>
  <si>
    <t>K6</t>
  </si>
  <si>
    <t>056</t>
  </si>
  <si>
    <t>Beruházások összesen</t>
  </si>
  <si>
    <t>K71</t>
  </si>
  <si>
    <t>057111</t>
  </si>
  <si>
    <t>Ingatlanok felújítása</t>
  </si>
  <si>
    <t>K72</t>
  </si>
  <si>
    <t>057211</t>
  </si>
  <si>
    <t>Informatikai eszköz felújítása</t>
  </si>
  <si>
    <t>K73</t>
  </si>
  <si>
    <t>057311</t>
  </si>
  <si>
    <t>Egyéb tárgyi eszköz felújítása</t>
  </si>
  <si>
    <t>057315</t>
  </si>
  <si>
    <t>Jármű felújítása</t>
  </si>
  <si>
    <t>K74</t>
  </si>
  <si>
    <t>05741</t>
  </si>
  <si>
    <t>Felújítási célú előzetesen felszámított ÁFA</t>
  </si>
  <si>
    <t>K7</t>
  </si>
  <si>
    <t>057</t>
  </si>
  <si>
    <t>Felújítások összesen</t>
  </si>
  <si>
    <t>Felhalmozási kiadások összesen</t>
  </si>
  <si>
    <t>BEVÉTELEK</t>
  </si>
  <si>
    <t>B4</t>
  </si>
  <si>
    <t>Működési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</si>
  <si>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</si>
  <si>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</si>
  <si>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</si>
  <si>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</si>
  <si>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</si>
  <si>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</si>
  <si>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</si>
  <si>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</si>
  <si>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B406</t>
  </si>
  <si>
    <t>Kiszámlázott általános forgalmi adó</t>
  </si>
  <si>
    <t>B408</t>
  </si>
  <si>
    <t>Kamatbevételek</t>
  </si>
  <si>
    <t>B410</t>
  </si>
  <si>
    <t>Egyéb működési bevételek</t>
  </si>
  <si>
    <t>B5</t>
  </si>
  <si>
    <t>Felhalmozási bevételek</t>
  </si>
  <si>
    <t>WALLA JÓZSEF ÓVODA 2016. (az adatok ezer forintban)</t>
  </si>
  <si>
    <t>2016. évi előirányzat</t>
  </si>
  <si>
    <t>2015. évi előirányzat</t>
  </si>
  <si>
    <t>óvodai nevelés</t>
  </si>
  <si>
    <t>óvodai étkeztetés</t>
  </si>
  <si>
    <t xml:space="preserve">2015. évi előirányzat </t>
  </si>
  <si>
    <t>WALLA JÓZSEF ÓVODA (az adatok ezer forintban)</t>
  </si>
  <si>
    <t>9. Szász Irén (rész)</t>
  </si>
  <si>
    <t>1. Bató  istvánné (teljes)</t>
  </si>
  <si>
    <t>2. Bazsó Borbála (teljes)</t>
  </si>
  <si>
    <t>3. Beck Tiborné (teljes)</t>
  </si>
  <si>
    <t>4. Domokos Valéria (teljes)</t>
  </si>
  <si>
    <t>5. Gál Attiláné (teljes)</t>
  </si>
  <si>
    <t>6. Hummelné fehér Edina (teljes)</t>
  </si>
  <si>
    <t>7. Molnárné Tari Erzsébet (teljes)</t>
  </si>
  <si>
    <t>8. Németh Mária Erika (teljes)</t>
  </si>
  <si>
    <t>10. Szikora Ildikó (teljes)</t>
  </si>
  <si>
    <t>11. Botos Ilona (teljes)</t>
  </si>
  <si>
    <t>12. Tősér Éva (teljes)</t>
  </si>
  <si>
    <t>13. Üres óvodaped. álláshely (teljes)</t>
  </si>
  <si>
    <t>Erzsébet utalvány</t>
  </si>
  <si>
    <t>Szemüveg (eü költségtérítés, 2fő*60e/fő)</t>
  </si>
  <si>
    <t>A törv. szerinti illetmény 0,4%-ban 2016-ra</t>
  </si>
  <si>
    <t>Tandíj (tan. szerződés Bazsó Borbála)</t>
  </si>
  <si>
    <t>Megbízási díjakra keretösszeg</t>
  </si>
  <si>
    <t>Reprezentációs kiadások kerete</t>
  </si>
  <si>
    <t>Szociális hozzájárulási adó (27%)</t>
  </si>
  <si>
    <t>Egyéb külső személyi juttatások</t>
  </si>
  <si>
    <t>Személyi juttatások</t>
  </si>
  <si>
    <t>Munkaadókat terhelő járulékok</t>
  </si>
  <si>
    <t>DOLOGI ÉS EGYÉB MŰKÖDÉSI CÉLÚ KIADÁSOK</t>
  </si>
  <si>
    <t>Becsült összeg 2015.10.26-án</t>
  </si>
  <si>
    <t>WALLA JÓZSEF ÓVODA 2016 (az adatok ezer forintban)</t>
  </si>
  <si>
    <t>MŰKÖDÉSI KIADÁSOK ÖSSZESEN</t>
  </si>
  <si>
    <t>Dologi kiadások</t>
  </si>
  <si>
    <t>FELHALMOZÁSI KIADÁSOK ÖSSZESEN</t>
  </si>
  <si>
    <t>KIADÁSOK MINDÖSSSZESEN</t>
  </si>
  <si>
    <t>SAJÁT BEVÉTELEK ÖSSZESEN</t>
  </si>
  <si>
    <t>B405</t>
  </si>
  <si>
    <t>Ellátási díjak</t>
  </si>
  <si>
    <t>B407</t>
  </si>
  <si>
    <t>Általános forgalmi adó visszatérítés</t>
  </si>
  <si>
    <t>B409</t>
  </si>
  <si>
    <t>Egyéb pénzügyi műveletek bevételei</t>
  </si>
  <si>
    <t>Adatok ezer forintban</t>
  </si>
  <si>
    <t xml:space="preserve">Cím: </t>
  </si>
  <si>
    <t>Alcím:</t>
  </si>
  <si>
    <t>Sor-szám</t>
  </si>
  <si>
    <t>Megnevezés</t>
  </si>
  <si>
    <t>Engedélyezett létszámkeret</t>
  </si>
  <si>
    <t>Közfoglalkoztatottak engedélyezett létszáma</t>
  </si>
  <si>
    <t>I.</t>
  </si>
  <si>
    <t>MŰKÖDÉSI KÖLTSÉGVETÉSI BEVÉTELEK</t>
  </si>
  <si>
    <t>1.</t>
  </si>
  <si>
    <t>Működési célú támogatások államháztartáson belülről</t>
  </si>
  <si>
    <t>1.1. Egyéb működési célú támogatások bevételei államháztartáson belülről</t>
  </si>
  <si>
    <t>Működési bevételek</t>
  </si>
  <si>
    <t>3.</t>
  </si>
  <si>
    <t>Működési célú átvett pénzeszközök</t>
  </si>
  <si>
    <t>3.1. Egyéb működési célú átvett pénzeszközök</t>
  </si>
  <si>
    <t>II.</t>
  </si>
  <si>
    <t>FELHALMOZÁSI KÖLTSÉGVETÉSI BEVÉTELEK</t>
  </si>
  <si>
    <t>Felhalmozási célú támogatások államháztartáson belülről</t>
  </si>
  <si>
    <t>1.1. Egyéb felhalmozási célú támogatások bevételei államháztartáson belülről</t>
  </si>
  <si>
    <t>2.</t>
  </si>
  <si>
    <t>2.1. Immateriális javak értékesítése</t>
  </si>
  <si>
    <t>2.2. Egyéb tárgyi eszközök értékesítése</t>
  </si>
  <si>
    <t>Felhalmozási célú átvett pénzeszközök</t>
  </si>
  <si>
    <t>3.1. Egyéb felhalmozási célú átvett pénzeszközök</t>
  </si>
  <si>
    <t>KÖLTSÉGVETÉSI BEVÉTELEK ÖSSZESEN</t>
  </si>
  <si>
    <t>III.</t>
  </si>
  <si>
    <t>FINANSZÍROZÁSI BEVÉTELEK</t>
  </si>
  <si>
    <t>Belföldi finanszírozás bevételei</t>
  </si>
  <si>
    <t>1.1. Maradvány igénybevétele</t>
  </si>
  <si>
    <t>1.2. Irányító szervi támogatás</t>
  </si>
  <si>
    <t>TÁRGYÉVI BEVÉTELEK ÖSSZESEN</t>
  </si>
  <si>
    <t>MŰKÖDÉSI KÖLTSÉGVETÉSI KIADÁSOK</t>
  </si>
  <si>
    <t>Munkaadókat terhelő járulékok és szociális hozzájárulási adó</t>
  </si>
  <si>
    <t>4.</t>
  </si>
  <si>
    <t>Ellátottak pénzbeli juttatásai</t>
  </si>
  <si>
    <t>5.</t>
  </si>
  <si>
    <t>Egyéb működési célú kiadások</t>
  </si>
  <si>
    <t>FELHALMOZÁSI KÖLTSÉGVETÉSI KIADÁSOK</t>
  </si>
  <si>
    <t>Intézményi beruházások</t>
  </si>
  <si>
    <t>Felújítások</t>
  </si>
  <si>
    <t>Egyéb felhalmozási célú kiadások</t>
  </si>
  <si>
    <t>TÁRGYÉVI KIADÁSOK ÖSSZESEN</t>
  </si>
  <si>
    <t>Kiadási előirányzat</t>
  </si>
  <si>
    <t>GAZDASÁGI SZERVEZETTEL NEM RENDELKEZŐ KÖLTSÉGVETÉSI SZERVEK</t>
  </si>
  <si>
    <t>Walla József Óvoda</t>
  </si>
  <si>
    <t>KÖTELEZŐ FELADATOK</t>
  </si>
  <si>
    <t>Óvodai nevelés</t>
  </si>
  <si>
    <t>Munkaadót terhelő járulékok</t>
  </si>
  <si>
    <t>Beruházások</t>
  </si>
  <si>
    <t>Óvodai étkeztetés</t>
  </si>
  <si>
    <t>ÖNKÉNT VÁLLALT FELADATOK</t>
  </si>
  <si>
    <t>Törökbálinti Nyitnikék Óvoda</t>
  </si>
  <si>
    <t>Törökbálinti Bóbita Óvoda</t>
  </si>
  <si>
    <t>Munkácsy Mihály Művelődési Ház</t>
  </si>
  <si>
    <t>Közművelődési tevékenységek</t>
  </si>
  <si>
    <t>Közművelődési intézmény működtetése</t>
  </si>
  <si>
    <t>Volf György Könyvtár</t>
  </si>
  <si>
    <t>Könyvtári szolgáltatások</t>
  </si>
  <si>
    <t>Múzeumi kiállítási tevékenység</t>
  </si>
  <si>
    <t>Segítő Kéz Szolgálat</t>
  </si>
  <si>
    <t>Családsegítés</t>
  </si>
  <si>
    <t>Házi segítségnyújtás</t>
  </si>
  <si>
    <t>Szociális étkeztetés</t>
  </si>
  <si>
    <t>Bölcsődei ellátás</t>
  </si>
  <si>
    <t>Bölcsődei étkeztetés</t>
  </si>
  <si>
    <t>Maradvány igénybevétele</t>
  </si>
  <si>
    <t>TÖRÖKBÁLINTI NYITNIKÉK ÓVODA 2016. (az adatok ezer forintban)</t>
  </si>
  <si>
    <t>TÖRÖKBÁLINTI NYITNIKÉK ÓVODA (az adatok ezer forintban)</t>
  </si>
  <si>
    <t>TÖRÖKBÁLINTI NYITNIKÉK ÓVODA 2016 (az adatok ezer forintban)</t>
  </si>
  <si>
    <t>1. Balogné Szabó Margit</t>
  </si>
  <si>
    <t>2. Bodó Viktória</t>
  </si>
  <si>
    <t>3. Csiszár Andrea</t>
  </si>
  <si>
    <t>4. Fenyves Andrea</t>
  </si>
  <si>
    <t>5. Gergye Szilvia</t>
  </si>
  <si>
    <t>6. Horváthné Hamza Edit</t>
  </si>
  <si>
    <t>7. Kálmán Viktória</t>
  </si>
  <si>
    <t>8. Kálmánné Bari Erika</t>
  </si>
  <si>
    <t>9. Keresztes Hajnalka</t>
  </si>
  <si>
    <t>10. Kisné Szél Erzsébet</t>
  </si>
  <si>
    <t>11. Kiss Rozália</t>
  </si>
  <si>
    <t>12. Kogyiláné Székely Erika</t>
  </si>
  <si>
    <t>13. Kovács Erzsébet</t>
  </si>
  <si>
    <t>14. Kovács Gabriella</t>
  </si>
  <si>
    <t>15. Krajnyák Jenőné</t>
  </si>
  <si>
    <t>16. Nagyné Tóth Magdolna</t>
  </si>
  <si>
    <t>17. Pallér Edit</t>
  </si>
  <si>
    <t>18. Petermanné Papp Krisztina</t>
  </si>
  <si>
    <t>19. Rolyák Csabáné</t>
  </si>
  <si>
    <t>20. Scheirich Szilvia</t>
  </si>
  <si>
    <t>21. Sebestyén Krisztina</t>
  </si>
  <si>
    <t>22. Szabóné Fejes Zsuzsanna</t>
  </si>
  <si>
    <t>23. Szappanosné Csáki Regina</t>
  </si>
  <si>
    <t>24. Szentkuti Anita</t>
  </si>
  <si>
    <t>25. Szentkuti Ferencné</t>
  </si>
  <si>
    <t>26. Szunai Beáta</t>
  </si>
  <si>
    <t>27. Uri Éva</t>
  </si>
  <si>
    <t>28. Valkainé Huppauer Zsuzsanna</t>
  </si>
  <si>
    <t>29. Velősiné Hamper Eszter</t>
  </si>
  <si>
    <t>30. Virág Lászlóné</t>
  </si>
  <si>
    <t>31. Üres álláshely</t>
  </si>
  <si>
    <t>Erzsébet utalvány (31 fő * 8e/hó/fő * 12hó)</t>
  </si>
  <si>
    <t>TÖRÖKBÁLINTI BÓBITA ÓVODA 2016. (az adatok ezer forintban)</t>
  </si>
  <si>
    <t>TÖRÖKBÁLINTI BÓBITA ÓVODA (az adatok ezer forintban)</t>
  </si>
  <si>
    <t>TÖRÖKBÁLINTI BÓBITA ÓVODA 2016 (az adatok ezer forintban)</t>
  </si>
  <si>
    <t>Erzsébet utalvány (56 fő * 8e/hó/fő * 12hó)</t>
  </si>
  <si>
    <t>Keretjellegű tétel</t>
  </si>
  <si>
    <t>Egyéb bérleti díj</t>
  </si>
  <si>
    <t>SEGÍTŐ KÉZ SZOLGÁLAT 2016. (az adatok ezer forintban)</t>
  </si>
  <si>
    <t>családsegítés</t>
  </si>
  <si>
    <t>házi segítségnyújtás</t>
  </si>
  <si>
    <t>szociális étkeztetés</t>
  </si>
  <si>
    <t>bölcsődei ellátás</t>
  </si>
  <si>
    <t>bölcsődei étkeztetés</t>
  </si>
  <si>
    <t>korai fejlesztés</t>
  </si>
  <si>
    <t>KAB-ME-14-B-16852 2016.</t>
  </si>
  <si>
    <t>Keresztes Sándor (gondozók)</t>
  </si>
  <si>
    <t>Nagy Anikó (gondozók)</t>
  </si>
  <si>
    <t>Szemüveg (eü költségtérítés, 60e/fő)</t>
  </si>
  <si>
    <t>Cs2. Csernyánszki Andrea</t>
  </si>
  <si>
    <t>Cs3. Csokonáné Vízkeleti Ildikó</t>
  </si>
  <si>
    <t>Cs1. Ásó Bernadett</t>
  </si>
  <si>
    <t>Cs4.Takács Judit</t>
  </si>
  <si>
    <t>Cs8. Molnár Erika</t>
  </si>
  <si>
    <t>Cs5/1. Fridikné Király Eszter</t>
  </si>
  <si>
    <t>Cs5/1Földi Cristina Doris (Fridikné h.)</t>
  </si>
  <si>
    <t>Cs5/2. Hajduné Kálmán Margit</t>
  </si>
  <si>
    <t>Cs6. Kiss Bernadett</t>
  </si>
  <si>
    <t>Cs9. Putz Angelika</t>
  </si>
  <si>
    <t>Cs7/1. Dr. Lászlóné Sebők F (Réczey h.)</t>
  </si>
  <si>
    <t>Cs7/1. Réczey Kata</t>
  </si>
  <si>
    <t>Cs7/2. Orbán Dávid</t>
  </si>
  <si>
    <t>Cs10. Tordai Tünde Andrea</t>
  </si>
  <si>
    <t>Cs11. Pajor Andrea</t>
  </si>
  <si>
    <t>G1. Keresztes Sándor</t>
  </si>
  <si>
    <t>G2. Nagy Anikó</t>
  </si>
  <si>
    <t>G3. Nagy Lászlóné</t>
  </si>
  <si>
    <t>G4. Radnóti Krisztina</t>
  </si>
  <si>
    <t>G5. Scherer Henrikné</t>
  </si>
  <si>
    <t>G6. Török Sándor</t>
  </si>
  <si>
    <t>B1. Jenei Géza</t>
  </si>
  <si>
    <t>B2. Arnoldné Herczeg Edit</t>
  </si>
  <si>
    <t>B3. Csák Katalin</t>
  </si>
  <si>
    <t>B4. Dankos Mónika</t>
  </si>
  <si>
    <t>B5. Heffner Erika</t>
  </si>
  <si>
    <t>B6. Erdős Erika</t>
  </si>
  <si>
    <t>B7. Forroné Krizsek Márta</t>
  </si>
  <si>
    <t>B8. Takácsné Rácz Tímea</t>
  </si>
  <si>
    <t>B9. Ilia Mária Margit</t>
  </si>
  <si>
    <t>B10. Juhász Andrea</t>
  </si>
  <si>
    <t>B11. Dánné Molnár Jolán</t>
  </si>
  <si>
    <t>B12. Keresztély Anna</t>
  </si>
  <si>
    <t>B13. Koleszárné Varga Györgyi</t>
  </si>
  <si>
    <t>B14. Kozmáné Hégely Éva</t>
  </si>
  <si>
    <t>B15. Megyaszai Antalné</t>
  </si>
  <si>
    <t>B16. Németné Gábris Csilla</t>
  </si>
  <si>
    <t>38. Nyári Anita(elment)</t>
  </si>
  <si>
    <t>B17. Madaras Helga (Szabóné helyén)</t>
  </si>
  <si>
    <t>B17. Szabóné Balázs Krisztina</t>
  </si>
  <si>
    <t>B18. Rutkai Andrásné</t>
  </si>
  <si>
    <t>B19. Rutkai Norbertné</t>
  </si>
  <si>
    <t>B20. Szilágyiné Rádóczi Tímea</t>
  </si>
  <si>
    <t>B21. Tóth Enikő</t>
  </si>
  <si>
    <t>B22. Ujhelyi Tamara</t>
  </si>
  <si>
    <t>B23. Vereb Miklósné</t>
  </si>
  <si>
    <t>B24. Üres álláshely</t>
  </si>
  <si>
    <t>Cím:</t>
  </si>
  <si>
    <t>1. Önkormányzat</t>
  </si>
  <si>
    <t>Bevételek</t>
  </si>
  <si>
    <t>1.1. Önkormányzatok működési támogatásai</t>
  </si>
  <si>
    <t>A helyi önkormányzatok működésének általános támogatása</t>
  </si>
  <si>
    <t xml:space="preserve"> Egyes köznevelési feladatok támogatása</t>
  </si>
  <si>
    <t>Szociális, gyermekjóléti és gyermekétkeztetési feladatok támogatása</t>
  </si>
  <si>
    <t>Kulturális feladatok támogatása</t>
  </si>
  <si>
    <t>Működési célú központosított előirányzatok</t>
  </si>
  <si>
    <t>Egyéb működési célú központi támogatás</t>
  </si>
  <si>
    <t>Helyi önkormányzatok kiegészítő támogatásai</t>
  </si>
  <si>
    <t>1.2. Elvonások és befizetések bevételei</t>
  </si>
  <si>
    <t>1.3. Működési célú kölcsönök visszatérülése államháztartáson belülről</t>
  </si>
  <si>
    <t>1.4. Egyéb működési célú támogatások bevételei államháztartáson belülről</t>
  </si>
  <si>
    <t>Társadalombiztosítás pénzügyi alapjaiból (OEP támogatás)</t>
  </si>
  <si>
    <t>Központi költségvetési szervtől</t>
  </si>
  <si>
    <t>- Mezőőri támogatás</t>
  </si>
  <si>
    <t>- Közfoglalkoztatás támogatása</t>
  </si>
  <si>
    <t>Fejezeti kezelésű előirányzatból</t>
  </si>
  <si>
    <t>Nemzetiségi önkormányzattól</t>
  </si>
  <si>
    <t>Közhatalmi bevételek</t>
  </si>
  <si>
    <t>2.1. Vagyoni típusú adók</t>
  </si>
  <si>
    <t>Építményadó</t>
  </si>
  <si>
    <t>Telekadó</t>
  </si>
  <si>
    <t>2.2. Termékek és szolgáltatások adói</t>
  </si>
  <si>
    <t>Helyi iparűzési adó</t>
  </si>
  <si>
    <t>Gépjárműadó</t>
  </si>
  <si>
    <t>2.3. Egyéb adók</t>
  </si>
  <si>
    <t>Talajterhelési díj</t>
  </si>
  <si>
    <t>Idegenforgalmi adó</t>
  </si>
  <si>
    <t>Egyéb adóbevételek</t>
  </si>
  <si>
    <t>2.4. Egyéb közhatalmi bevételek</t>
  </si>
  <si>
    <t>Igazgatási szolgáltatási díjak</t>
  </si>
  <si>
    <t>Környezetvédelmi bírság</t>
  </si>
  <si>
    <t>Adóbírság</t>
  </si>
  <si>
    <t>Pótlékok, közhatalmi tevékenység egyéb bevételei</t>
  </si>
  <si>
    <t>3.1. Készletértékesítés ellenértéke</t>
  </si>
  <si>
    <t>3.2. Szolgáltatások ellenértéke</t>
  </si>
  <si>
    <t>Továbbszámlázott szolgáltatások bevétele</t>
  </si>
  <si>
    <t>Egyéb szolgáltatások bevétele</t>
  </si>
  <si>
    <t>3.3. Tulajdonosi bevételek</t>
  </si>
  <si>
    <t>Közterület használat</t>
  </si>
  <si>
    <t>ÉTV bérleti díj</t>
  </si>
  <si>
    <t>3.4. Ellátási díjak</t>
  </si>
  <si>
    <t>3.5. Kiszámlázott általános forgalmi adó</t>
  </si>
  <si>
    <t>3.6. Általános forgalmi adó visszatérítése</t>
  </si>
  <si>
    <t>3.7. Kamatbevételek</t>
  </si>
  <si>
    <t>3.8. Egyéb működési bevételek</t>
  </si>
  <si>
    <t>4.1. Működési célú kölcsönök visszatérülése államháztartáson kívülről</t>
  </si>
  <si>
    <t>4.2. Egyéb működési célú átvett pénzeszközök</t>
  </si>
  <si>
    <t>1.1. Felhalmozási célú önkormányzati támogatások</t>
  </si>
  <si>
    <t>1.2. Felhalmozási célú kölcsönök visszatérülése államháztartáson belülről</t>
  </si>
  <si>
    <t>1.3. Egyéb felhalmozási célú támogatások bevételei államháztartáson belülről</t>
  </si>
  <si>
    <t xml:space="preserve">2.2. Ingatlanok értékesítése </t>
  </si>
  <si>
    <t>Önkormányzati lakás értékesítés</t>
  </si>
  <si>
    <t>Telekértékesítés</t>
  </si>
  <si>
    <t>Egyéb ingatlan értékesítés</t>
  </si>
  <si>
    <t>2.3. Egyéb tárgyi eszközök értékesítése</t>
  </si>
  <si>
    <t>2.4. Részesedések értékesítése</t>
  </si>
  <si>
    <t>3.1. Felhalmozási célú támogatások, kölcsönök visszatérülése EU-tól</t>
  </si>
  <si>
    <t>3.2. Felhalmozási célú támogatások, kölcsönök visszatérülése kormányoktól, más nemzetközi szervezetektől</t>
  </si>
  <si>
    <t>3.3. Felhalmozási célú kölcsönök visszatérülése államháztartáson kívülről</t>
  </si>
  <si>
    <t>Lakáscélú hitel visszafizetése</t>
  </si>
  <si>
    <t>Munkáltatói hitel visszafizetése</t>
  </si>
  <si>
    <t>Egyéb kölcsön visszafizetése (csatornabekötésre adott, egyéb)</t>
  </si>
  <si>
    <t>3.4. Egyéb felhalmozási célú átvett pénzeszközök</t>
  </si>
  <si>
    <t>Annahegyi közműberuházás I. ütem</t>
  </si>
  <si>
    <t>Annahegyi közműberuházás II. ütem</t>
  </si>
  <si>
    <t>Felsővölgyi úti szennyvízcsatorna csatlakozás</t>
  </si>
  <si>
    <t>Szőlő utcai szennyvízcsatorna csatlakozás</t>
  </si>
  <si>
    <t>1.1. Hitel-, kölcsönfelvétel államháztartáson kívülről</t>
  </si>
  <si>
    <t>Hosszú lejáratú hitel, kölcsön felvétele</t>
  </si>
  <si>
    <t>Likviditási hitel, kölcsön felvétele</t>
  </si>
  <si>
    <t>Rövid lejáratú hitel, kölcsön felvétele</t>
  </si>
  <si>
    <t>1.2. Belföldi értékpapírok bevételei</t>
  </si>
  <si>
    <t>1.3. Maradvány igénybevétele</t>
  </si>
  <si>
    <t>Működési célú maradvány igénybevétel</t>
  </si>
  <si>
    <t>Felhalmozási célú maradvány igénybevétel</t>
  </si>
  <si>
    <t>1.4. Irányító szervi támogatás</t>
  </si>
  <si>
    <t>1.5. Betétek megszüntetése</t>
  </si>
  <si>
    <t>Külföldi finanszírozás bevételei</t>
  </si>
  <si>
    <t>2.1. Külföldi értékpapírok bevételei</t>
  </si>
  <si>
    <t>2.2. Külföldi hitel, kölcsön felvétele</t>
  </si>
  <si>
    <t>3.2. Felhalmozási célú támogatások, kölcsönök visszatérülése kormányoktól, nemzetközi szervezetektől</t>
  </si>
  <si>
    <t>Cím/ alcím</t>
  </si>
  <si>
    <t>Összesen</t>
  </si>
  <si>
    <t>VÁROSGONDNOKSÁG</t>
  </si>
  <si>
    <t>Zöldterület kezelés</t>
  </si>
  <si>
    <t>Települési hulladék begyűjtése</t>
  </si>
  <si>
    <t>Közvilágítás</t>
  </si>
  <si>
    <t>Közutak, járdák üzemeltetése, fenntartása</t>
  </si>
  <si>
    <t>Temető-fenntartás</t>
  </si>
  <si>
    <t>6.</t>
  </si>
  <si>
    <t>Orvosi rendelők fenntartása</t>
  </si>
  <si>
    <t>7.</t>
  </si>
  <si>
    <t>Sportpálya működtetése</t>
  </si>
  <si>
    <t>8.</t>
  </si>
  <si>
    <t>9.</t>
  </si>
  <si>
    <t>Lakó és nem lakó ingatlan bérbeadása, üzemeltetése</t>
  </si>
  <si>
    <t>10.</t>
  </si>
  <si>
    <t>Egyéb működési célú kiadások (elvonások, befizetések)</t>
  </si>
  <si>
    <t>11.</t>
  </si>
  <si>
    <t>12.</t>
  </si>
  <si>
    <t>Intézmények karbantartása</t>
  </si>
  <si>
    <t>13.</t>
  </si>
  <si>
    <t>14.</t>
  </si>
  <si>
    <t>15.</t>
  </si>
  <si>
    <t>Iskolai étkeztetés</t>
  </si>
  <si>
    <t>Személyi összesen</t>
  </si>
  <si>
    <t>Járulék összesen</t>
  </si>
  <si>
    <t>Dologi összesen</t>
  </si>
  <si>
    <t>Beruházás összesen</t>
  </si>
  <si>
    <t>felújítás összesen</t>
  </si>
  <si>
    <t>Kiadás mindösszesen</t>
  </si>
  <si>
    <t>VOLF GYÖRGY KÖNYVTÁR ÉS HELYTÖRTÉNETI GYŰJTEMÉNY 2016. (az adatok ezer forintban)</t>
  </si>
  <si>
    <t>VOLF GYÖRGY KÖNYVTÁR ÉS HELYTÖRTÉNETI GYŰJTEMÉNY (az adatok ezer forintban)</t>
  </si>
  <si>
    <t>VOLF GYÖRGY KÖNYVTÁR ÉS HELYTÖRTÉNETI GYŰJTEMÉNY 2016 (az adatok ezer forintban)</t>
  </si>
  <si>
    <t>Állománygyarapítás</t>
  </si>
  <si>
    <t>Kiadások</t>
  </si>
  <si>
    <t>MŰKÖDÉSI KÖLTSÉGVETÉSI KIADÁS</t>
  </si>
  <si>
    <t>MŰKÖDÉSI KÖLTSÉGVETÉSI HIÁNY</t>
  </si>
  <si>
    <t>MŰKÖDÉSI KÖLTSÉGVETÉSI TÖBBLET</t>
  </si>
  <si>
    <t>FELHALMOZÁSI KÖLTSÉGVETÉSI KIADÁS</t>
  </si>
  <si>
    <t>FELHALMOZÁSI KÖLTSÉGVETÉSI HIÁNY</t>
  </si>
  <si>
    <t>FELHALMOZÁSI KÖLTSÉGVETÉSI TÖBBLET</t>
  </si>
  <si>
    <t>KÖLTSÉGVETÉSI KIADÁSOK ÖSSZESEN</t>
  </si>
  <si>
    <t>KÖLTSÉGVETÉSI HIÁNY ÖSSZESEN</t>
  </si>
  <si>
    <t>KÖLTSÉGVETÉSI TÖBBLET ÖSSZESEN</t>
  </si>
  <si>
    <t>FINANSZÍROZÁSI KIADÁSOK</t>
  </si>
  <si>
    <t>MŰKÖDÉSI FINANSZÍROZÁSI BEVÉTELEK</t>
  </si>
  <si>
    <t>MŰKÖDÉSI FINANSZÍROZÁSI KIADÁSOK</t>
  </si>
  <si>
    <t>Belföldi finanszírozás kiadásai</t>
  </si>
  <si>
    <t>Külföldi finanszírozás kiadásai</t>
  </si>
  <si>
    <t>FELHALMOZÁSI FINANSZÍROZÁSI BEVÉTELEK</t>
  </si>
  <si>
    <t>FELHALMOZÁSI FINANSZÍROZÁSI KIADÁSOK</t>
  </si>
  <si>
    <t>Közművelődési tevékenység</t>
  </si>
  <si>
    <t>Intézmény működtetése</t>
  </si>
  <si>
    <t>Nemzeti ünnepek programjai</t>
  </si>
  <si>
    <t>MUNKÁCSY MIHÁLY MŰVELŐDÉSI HÁZ 2016. (az adatok ezer forintban)</t>
  </si>
  <si>
    <t>MUNKÁCSY MIHÁLY MŰVELŐDÉSI HÁZ  (az adatok ezer forintban)</t>
  </si>
  <si>
    <t>MUNKÁCSY MIHÁLY MŰVELŐDÉSI HÁZ 2016 (az adatok ezer forintban)</t>
  </si>
  <si>
    <t>TÖRÖKBÁLINTI POLGÁRMESTERI HIVATAL 2016. (az adatok ezer forintban)</t>
  </si>
  <si>
    <t>Önkormányzati igazgatás</t>
  </si>
  <si>
    <t>Közfoglalkoztatás</t>
  </si>
  <si>
    <t>Védőnők</t>
  </si>
  <si>
    <t>Közterület-felügyelet</t>
  </si>
  <si>
    <t>Mezei őrszolgálat</t>
  </si>
  <si>
    <t>Segélyek</t>
  </si>
  <si>
    <t>Egyéb államigazgatási feladatok</t>
  </si>
  <si>
    <t>Egyéb béren kívüli juttatások (cafeteria)</t>
  </si>
  <si>
    <t>Albérleti hozzájárulás</t>
  </si>
  <si>
    <t>Képviselők, polgármesterek juttatásai</t>
  </si>
  <si>
    <t>Egyéb választott tisztviselők juttatásai</t>
  </si>
  <si>
    <t>B3</t>
  </si>
  <si>
    <t>)</t>
  </si>
  <si>
    <t>K4</t>
  </si>
  <si>
    <t>054</t>
  </si>
  <si>
    <t>K41</t>
  </si>
  <si>
    <t>K42</t>
  </si>
  <si>
    <t>K43</t>
  </si>
  <si>
    <t>K44</t>
  </si>
  <si>
    <t>K45</t>
  </si>
  <si>
    <t>K46</t>
  </si>
  <si>
    <t>K47</t>
  </si>
  <si>
    <t>K48</t>
  </si>
  <si>
    <t>05411</t>
  </si>
  <si>
    <t>05421</t>
  </si>
  <si>
    <t>05431</t>
  </si>
  <si>
    <t>05441</t>
  </si>
  <si>
    <t>05451</t>
  </si>
  <si>
    <t>05461</t>
  </si>
  <si>
    <t>05471</t>
  </si>
  <si>
    <t>05481</t>
  </si>
  <si>
    <t>Társadalombiztosítási ellátások</t>
  </si>
  <si>
    <t>Családi támogatások</t>
  </si>
  <si>
    <t>Pénzbeli kárpótlások, kártérítések</t>
  </si>
  <si>
    <t>Betegséggel kapcsolatos (nem tb) ellátások</t>
  </si>
  <si>
    <t>Foglalkozt., munkanélk. kapcsolatos ellátások</t>
  </si>
  <si>
    <t>Lakhatással kapcsolatos ellátások</t>
  </si>
  <si>
    <t>Intézményi ellátottak pénzbeli juttatásai</t>
  </si>
  <si>
    <t>Egyéb nem intézményi ellátások</t>
  </si>
  <si>
    <t>Ped ösztöndíj, ÁROP 2015</t>
  </si>
  <si>
    <t>2. Polgármesteri Hivatal</t>
  </si>
  <si>
    <t>Ösztöndíjas foglalkoztatás engedélyezett létszáma</t>
  </si>
  <si>
    <t>1.1. Igazgatási szolgáltatási díjak</t>
  </si>
  <si>
    <t>1.2. Egyéb közhatalmi bevételek</t>
  </si>
  <si>
    <t>2.1. Készletértékesítés ellenértéke</t>
  </si>
  <si>
    <t>2.2. Szolgáltatások ellenértéke</t>
  </si>
  <si>
    <t>POLGÁRMESTERI HIVATAL</t>
  </si>
  <si>
    <t xml:space="preserve">Önkormányzati igazgatási feladatok </t>
  </si>
  <si>
    <t>Védőnői szolgálat</t>
  </si>
  <si>
    <t>Pedagógus ösztöndíj</t>
  </si>
  <si>
    <t>ÁLLAMIGAZGATÁSI FELADATOK</t>
  </si>
  <si>
    <t xml:space="preserve">Jegyzői hatáskörbe tartozó segélyek </t>
  </si>
  <si>
    <t xml:space="preserve">Egyéb államigazgatási feladatok </t>
  </si>
  <si>
    <t>2.3. Tulajdonosi bevételek</t>
  </si>
  <si>
    <t>2.4. Ellátási díjak</t>
  </si>
  <si>
    <t>2.5. Kiszámlázott általános forgalmi adó</t>
  </si>
  <si>
    <t>2.6. Általános forgalmi adó visszatérítése</t>
  </si>
  <si>
    <t>2.7. Kamatbevételek</t>
  </si>
  <si>
    <t>2.8. Egyéb működési bevételek</t>
  </si>
  <si>
    <t>Más közhatalmi bevételek</t>
  </si>
  <si>
    <t>Betétek megszüntetése</t>
  </si>
  <si>
    <t>5.1. Elvonások és befizetések</t>
  </si>
  <si>
    <t>5.2. Működési célú kölcsön nyújtása államháztartáson belülre</t>
  </si>
  <si>
    <t>5.3. Egyéb működési célú támogatások államháztartáson belülre</t>
  </si>
  <si>
    <t>5.4.  Egyéb működési célú támogatások államháztartáson kívülre</t>
  </si>
  <si>
    <t>5.5. Tartalékok</t>
  </si>
  <si>
    <t>Általános tartalék</t>
  </si>
  <si>
    <t>Működési céltartalék</t>
  </si>
  <si>
    <t>Felhamozási céltartalék</t>
  </si>
  <si>
    <t>3.1. Felhalmozási célú kölcsönök nyújtása államháztartáson belülre</t>
  </si>
  <si>
    <t>3.2.Felhalmozási célú kölcsönök nyújtása államháztartáson kívülre</t>
  </si>
  <si>
    <t>3.3. Lakástámogatás</t>
  </si>
  <si>
    <t>3.4. Felhalmozási célú támogatások államháztartáson belülre</t>
  </si>
  <si>
    <t>3.5. Felhalmozási célú támogatások államháztartáson kívülre</t>
  </si>
  <si>
    <t>1.1. Hitel-, kölcsöntörlesztés államháztartáson kívülre</t>
  </si>
  <si>
    <t>Hosszú lejáratú hitel, kölcsön törlesztése</t>
  </si>
  <si>
    <t>Rövid lejáratú hitel, kölcsön törlesztése</t>
  </si>
  <si>
    <t>1.2. Belföldi értékpapírok kiadásai</t>
  </si>
  <si>
    <t>1.3. Államháztartáson belüli megelőlegezések visszafizetése</t>
  </si>
  <si>
    <t>1.4. Irányító szervi támogatás folyósítása</t>
  </si>
  <si>
    <t>1.5. Pénzeszközök betétként elhelyezése</t>
  </si>
  <si>
    <t>1.6. Pénzügyi lízing kiadásai</t>
  </si>
  <si>
    <t>2.1. Külföldi értékpapírok kiadásai</t>
  </si>
  <si>
    <t>2.2. Külföldi hitel, kölcsön törlesztése</t>
  </si>
  <si>
    <t>1.3. Államháztartáson belüli megelőlegezés visszafizetése</t>
  </si>
  <si>
    <t>1.4. Pénzeszközök betétként elhelyezése</t>
  </si>
  <si>
    <t>1.5. Pénzügyi lízing kiadásai</t>
  </si>
  <si>
    <t>ÖNKOMÁNYZAT</t>
  </si>
  <si>
    <t>Településrendezés, településfejlesztés</t>
  </si>
  <si>
    <t>Közparkok fenntartása, kialakítása</t>
  </si>
  <si>
    <t>Egészségügyi alapellátás</t>
  </si>
  <si>
    <t>Választás, népszavazás</t>
  </si>
  <si>
    <t>Lakás- és helyiséggazdálkodás</t>
  </si>
  <si>
    <t>Környezetegészségügy</t>
  </si>
  <si>
    <t>Helyi környezet- és természetvédelem</t>
  </si>
  <si>
    <t>Egyéb településüzemeltetési feladatok</t>
  </si>
  <si>
    <t>Segélyek kötelező</t>
  </si>
  <si>
    <t>Járóbeteg szakellátás - nőgyógyászat</t>
  </si>
  <si>
    <t>Kerékpárutak tervezése, kivitelezése</t>
  </si>
  <si>
    <t xml:space="preserve">Ifjúsági Önkormányzat </t>
  </si>
  <si>
    <t xml:space="preserve">Elhelyezés családok átmeneti otthonában </t>
  </si>
  <si>
    <t xml:space="preserve">Gyermekek átmeneti otthona </t>
  </si>
  <si>
    <t>Duna Szimfonikus Zenekar hangversenysorozat</t>
  </si>
  <si>
    <t>Kábítószerellenes Egyeztető Fórum</t>
  </si>
  <si>
    <t>Korai fejlesztés, gondozás</t>
  </si>
  <si>
    <t>Könyvvizsgálat</t>
  </si>
  <si>
    <t>Lovas járőrszolgálat</t>
  </si>
  <si>
    <t>Betegszállítás</t>
  </si>
  <si>
    <t xml:space="preserve">Tervtanács </t>
  </si>
  <si>
    <t>Médiaszolgáltatások</t>
  </si>
  <si>
    <t>16.</t>
  </si>
  <si>
    <t>17.</t>
  </si>
  <si>
    <t>Rendőrség támogatása</t>
  </si>
  <si>
    <t>18.</t>
  </si>
  <si>
    <t>Hajléktalanok átmeneti elhelyezése</t>
  </si>
  <si>
    <t>19.</t>
  </si>
  <si>
    <t>20.</t>
  </si>
  <si>
    <t xml:space="preserve">Cigány Nemzetiségi Önkorm. támogatása </t>
  </si>
  <si>
    <t>21.</t>
  </si>
  <si>
    <t>Román Nemzetiségi Önkorm. Támogatása</t>
  </si>
  <si>
    <t>22.</t>
  </si>
  <si>
    <t>Együttműködés a Kaposvári Egyetemmel</t>
  </si>
  <si>
    <t>23.</t>
  </si>
  <si>
    <t>Orvosok, fogorvosok támogatása</t>
  </si>
  <si>
    <t>24.</t>
  </si>
  <si>
    <t>Városőrség támogatása</t>
  </si>
  <si>
    <t>25.</t>
  </si>
  <si>
    <t>Hegyőrség támogatása</t>
  </si>
  <si>
    <t>26.</t>
  </si>
  <si>
    <t>27.</t>
  </si>
  <si>
    <t>OMI támogatása</t>
  </si>
  <si>
    <t>28.</t>
  </si>
  <si>
    <t>29.</t>
  </si>
  <si>
    <t>Civil szervezetek támogatása</t>
  </si>
  <si>
    <t>30.</t>
  </si>
  <si>
    <t xml:space="preserve">Egyházak támogatása </t>
  </si>
  <si>
    <t>31.</t>
  </si>
  <si>
    <t>Sportszervezetek támogatása</t>
  </si>
  <si>
    <t>32.</t>
  </si>
  <si>
    <t xml:space="preserve">PR-Evolution Dance Company támogatása </t>
  </si>
  <si>
    <t>Gyermekek egyéb napközbeni ellátása</t>
  </si>
  <si>
    <t>34.</t>
  </si>
  <si>
    <t>Segélyek - önként vállalt</t>
  </si>
  <si>
    <t>35.</t>
  </si>
  <si>
    <t xml:space="preserve">Egyéb önként vállalt feladatok </t>
  </si>
  <si>
    <t>36.</t>
  </si>
  <si>
    <t>Egyéb fejlesztési, felújítási feladatok</t>
  </si>
  <si>
    <t>37.</t>
  </si>
  <si>
    <t>Foglalkoztatottak részére csoportos egészségbiztosítás</t>
  </si>
  <si>
    <t>Intézményfinanszírozás</t>
  </si>
  <si>
    <t>Államháztartáson belüli megelőlegezések visszafizetése</t>
  </si>
  <si>
    <t>Hitel törlesztés</t>
  </si>
  <si>
    <t>Pénzeszközök betétként elhelyezése</t>
  </si>
  <si>
    <t>Rovatkód</t>
  </si>
  <si>
    <t>Kötelező összesen 2015</t>
  </si>
  <si>
    <t>Kötelező összesen 2016</t>
  </si>
  <si>
    <t>Önként vállalt össz 2015</t>
  </si>
  <si>
    <t>Önként vállalt össz 2016</t>
  </si>
  <si>
    <t>Finansz 2015</t>
  </si>
  <si>
    <t>Finansz 2016</t>
  </si>
  <si>
    <t>Településrendezés 121001 2015. év</t>
  </si>
  <si>
    <t>Településrendezés 121001 2016. év</t>
  </si>
  <si>
    <t>Közparkok 121002 2015. év</t>
  </si>
  <si>
    <t>Közparkok 121002 2016. év</t>
  </si>
  <si>
    <t>Eü alapellátás 121004 2015. év</t>
  </si>
  <si>
    <t>Eü alapellátás 121004 2016. év</t>
  </si>
  <si>
    <t>Védőnők 121005 2015. év</t>
  </si>
  <si>
    <t>Védőnők 121005 2016. év</t>
  </si>
  <si>
    <t>Fogy sz nappali ell 121006 2015. év</t>
  </si>
  <si>
    <t>Választás 121007 2015. év</t>
  </si>
  <si>
    <t>Választás 121007 2016. év</t>
  </si>
  <si>
    <t>Helyiséggazd 121008 2015. év</t>
  </si>
  <si>
    <t>Helyiséggazd 121008 2016. év</t>
  </si>
  <si>
    <t>Környezet-eü 121009 2015. év</t>
  </si>
  <si>
    <t>Környezet-eü 121009 2016. év</t>
  </si>
  <si>
    <t>H körny és term véd 121010 2015. év</t>
  </si>
  <si>
    <t>H körny és term véd 121010 2016. év</t>
  </si>
  <si>
    <t>Ünnepek 121028 2015. év</t>
  </si>
  <si>
    <t>Ünnepek 121028 2016. év</t>
  </si>
  <si>
    <t>Egyéb telep üz fel 121011 2015. év</t>
  </si>
  <si>
    <t>Egyéb telep üz fel 121011 2016. év</t>
  </si>
  <si>
    <t>Segélyek kötelező 121029 2015. év</t>
  </si>
  <si>
    <t>Segélyek kötelező 121029 2016. év</t>
  </si>
  <si>
    <t>Járóbeteg (nőgyógy) 122001 2015. év</t>
  </si>
  <si>
    <t>Járóbeteg (nőgyógy) 122001 2016. év</t>
  </si>
  <si>
    <t>ZED kártérítés 122002 2015. év</t>
  </si>
  <si>
    <t>ZED kártérítés 122002 2016. év</t>
  </si>
  <si>
    <t>Kerékpár koncepció 122004 2015. év</t>
  </si>
  <si>
    <t>Kerékpár koncepció 122004 2016. év</t>
  </si>
  <si>
    <t>Ifjúsági ÖK 122006 2015. év</t>
  </si>
  <si>
    <t>Ifjúsági ÖK 122006 2016. év</t>
  </si>
  <si>
    <t>Bursa ösztöndíj 122007 2015. év</t>
  </si>
  <si>
    <t>Civil koncepció 122008 2015. év</t>
  </si>
  <si>
    <t>Civil koncepció 122008 2016. év</t>
  </si>
  <si>
    <t>Családok átm otthona 122009 2015. év</t>
  </si>
  <si>
    <t>Családok átm otthona 122009 2016. év</t>
  </si>
  <si>
    <t>Gyermekek átm otthona 122010 2015. év</t>
  </si>
  <si>
    <t>Gyermekek átm otthona 122010 2016. év</t>
  </si>
  <si>
    <t>Duna Szimf 122011 2015. év</t>
  </si>
  <si>
    <t>Duna Szimf 122011 2016. év</t>
  </si>
  <si>
    <t>Korai fejlesztés 122013 2015. év</t>
  </si>
  <si>
    <t>Korai fejlesztés 122013 2016. év</t>
  </si>
  <si>
    <t>Könyvvizsgálat 122014 2015. év</t>
  </si>
  <si>
    <t>Könyvvizsgálat 122014 2016. év</t>
  </si>
  <si>
    <t>Betegszáll 122018 2015. év</t>
  </si>
  <si>
    <t>Betegszáll 122018 2016. év</t>
  </si>
  <si>
    <t>Lovas járőr 122017 2015. év</t>
  </si>
  <si>
    <t>Lovas járőr 122017 2016. év</t>
  </si>
  <si>
    <t>Közterület-felügyelet 122015 2015. év</t>
  </si>
  <si>
    <t>Közterület-felügyelet 122015 2016. év</t>
  </si>
  <si>
    <t>Tervtanács 122019 2015. év</t>
  </si>
  <si>
    <t>Tervtanács 122019 2016. év</t>
  </si>
  <si>
    <t>Médiaszolg 122020 2015. év</t>
  </si>
  <si>
    <t>Médiaszolg 122020 2016. év</t>
  </si>
  <si>
    <t>Jelzőrendszeres,, támog szolg 122021 2015. év</t>
  </si>
  <si>
    <t>Jelzőrendszeres,, támog szolg 122021 2016. év</t>
  </si>
  <si>
    <t>Rendőrség tám 122023 2015. év</t>
  </si>
  <si>
    <t>Rendőrség tám 122023 2016. év</t>
  </si>
  <si>
    <t>TNÖ tám 122025 2015. év</t>
  </si>
  <si>
    <t>TNÖ tám 122025 2016. év</t>
  </si>
  <si>
    <t>CNÖ tám 122026 2015. év</t>
  </si>
  <si>
    <t>CNÖ tám 122026 2016. év</t>
  </si>
  <si>
    <t>Kaposvári E tám 122027 2015. év</t>
  </si>
  <si>
    <t>Kaposvári E tám 122027 2016. év</t>
  </si>
  <si>
    <t>Orvosok tám 122028 2015. év</t>
  </si>
  <si>
    <t>Orvosok tám 122028 2016. év</t>
  </si>
  <si>
    <t>Városőrség tám 122029 2015. év</t>
  </si>
  <si>
    <t>Városőrség tám 122029 2016. év</t>
  </si>
  <si>
    <t>Hegyőrség 2015. év</t>
  </si>
  <si>
    <t>Hegyőrség 2016. év</t>
  </si>
  <si>
    <t>Volánbusz tám 122003 2015. év</t>
  </si>
  <si>
    <t>Volánbusz tám 122003 2016. év</t>
  </si>
  <si>
    <t>BKK tám 122030 2015. év</t>
  </si>
  <si>
    <t>BKK tám 122030 2016. év</t>
  </si>
  <si>
    <t>OMI tám 122031 2015. év</t>
  </si>
  <si>
    <t>OMI tám 122031 2016. év</t>
  </si>
  <si>
    <t>Kult szerv tám 122032 2015. év</t>
  </si>
  <si>
    <t>Kult szerv tám 122032 2016. év</t>
  </si>
  <si>
    <t>Civil tám 122033 2015. év</t>
  </si>
  <si>
    <t>Civil tám 122033 2016. év</t>
  </si>
  <si>
    <t>Egyházak tám 122034 2015. év</t>
  </si>
  <si>
    <t>Egyházak tám 122034 2016. év</t>
  </si>
  <si>
    <t>Sportszer-vezetek támogatása 2015. év</t>
  </si>
  <si>
    <t>Sportszer-vezetek támogatása 2016. év</t>
  </si>
  <si>
    <t>PR Evolution 122037 2015. év</t>
  </si>
  <si>
    <t>PR Evolution 122037 2016. év</t>
  </si>
  <si>
    <t>Shaolin Kung Fu 122038 2015. év</t>
  </si>
  <si>
    <t>Shaolin Kung Fu 122038 2016. év</t>
  </si>
  <si>
    <t>Háztartások tám 122040 2015. év</t>
  </si>
  <si>
    <t>Háztartások tám 122040 2016. év</t>
  </si>
  <si>
    <t>Gyerm e. napközbeni ellátása 122041 2015. év</t>
  </si>
  <si>
    <t>Gyerm e. napközbeni ellátása 122041 2016. év</t>
  </si>
  <si>
    <t>Segélyek önként 122042 2015. év</t>
  </si>
  <si>
    <t>Segélyek önként 122042 2016. év</t>
  </si>
  <si>
    <t>Egyéb önként vállalt 122050 2015. év</t>
  </si>
  <si>
    <t>Egyéb önként vállalt 122050 2016. év</t>
  </si>
  <si>
    <t>Beruházások 2015. év</t>
  </si>
  <si>
    <t>Beruházások 2016. év</t>
  </si>
  <si>
    <t>Felújítások 2015. év</t>
  </si>
  <si>
    <t>Felújítások 2016. év</t>
  </si>
  <si>
    <t>Kedvezményes HPV oltás 2015. év</t>
  </si>
  <si>
    <t>Kábszer Egyeztető F 122012 2015. év</t>
  </si>
  <si>
    <t>Kábszer Egyeztető F 122012 2016. év</t>
  </si>
  <si>
    <t>ÁROP Szervezetfejl. 122044 2015. év</t>
  </si>
  <si>
    <t>ÁROP Szervezetfejl. 122044 2016. év</t>
  </si>
  <si>
    <t>Foglalkoztatottak részére csop eg bizt 2015. év</t>
  </si>
  <si>
    <t>Foglalkoztatottak részére csop eg bizt 2016. év</t>
  </si>
  <si>
    <t>RNÖ támogatása 2015. év</t>
  </si>
  <si>
    <t>RNÖ támogatása 2016. év</t>
  </si>
  <si>
    <t>Törvény szerinti illetmények, munkbérek</t>
  </si>
  <si>
    <t>Foglalkoztatottak egyéb juttatásai</t>
  </si>
  <si>
    <t>Nem saját foglalkoztatottnak fizetett juttatás</t>
  </si>
  <si>
    <t>K1.</t>
  </si>
  <si>
    <t>K2.</t>
  </si>
  <si>
    <t>Szakmai anyagok beszerzése</t>
  </si>
  <si>
    <t>Üzemeltetési anyagok beszerzése</t>
  </si>
  <si>
    <t>Készletbeszerzés</t>
  </si>
  <si>
    <t>Kommunikációs szolgáltatások</t>
  </si>
  <si>
    <t>Közüzemi díjak</t>
  </si>
  <si>
    <t>Bérleti és lízing díjak</t>
  </si>
  <si>
    <t>Közvetített szolgáltatások</t>
  </si>
  <si>
    <t>Egyéb szolgáltatások</t>
  </si>
  <si>
    <t>Szolgáltatási kiadások</t>
  </si>
  <si>
    <t>Kiküldetések kiadásai</t>
  </si>
  <si>
    <t>Reklám- és propagandakiadások</t>
  </si>
  <si>
    <t>Kiküldetések, reklám-, propaganda kiadások</t>
  </si>
  <si>
    <t>Működési célú előzetesen felszámított általános forgalmi adó</t>
  </si>
  <si>
    <t>Fizetendő általános forgalmi adó</t>
  </si>
  <si>
    <t>Dologi kiadások összesen</t>
  </si>
  <si>
    <t>Betegséggel kapcsolatos (nem társadalombiztosítási) ellátások</t>
  </si>
  <si>
    <t>Foglalkoztatással, munkanélküliséggel kapcsolatos ellátások</t>
  </si>
  <si>
    <t>K501</t>
  </si>
  <si>
    <t>Nemzetközi kötelezettségek</t>
  </si>
  <si>
    <t>K502</t>
  </si>
  <si>
    <t>Elvonások és befizetések</t>
  </si>
  <si>
    <t>K503</t>
  </si>
  <si>
    <t>Működési célú garancia- és kezességvállalás áht belülre</t>
  </si>
  <si>
    <t>K504</t>
  </si>
  <si>
    <t>Működési célú visszatérítendő kölcsön nyújtás áht belülre</t>
  </si>
  <si>
    <t>K505</t>
  </si>
  <si>
    <t>Működési célú visszatérítendő kölcsöntörlesztés áht belülre</t>
  </si>
  <si>
    <t>K506</t>
  </si>
  <si>
    <t>Egyéb működési célú támogatások államháztartáson belülre</t>
  </si>
  <si>
    <t>K507</t>
  </si>
  <si>
    <t>Működési célú garancia- és kezességvállalás áht kívülre</t>
  </si>
  <si>
    <t>K508</t>
  </si>
  <si>
    <t>Működési célú visszatérítendő kölcsön nyújtás áht kívülre</t>
  </si>
  <si>
    <t>K509</t>
  </si>
  <si>
    <t>Árkiegészítések, ártámogatások</t>
  </si>
  <si>
    <t>K510</t>
  </si>
  <si>
    <t>Kamattámogatások</t>
  </si>
  <si>
    <t>K511</t>
  </si>
  <si>
    <t>Egyéb működési célú támogatások államháztartáson kívülre</t>
  </si>
  <si>
    <t>K512</t>
  </si>
  <si>
    <t>Tartalékok</t>
  </si>
  <si>
    <t>K5</t>
  </si>
  <si>
    <t>Egyéb tárgyi eszközök beszerzése, létesítése</t>
  </si>
  <si>
    <t>Meglévő részesedések növeléséhez kapcsolódó kiadások</t>
  </si>
  <si>
    <t>Beruházási célú előzetesen felszámított általános forgalmi adó</t>
  </si>
  <si>
    <t>Informatikai eszközök felújítása</t>
  </si>
  <si>
    <t>Egyéb tárgyi eszközök felújítása</t>
  </si>
  <si>
    <t>Felújítási célú előzetesen felszámított általános forgalmi adó</t>
  </si>
  <si>
    <t>K81</t>
  </si>
  <si>
    <t>Felhalmozási célú garancia- és kezességváll áht belül</t>
  </si>
  <si>
    <t>K82</t>
  </si>
  <si>
    <t>Felhalmozási célú kölcsön nyújtás áht belül</t>
  </si>
  <si>
    <t>K83</t>
  </si>
  <si>
    <t>Felhalmozási célú kölcsönök törlesztése áht belül</t>
  </si>
  <si>
    <t>K84</t>
  </si>
  <si>
    <t>Egyéb felhalmozási célú támogatások államháztartáson belülre</t>
  </si>
  <si>
    <t>K85</t>
  </si>
  <si>
    <t>Felhalmozási célú garancia- és kezességváll áht kívül</t>
  </si>
  <si>
    <t>K86</t>
  </si>
  <si>
    <t>Felhalmozási célú kölcsönök nyújtása államháztartáson kívülre</t>
  </si>
  <si>
    <t>K87</t>
  </si>
  <si>
    <t>Lakástámogatás</t>
  </si>
  <si>
    <t>K88</t>
  </si>
  <si>
    <t>Egyéb felhalmozási célú támogatások államháztartáson kívülre</t>
  </si>
  <si>
    <t>K8</t>
  </si>
  <si>
    <t>K9111</t>
  </si>
  <si>
    <t>Hosszú lejáratú hitelek, kölcsönök törlesztése</t>
  </si>
  <si>
    <t>K9112</t>
  </si>
  <si>
    <t>Likviditási célú hitelek, kölcsönök törlesztése p váll.nak</t>
  </si>
  <si>
    <t>K9113</t>
  </si>
  <si>
    <t>Rövid lejáratú hitelek, kölcsönök törlesztése</t>
  </si>
  <si>
    <t>K9121</t>
  </si>
  <si>
    <t>Forgatási célú belföldi értékpapírok vásárlása</t>
  </si>
  <si>
    <t>K9122</t>
  </si>
  <si>
    <t>Forgatási célú belföldi értékpapírok beváltása</t>
  </si>
  <si>
    <t>K9123</t>
  </si>
  <si>
    <t>Befektetési célú belföldi értékpapírok vásárlása</t>
  </si>
  <si>
    <t>K9124</t>
  </si>
  <si>
    <t>Befektetési célú belföldi értékpapírok beváltása</t>
  </si>
  <si>
    <t>K913</t>
  </si>
  <si>
    <t>Államháztartáson belüli megelőlegezések folyósítása</t>
  </si>
  <si>
    <t>K914</t>
  </si>
  <si>
    <t>K915</t>
  </si>
  <si>
    <t>Központi, irányító szervi támogatás folyósítása</t>
  </si>
  <si>
    <t>K916</t>
  </si>
  <si>
    <t>K917</t>
  </si>
  <si>
    <t>Pénzügyi lízing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</si>
  <si>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</si>
  <si>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</si>
  <si>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</si>
  <si>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</si>
  <si>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</si>
  <si>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</si>
  <si>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</si>
  <si>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Külföldi hitelek, kölcsönök törlesztése</t>
  </si>
  <si>
    <t>K93</t>
  </si>
  <si>
    <t>Adóssághoz nem kapcsolódó származékos ügyletek kiadásai</t>
  </si>
  <si>
    <t>K9</t>
  </si>
  <si>
    <t>Finanszírozási kiadások</t>
  </si>
  <si>
    <t>KIADÁSOK MINDÖSSZESEN</t>
  </si>
  <si>
    <t>Beruházások  feladatonként</t>
  </si>
  <si>
    <t>Ssz.</t>
  </si>
  <si>
    <t>A nettó összeg rovata</t>
  </si>
  <si>
    <t>Nettó összeg</t>
  </si>
  <si>
    <t>Áfa</t>
  </si>
  <si>
    <t>Részletező</t>
  </si>
  <si>
    <t>Önkormányzati beruházások</t>
  </si>
  <si>
    <t>Ebédlőhelyiség kialakítása, bővítése (Zimándy I. Iskola)</t>
  </si>
  <si>
    <t>Polgármesteri Hivatal</t>
  </si>
  <si>
    <t>Informatikai eszköz beszerzés</t>
  </si>
  <si>
    <t>Egyéb eszköz beszerzés</t>
  </si>
  <si>
    <t>Városgondnokság</t>
  </si>
  <si>
    <t>Nyitnikék Óvoda</t>
  </si>
  <si>
    <t>Bóbita Óvoda</t>
  </si>
  <si>
    <t>Felújítások célonként</t>
  </si>
  <si>
    <t>Önkormányzati felújítások</t>
  </si>
  <si>
    <t>ÉTV közmű felújítás</t>
  </si>
  <si>
    <t>Szérűskert Bölcsőde felújítása</t>
  </si>
  <si>
    <t>Kazáncserék (Walla József Óvoda, Bóbita Óvoda régi épület)</t>
  </si>
  <si>
    <t>Bóbita Óvoda geotermikus gépészeti rendszerének javítása</t>
  </si>
  <si>
    <t>Belső kőburkolat megerősítése a Munkácsy M. Művelődési Házban és a Volf György Könyvtárban</t>
  </si>
  <si>
    <t>Bálint M. Iskola tanétterem elektromos rendszerének korszerűsítése, szabványosítása</t>
  </si>
  <si>
    <t>Bálint M. Iskola Köztársaság téri épületében riasztórendszer felújítása</t>
  </si>
  <si>
    <t>Tantermek felújítása a Zimándy I. Iskolában</t>
  </si>
  <si>
    <t>MMMH villamosenergiát biztosító rendszer felújítása</t>
  </si>
  <si>
    <t>Intézményi felújítások</t>
  </si>
  <si>
    <t>Lakóingatlanok (53 lakás) elektromos felújítása (Városgondnokság)</t>
  </si>
  <si>
    <t>1. Általános tartalék</t>
  </si>
  <si>
    <t>2. Működési céltartalék</t>
  </si>
  <si>
    <t>2.1. Környezetvédelmi alap</t>
  </si>
  <si>
    <t>2.2. Polgármesteri keret</t>
  </si>
  <si>
    <t>2.3. Alpolgármesteri keret</t>
  </si>
  <si>
    <t>2.5. Alpolgármesteri keret (beruh.)</t>
  </si>
  <si>
    <t>2.5. Foglalkoztatottak részére egészségbiztosítás</t>
  </si>
  <si>
    <t>2.8. TTC Labdarúgó Szakosztály támogatása</t>
  </si>
  <si>
    <t>3. Felhalmozási céltartalék</t>
  </si>
  <si>
    <t>3.1. ProgressB Zrt. elkülönített számla</t>
  </si>
  <si>
    <t xml:space="preserve">3.1. Lakásalap </t>
  </si>
  <si>
    <t>3.1. Vízügyi építési alap</t>
  </si>
  <si>
    <t>3.2. Víziközmű számla</t>
  </si>
  <si>
    <t>3.2. Pályázati önrészre elkülönített céltartalék</t>
  </si>
  <si>
    <t>3.3. Fejlesztési céltartalék</t>
  </si>
  <si>
    <t>Összesen:</t>
  </si>
  <si>
    <t>Közfoglal-koztatás 2015</t>
  </si>
  <si>
    <t>Közfoglal-köztatás 2016</t>
  </si>
  <si>
    <t>KÖLTSÉGVETÉSI HIÁNY</t>
  </si>
  <si>
    <t>KÖLTSÉGVETÉSI TÖBBLET</t>
  </si>
  <si>
    <t>MŰKÖDÉSI EGYENLEG</t>
  </si>
  <si>
    <t>FELHALMOZÁSI EGYENLEG</t>
  </si>
  <si>
    <t>KÖLTSÉGVETÉSI EGYENLEG</t>
  </si>
  <si>
    <t>BELSŐ FINANSZÍROZÁSI FORRÁS (maradvány, betét)</t>
  </si>
  <si>
    <t>VÁRHATÓ BETÉT</t>
  </si>
  <si>
    <t>ÖSSZESEN</t>
  </si>
  <si>
    <t>Erzsébet utalvány 4,5 státuszra</t>
  </si>
  <si>
    <t>Szemüveg térítés, egyéb térítés</t>
  </si>
  <si>
    <t>FELADATOK ÖSSZESEN</t>
  </si>
  <si>
    <t>I/1</t>
  </si>
  <si>
    <t>I/2</t>
  </si>
  <si>
    <t>I/3</t>
  </si>
  <si>
    <t>I/4</t>
  </si>
  <si>
    <t>I/5</t>
  </si>
  <si>
    <t>I/6</t>
  </si>
  <si>
    <t>I/7</t>
  </si>
  <si>
    <t>I/8</t>
  </si>
  <si>
    <t>I/9</t>
  </si>
  <si>
    <t>I/10</t>
  </si>
  <si>
    <t>I/11</t>
  </si>
  <si>
    <t>I/12</t>
  </si>
  <si>
    <t>I/13</t>
  </si>
  <si>
    <t>Önkormányzati igazgatási feladatok</t>
  </si>
  <si>
    <t>I/14</t>
  </si>
  <si>
    <t>I/15</t>
  </si>
  <si>
    <t>I/16</t>
  </si>
  <si>
    <t>I/17</t>
  </si>
  <si>
    <t>I/18</t>
  </si>
  <si>
    <t>I/19</t>
  </si>
  <si>
    <t>Temető fenntartás</t>
  </si>
  <si>
    <t>I/20</t>
  </si>
  <si>
    <t>I/21</t>
  </si>
  <si>
    <t>I/22</t>
  </si>
  <si>
    <t>I/23</t>
  </si>
  <si>
    <t>I/24</t>
  </si>
  <si>
    <t>I/25</t>
  </si>
  <si>
    <t>I/26</t>
  </si>
  <si>
    <t>I/27</t>
  </si>
  <si>
    <t>Közművelődési intézmények működtetése</t>
  </si>
  <si>
    <t>I/28</t>
  </si>
  <si>
    <t>I/29</t>
  </si>
  <si>
    <t>Könyvtári állomány gyarapítása</t>
  </si>
  <si>
    <t>Múzeumi kiállítási tevékenység (Falumúzeum)</t>
  </si>
  <si>
    <t>I/30</t>
  </si>
  <si>
    <t>I/31</t>
  </si>
  <si>
    <t>I/32</t>
  </si>
  <si>
    <t>I/33</t>
  </si>
  <si>
    <t>I/34</t>
  </si>
  <si>
    <t>II/1</t>
  </si>
  <si>
    <t>II/2</t>
  </si>
  <si>
    <t>II/3</t>
  </si>
  <si>
    <t>II/4</t>
  </si>
  <si>
    <t>II/5</t>
  </si>
  <si>
    <t>Ifjúsági Önkormányzat</t>
  </si>
  <si>
    <t>Bursa Hungarica felsőokt ösztöndíj</t>
  </si>
  <si>
    <t>II/6</t>
  </si>
  <si>
    <t>II/7</t>
  </si>
  <si>
    <t>Elhelyezés családok átmeneti otthonában</t>
  </si>
  <si>
    <t>II/8</t>
  </si>
  <si>
    <t>Gyermekek átmeneti otthona</t>
  </si>
  <si>
    <t>II/9</t>
  </si>
  <si>
    <t>Duna Szimfonikus Zenekar hangversenysor.</t>
  </si>
  <si>
    <t>II/10</t>
  </si>
  <si>
    <t>II/11</t>
  </si>
  <si>
    <t>II/12</t>
  </si>
  <si>
    <t>II/13</t>
  </si>
  <si>
    <t>II/14</t>
  </si>
  <si>
    <t>II/15</t>
  </si>
  <si>
    <t>Tervtanács</t>
  </si>
  <si>
    <t>II/16</t>
  </si>
  <si>
    <t>II/17</t>
  </si>
  <si>
    <t>II/18</t>
  </si>
  <si>
    <t xml:space="preserve">Rendőrség támogatása </t>
  </si>
  <si>
    <t>II/19</t>
  </si>
  <si>
    <t>II/20</t>
  </si>
  <si>
    <t>II/21</t>
  </si>
  <si>
    <t>CNÖ támogatása</t>
  </si>
  <si>
    <t>II/22</t>
  </si>
  <si>
    <t>RNÖ támogatása</t>
  </si>
  <si>
    <t>II/23</t>
  </si>
  <si>
    <t>II/24</t>
  </si>
  <si>
    <t>II/25</t>
  </si>
  <si>
    <t>II/26</t>
  </si>
  <si>
    <t>II/27</t>
  </si>
  <si>
    <t>II/28</t>
  </si>
  <si>
    <t>II/29</t>
  </si>
  <si>
    <t>II/30</t>
  </si>
  <si>
    <t>II/31</t>
  </si>
  <si>
    <t>Egyházak támogatása</t>
  </si>
  <si>
    <t>II/34</t>
  </si>
  <si>
    <t>II/32</t>
  </si>
  <si>
    <t>II/33</t>
  </si>
  <si>
    <t>PR-Evolution Dance Company támogatása</t>
  </si>
  <si>
    <t>II/35</t>
  </si>
  <si>
    <t>II/36</t>
  </si>
  <si>
    <t>Egyéb önként vállalt kiadások</t>
  </si>
  <si>
    <t>II/37</t>
  </si>
  <si>
    <t>II/38</t>
  </si>
  <si>
    <t>Városrendészet (közterület felügyelet, mezei őrszolgálat)</t>
  </si>
  <si>
    <t>II/39</t>
  </si>
  <si>
    <t>II/40</t>
  </si>
  <si>
    <t>II/41</t>
  </si>
  <si>
    <t>III/1</t>
  </si>
  <si>
    <t>Jegyzői hatáskörbe tartozó segélyek</t>
  </si>
  <si>
    <t>III/2</t>
  </si>
  <si>
    <t>IV.</t>
  </si>
  <si>
    <t>IV/1.</t>
  </si>
  <si>
    <t>Hiteltörlesztés</t>
  </si>
  <si>
    <t>IV/2.</t>
  </si>
  <si>
    <t>IV/3.</t>
  </si>
  <si>
    <t>Pedagógus ösztöndíj 2015.</t>
  </si>
  <si>
    <t>Pedagógus ösztöndíj 2016.</t>
  </si>
  <si>
    <t>Elfogyott</t>
  </si>
  <si>
    <t>Utak</t>
  </si>
  <si>
    <t>Épületek</t>
  </si>
  <si>
    <t>Járdák</t>
  </si>
  <si>
    <t>Gyalogosátkelőhelyek</t>
  </si>
  <si>
    <t>4.2. Kápolna-Diósdi utcai gyalogosátkelőhely</t>
  </si>
  <si>
    <t>Közterületek</t>
  </si>
  <si>
    <t>Főépítészi feladatok</t>
  </si>
  <si>
    <t>6.1. Helyi Épíítési Szabályzat módosítása</t>
  </si>
  <si>
    <t>Egyéb beruházások</t>
  </si>
  <si>
    <t>VÁRHATÓ MARADVÁNY</t>
  </si>
  <si>
    <t>A MÉG KÖLTHETŐ LÓVÉ</t>
  </si>
  <si>
    <t>Ingatlanvásárlások</t>
  </si>
  <si>
    <t>8.1. Építések</t>
  </si>
  <si>
    <t>Intézményi fejlesztések</t>
  </si>
  <si>
    <t>Járda felújítások</t>
  </si>
  <si>
    <t>Kedvezményes oltás 2016. év</t>
  </si>
  <si>
    <t>Kedvezményes  oltás biztosítása</t>
  </si>
  <si>
    <t>Környezetvédelemmel kapcsolatos fejlesztések</t>
  </si>
  <si>
    <t>32. Üres álláshely (takarító)</t>
  </si>
  <si>
    <t>Tandíj (tan. Szerz. Gergye Sz. 110e/félév*2)</t>
  </si>
  <si>
    <t>Részletes lista szerint</t>
  </si>
  <si>
    <t>Kovács Anna nyugdíjazás miatti felmentés</t>
  </si>
  <si>
    <t>Szolnoki Péterné (25 év, 2 hónap)</t>
  </si>
  <si>
    <t>Domokos Péterné (25 év, 2 hó)</t>
  </si>
  <si>
    <t>11.1. Működéshez szükséges eszközbeszerzések</t>
  </si>
  <si>
    <t>Intézményi működéshez kapcsolódó eszközbeszerzés</t>
  </si>
  <si>
    <t>Vízügyi Építési Alap tartaléka</t>
  </si>
  <si>
    <t>Tanulmányi ösztöndíjak</t>
  </si>
  <si>
    <t>Tanulmányi ösztöndíjak 122007 2016. év</t>
  </si>
  <si>
    <t>A)</t>
  </si>
  <si>
    <t>BEVÉTELEK FORRÁSONKÉNT</t>
  </si>
  <si>
    <t>1.1. Tulajdonosi bevételek</t>
  </si>
  <si>
    <t>ÉTV bérleti díj és alapdíj</t>
  </si>
  <si>
    <t>1.2. Kiszámlázott általános forgalmi adó</t>
  </si>
  <si>
    <t>FELHALMOZÁSI BEVÉTELEK</t>
  </si>
  <si>
    <t xml:space="preserve"> Belföldi finanszírozás bevételei</t>
  </si>
  <si>
    <t>B)</t>
  </si>
  <si>
    <t>KIADÁSOK JOGCÍMENKÉNT ÉS FELADATONKÉNT</t>
  </si>
  <si>
    <t>1.1. Vízügyi Építési Alap céltartaléka</t>
  </si>
  <si>
    <t>V.</t>
  </si>
  <si>
    <t>VI.</t>
  </si>
  <si>
    <t xml:space="preserve">A Stabilitási tv. 3. § (1) bekezdése szerinti adósságot keletkeztető ügyletek és a kezességvállalásokból fennálló kötelezettségek </t>
  </si>
  <si>
    <t>Sorszám</t>
  </si>
  <si>
    <t>01</t>
  </si>
  <si>
    <t>Helyi adók</t>
  </si>
  <si>
    <t>02</t>
  </si>
  <si>
    <t>03</t>
  </si>
  <si>
    <t>04</t>
  </si>
  <si>
    <t>05</t>
  </si>
  <si>
    <t>06</t>
  </si>
  <si>
    <t>07</t>
  </si>
  <si>
    <t>08</t>
  </si>
  <si>
    <t>09</t>
  </si>
  <si>
    <t>Saját bevételek 50%-a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</si>
  <si>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</si>
  <si>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</si>
  <si>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</si>
  <si>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</si>
  <si>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</si>
  <si>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</si>
  <si>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</si>
  <si>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</si>
  <si>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</si>
  <si>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</si>
  <si>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</si>
  <si>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</si>
  <si>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</si>
  <si>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</si>
  <si>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</si>
  <si>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</si>
  <si>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</si>
  <si>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Adatok Ft-ban</t>
  </si>
  <si>
    <t>Program jelzőszáma, megnevezése</t>
  </si>
  <si>
    <t>Pályázati önerő</t>
  </si>
  <si>
    <t>Pályázaton felüli önerő</t>
  </si>
  <si>
    <t>Támogatás</t>
  </si>
  <si>
    <t>Korábbi években</t>
  </si>
  <si>
    <t>További években</t>
  </si>
  <si>
    <t>Összesen TSZ szerint</t>
  </si>
  <si>
    <t>Összesen tényleges</t>
  </si>
  <si>
    <t>ÁROP-3.A.2-2013-2013-044 Hivatal szervezetfejlesztése</t>
  </si>
  <si>
    <t>Cím</t>
  </si>
  <si>
    <t>Alcím</t>
  </si>
  <si>
    <t>Önkormányzat</t>
  </si>
  <si>
    <t>Gazdasági szervezettel nem rendelkező költségvetési szervek</t>
  </si>
  <si>
    <t>1</t>
  </si>
  <si>
    <t>2</t>
  </si>
  <si>
    <t>3</t>
  </si>
  <si>
    <t>4</t>
  </si>
  <si>
    <t>5</t>
  </si>
  <si>
    <t>Volf György Könyvtár és Helytörténeti Gyűjtemény</t>
  </si>
  <si>
    <t>6</t>
  </si>
  <si>
    <t>Cím/alcím</t>
  </si>
  <si>
    <t>VÍZÜGYI ÉPÍTÉSI ALAP</t>
  </si>
  <si>
    <t>1/1.</t>
  </si>
  <si>
    <t>Vízügyi Építési Alap</t>
  </si>
  <si>
    <t>Környezetvédelmi Alap</t>
  </si>
  <si>
    <t>5.3. Jótállási visszatartások</t>
  </si>
  <si>
    <t>2.4. Humánpolitikai Bizottság kerete</t>
  </si>
  <si>
    <t>2.5. Városfejlesztési és Környezetvédelmi Bizottság kerete</t>
  </si>
  <si>
    <t>2.6. Pénzügyi, Jogi és Ügyrendi Bizottság kerete</t>
  </si>
  <si>
    <t>2.7. Érdekeltségi alap</t>
  </si>
  <si>
    <t>2.8. Gyermekek táboroztatása</t>
  </si>
  <si>
    <t>2.9. Törökbálinton működő iskolák szakmai programjainak támogatása</t>
  </si>
  <si>
    <t>2.10. Egyetemi kutatásokkal támogatott oktatás</t>
  </si>
  <si>
    <t>Az Önkormányzat költségvetési szerveinek létszámkerete</t>
  </si>
  <si>
    <t>Intézmény megnevezése</t>
  </si>
  <si>
    <t>Közfoglal-koztatotti létszám</t>
  </si>
  <si>
    <t>Teljes munkaidős</t>
  </si>
  <si>
    <t>Rész-munkaidős</t>
  </si>
  <si>
    <t>Gazdasági szervezettel rendelkező költségvetési szervek</t>
  </si>
  <si>
    <t>Önkormányzat összesen:</t>
  </si>
  <si>
    <t>Ösztöndíjas foglalkoztatás</t>
  </si>
  <si>
    <t>33. Pedagógiai asszisztens státusz 2016-tól</t>
  </si>
  <si>
    <t>Ped I. besorolás miatti többletktg (3 főnél)</t>
  </si>
  <si>
    <t>Kovács Gabriella 40 éves 5 hó * 336500 Ft/hó</t>
  </si>
  <si>
    <t>K/ÖNV</t>
  </si>
  <si>
    <t>1/2.</t>
  </si>
  <si>
    <t>KÖRNYEZETVÉDELMI ALAP</t>
  </si>
  <si>
    <t>Természetvédelemmel kapcsolatos bírság</t>
  </si>
  <si>
    <t>1.1. Önkéntes befizetések</t>
  </si>
  <si>
    <t>1.1. Kamatbevételek</t>
  </si>
  <si>
    <t>1.2. Egyéb bevételek</t>
  </si>
  <si>
    <t>1.2. Pályázati források</t>
  </si>
  <si>
    <t>1.3. Az Önkormányzatot arányosan megillető megosztott bevétel [1995. évi LIII. Tv. 58. § (6) bek.]</t>
  </si>
  <si>
    <t>Környezetvédelmi Alap céltartaléka</t>
  </si>
  <si>
    <t>Géza  fejedelem  út  melletti  park  és  vízfelület kialakítása (áthúzódó kiadás)</t>
  </si>
  <si>
    <t>Idősek nappali ell 121006 2016. év</t>
  </si>
  <si>
    <t>Időskorúak nappali ellátása</t>
  </si>
  <si>
    <t>Majális (önként vállalt)</t>
  </si>
  <si>
    <t>Majális (önként válllalt)</t>
  </si>
  <si>
    <t>Bankszámla költségtérítés</t>
  </si>
  <si>
    <t>"Jutalomkeret" belső forrásként 3%</t>
  </si>
  <si>
    <t>Jutalomkeret (3%)</t>
  </si>
  <si>
    <t>Hajdúné Kálmán Margit (családsegítés)</t>
  </si>
  <si>
    <t>Vereb Miklósné (Bölcsőde)</t>
  </si>
  <si>
    <t>3.1. Helyi értékvédelemmel kapcsolatos feladatok</t>
  </si>
  <si>
    <t>Jelzőrendszeres házi segítségnyújtás, támogató szolgáltatás</t>
  </si>
  <si>
    <t>Működési célú támogatások államháztartáson belülre</t>
  </si>
  <si>
    <t>Működési célú támogatások államháztartáson kívülre</t>
  </si>
  <si>
    <t>ÖNV</t>
  </si>
  <si>
    <t>121011503</t>
  </si>
  <si>
    <t>122514</t>
  </si>
  <si>
    <t>121011504</t>
  </si>
  <si>
    <t>121011506</t>
  </si>
  <si>
    <t>122533</t>
  </si>
  <si>
    <t>122504</t>
  </si>
  <si>
    <t>121011508</t>
  </si>
  <si>
    <t>121011507</t>
  </si>
  <si>
    <t>121001</t>
  </si>
  <si>
    <t>122503</t>
  </si>
  <si>
    <t>122518</t>
  </si>
  <si>
    <t>122558</t>
  </si>
  <si>
    <t>121002501</t>
  </si>
  <si>
    <t>122551</t>
  </si>
  <si>
    <t>2017. január 1-i tényleges nyitólétszám (fő)</t>
  </si>
  <si>
    <t>7</t>
  </si>
  <si>
    <t>Szérűskert Bölcsőde</t>
  </si>
  <si>
    <t>Kiadások összesen</t>
  </si>
  <si>
    <t xml:space="preserve"> Felújítások</t>
  </si>
  <si>
    <t>Fogyatékos személyek nappali ellátása</t>
  </si>
  <si>
    <t>KÜLSŐ FINANSZÍROZÁSI FORRÁS (hitel)</t>
  </si>
  <si>
    <t>VÁROSHÁZA HITEL</t>
  </si>
  <si>
    <t>Norvég Alap</t>
  </si>
  <si>
    <t>2.12. Egyházak támogatása</t>
  </si>
  <si>
    <t>2.13. Kedvezményes védőoltások</t>
  </si>
  <si>
    <t>MŰKÖDÉSI KÖLTSÉGVETÉSI HIÁNY TARTALÉKOK NÉLKÜL</t>
  </si>
  <si>
    <t>2.14. Iskolák üzemeltetésének megtérülő kiadásai</t>
  </si>
  <si>
    <t>2.15. Sport Kft. működési támogatása</t>
  </si>
  <si>
    <t xml:space="preserve">Kötelező feladatok </t>
  </si>
  <si>
    <t xml:space="preserve">Önként vállalt feladatok </t>
  </si>
  <si>
    <t xml:space="preserve">Államigaz-gatási feladatok </t>
  </si>
  <si>
    <t xml:space="preserve">Közfoglal. Létszám </t>
  </si>
  <si>
    <t xml:space="preserve">Kiadási előirányzat </t>
  </si>
  <si>
    <t xml:space="preserve">Ösztöndíjas fogl. Létszám </t>
  </si>
  <si>
    <t xml:space="preserve">Közfogl. létszám </t>
  </si>
  <si>
    <t xml:space="preserve">Közfoglal. létszám </t>
  </si>
  <si>
    <t xml:space="preserve">9. </t>
  </si>
  <si>
    <t>Szoftver fejlesztés</t>
  </si>
  <si>
    <t>Járműbeszerzés (közterület felügyelet részére)</t>
  </si>
  <si>
    <t>1.1. Baross Gábor utca felújítása (Posta-Harangláb között)</t>
  </si>
  <si>
    <t>1.4. Szent István utca felújítása (Harangláb-M.M.u.között)</t>
  </si>
  <si>
    <t>1.5. Forgalomtechnika megvalósítása</t>
  </si>
  <si>
    <t>4.1. Raktárvárosi úton gyalogosátkelőhely (DEPO)</t>
  </si>
  <si>
    <t>10.1. Parkosítás</t>
  </si>
  <si>
    <t>11.2. Pályázati forrásból megvalósuló fejlesztések (önrész)</t>
  </si>
  <si>
    <t xml:space="preserve">4.1. Épület energetikai felújítások </t>
  </si>
  <si>
    <t>4.2. Szérűskert Bölcsőde felújítása</t>
  </si>
  <si>
    <t xml:space="preserve">Dologi kiadások </t>
  </si>
  <si>
    <t>1.6. Érdi út ívében biztonsági szalagkorlát</t>
  </si>
  <si>
    <t>8.2. ÉTV Kft. Fejlesztési feladatai</t>
  </si>
  <si>
    <t>8.3. Tervezések</t>
  </si>
  <si>
    <t>Rendőrség épületének felújítása</t>
  </si>
  <si>
    <t xml:space="preserve">Törökbálintért közalapítvány </t>
  </si>
  <si>
    <t xml:space="preserve">Útfelújítások </t>
  </si>
  <si>
    <t>5.7. Buszmegállók beszerzése és telepítése</t>
  </si>
  <si>
    <t>3.3. Flóra utca páratlan oldalán járda felújítása a Kazinczy utca és a Széchenyi tér között</t>
  </si>
  <si>
    <t>3.4. Széchenyi tér déli oldalán az 1-9. szám közötti szakaszon (Károlyi-Damjanich utca között) járdafelújítás</t>
  </si>
  <si>
    <t>1225271</t>
  </si>
  <si>
    <t>122</t>
  </si>
  <si>
    <t>122506</t>
  </si>
  <si>
    <t>122520</t>
  </si>
  <si>
    <t>122521</t>
  </si>
  <si>
    <t>121011502</t>
  </si>
  <si>
    <t>121</t>
  </si>
  <si>
    <t>122557</t>
  </si>
  <si>
    <t>122065</t>
  </si>
  <si>
    <t>KÖT</t>
  </si>
  <si>
    <t xml:space="preserve">Ebből: -Német Önkormányzat Törökbálint támogatása </t>
  </si>
  <si>
    <t xml:space="preserve">              - "Csupaszív" Kétnyelvű Óvoda támogatása </t>
  </si>
  <si>
    <t xml:space="preserve">Tartalékok </t>
  </si>
  <si>
    <t xml:space="preserve">Vízügyi Építési Alap céltartaléka </t>
  </si>
  <si>
    <t>33.</t>
  </si>
  <si>
    <t xml:space="preserve">Kedvezményes oltás biztosítása </t>
  </si>
  <si>
    <t>TNÖ  támogatása</t>
  </si>
  <si>
    <r>
      <t>Német Önkormányzat Törökbálint</t>
    </r>
    <r>
      <rPr>
        <b/>
        <strike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támogatása </t>
    </r>
  </si>
  <si>
    <t>GFT fejlesztési feladatai</t>
  </si>
  <si>
    <t xml:space="preserve">Egyéb felújítás </t>
  </si>
  <si>
    <t>1.2. Munkácsy Mihály utca II.ütem (Alsóerdősor és a Szent István u. között)</t>
  </si>
  <si>
    <t>1.3. Dózsa György utca I. ütem tervezése (M.M.u.-Rácz tér)</t>
  </si>
  <si>
    <t>1.7. Felsővár utca fejlesztése (árokfedés, részleges árokfedés, parkolósáv kialakítás)</t>
  </si>
  <si>
    <t>5.4. József Attila utca parkoló kialakítása (Temető köz és Baross u.  között)</t>
  </si>
  <si>
    <t xml:space="preserve">Csapadékvíz elvezetési munkák és közművek </t>
  </si>
  <si>
    <t>3.1. Dózsa György utca  járdafelújítása (Rác tér és Tüskevár köz között)</t>
  </si>
  <si>
    <t>3.2. Széles utcai járda felújítása a Kerekdomb és a Határ utca között (páros oldalon)</t>
  </si>
  <si>
    <t xml:space="preserve">Engedélye-zett létszám </t>
  </si>
  <si>
    <t>38.</t>
  </si>
  <si>
    <t>Energetikai pályázat KEHOP-5.2.9</t>
  </si>
  <si>
    <t>Középületek energetikai körszerűsítése (KEHOP pályázat)</t>
  </si>
  <si>
    <t>4.3. Norvég Alap pályázat végrehajtása</t>
  </si>
  <si>
    <t>121011523</t>
  </si>
  <si>
    <t>122564</t>
  </si>
  <si>
    <t>1210115081-2</t>
  </si>
  <si>
    <t xml:space="preserve">Eng. létszám </t>
  </si>
  <si>
    <t xml:space="preserve">Közfogl. Létszám </t>
  </si>
  <si>
    <t xml:space="preserve">Ösztöndíjas fogl. létszám </t>
  </si>
  <si>
    <t>121011526</t>
  </si>
  <si>
    <t>4.4. Walla Óvoda tetőfedésének cseréje</t>
  </si>
  <si>
    <t xml:space="preserve">3.6. József Attila utca 158 fm járda javítás </t>
  </si>
  <si>
    <t xml:space="preserve">Majális zseton bevétele </t>
  </si>
  <si>
    <t xml:space="preserve">Engedélyezett létszám eredeti ei. </t>
  </si>
  <si>
    <t>Jelzőrendszeres házi segítségnyújtás, támogató szolgálat</t>
  </si>
  <si>
    <t>VOLÁN támogatása</t>
  </si>
  <si>
    <t>egyéb működési célú kiadások</t>
  </si>
  <si>
    <t xml:space="preserve">VOLÁN támogatása </t>
  </si>
  <si>
    <t>dologi kiadások</t>
  </si>
  <si>
    <t>122512</t>
  </si>
  <si>
    <t>122509</t>
  </si>
  <si>
    <t>122523</t>
  </si>
  <si>
    <t>122/122528</t>
  </si>
  <si>
    <t>122554</t>
  </si>
  <si>
    <t>122561-611/122577</t>
  </si>
  <si>
    <t>122569</t>
  </si>
  <si>
    <t>122571</t>
  </si>
  <si>
    <t>122574</t>
  </si>
  <si>
    <t>1210115022</t>
  </si>
  <si>
    <t>1210115081</t>
  </si>
  <si>
    <t>121011518</t>
  </si>
  <si>
    <t>121011519</t>
  </si>
  <si>
    <t>121011522</t>
  </si>
  <si>
    <t>121011524</t>
  </si>
  <si>
    <t>121011701</t>
  </si>
  <si>
    <t>122720, 121011706</t>
  </si>
  <si>
    <t>122525</t>
  </si>
  <si>
    <t>Városrendészet (közterület-felügyelet)</t>
  </si>
  <si>
    <t>Városrendészet (mezei őrszolgálat)</t>
  </si>
  <si>
    <t>Hosszú lejáratú hitel, kölcsön felvétele 2018-as engedélyeztetéssel</t>
  </si>
  <si>
    <t>2.16. Útépítési alap</t>
  </si>
  <si>
    <t xml:space="preserve">2.17. Pályázati forrásból megvalósuló beruházásokhoz önerő </t>
  </si>
  <si>
    <t>39.</t>
  </si>
  <si>
    <t>Bálint Márton iskola épületének (Óvoda u.) garanciális javítása</t>
  </si>
  <si>
    <t>121011527</t>
  </si>
  <si>
    <t>Városgondnokság városgazdálkodási kiadásai</t>
  </si>
  <si>
    <t>2.11. Keresetkiegészítés önkormányzati dolgozóknak</t>
  </si>
  <si>
    <r>
      <t>3.4. Gyalogos közlekedés céljára burkolat kialakítása Károlyi-Damjanich u. és a</t>
    </r>
    <r>
      <rPr>
        <strike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Dulácska u. között. (Auchan összekötő)</t>
    </r>
  </si>
  <si>
    <t>5.8 "Sziget rendezése"</t>
  </si>
  <si>
    <t>5.1. Átkötő út (Városi főtér) kialakítása</t>
  </si>
  <si>
    <t>Elöző évekről egyéb áthúzódó tételek</t>
  </si>
  <si>
    <t>köt</t>
  </si>
  <si>
    <t>Sport Kft. Működtetése</t>
  </si>
  <si>
    <t xml:space="preserve">2018. évi bevételi előirányzat </t>
  </si>
  <si>
    <t>2018. évi bevételi előirányzat</t>
  </si>
  <si>
    <t>2018. évi kiadási előirányzat</t>
  </si>
  <si>
    <t xml:space="preserve">2018. évi kiadási előirányzat </t>
  </si>
  <si>
    <t>3.7. Köztársaság tér-Blaha sarok 5,4 m2 járdaép.</t>
  </si>
  <si>
    <t>3.5. Járdaprogram II. műszaki ellenőrzése (Kossuth, Bartók, Dózsa) és KB eljárás</t>
  </si>
  <si>
    <t>3.8. Kisfaludy u járdafelújítás (Széles u.-Bajor G. u. között)</t>
  </si>
  <si>
    <t>3.9. Temető kerítés áthelyezési munkák; Auchan parkoló torkolati kanyarív átépítése</t>
  </si>
  <si>
    <t>1.9. Bartók Béla - Baross Gábor utcák csomópontjában kiskorrekció</t>
  </si>
  <si>
    <t>1.10. Bajcsy Zs. -M7 felhajtó, csomópont tervezése</t>
  </si>
  <si>
    <t>1.11. Őrház utca körforgalom, kétirányúsítás tervezés</t>
  </si>
  <si>
    <t>2.1. Városháza kialakítása</t>
  </si>
  <si>
    <t>2.2. Hulladékudvaron melegedő, (öltöző, fűtött műhely stb.) kialakítása</t>
  </si>
  <si>
    <t>3.1. Szív utca járdafelújítás</t>
  </si>
  <si>
    <t>3.2. Táncsics M. utca járdafelújítás</t>
  </si>
  <si>
    <t xml:space="preserve">5.1. Józsefhegy utca felújítása </t>
  </si>
  <si>
    <t xml:space="preserve">5.2. Madách utca felújítása </t>
  </si>
  <si>
    <t>5.3. Vasút utca felújítása</t>
  </si>
  <si>
    <t xml:space="preserve">5.5. Térfigyelő rendszer fejlesztése </t>
  </si>
  <si>
    <t xml:space="preserve">       8.1.1. Szent István utca 29-57 között vízelvezetése</t>
  </si>
  <si>
    <t>8.4. Tükörhegyi csapadékvíz levezetésének tervezése</t>
  </si>
  <si>
    <t>8.5. Dózsa György u. vízvezeték gerinchálózat kiváltás (Tüskevár köz és Rác tér között)</t>
  </si>
  <si>
    <t>11.1. Pistályfelső vízellátásának megvalósítása</t>
  </si>
  <si>
    <t>8</t>
  </si>
  <si>
    <t>3. Gazdasági szervezettel nem rendelkező költségvetési szervek</t>
  </si>
  <si>
    <t>3/1.</t>
  </si>
  <si>
    <t>3/2.</t>
  </si>
  <si>
    <t>3/3.</t>
  </si>
  <si>
    <t>3/4.</t>
  </si>
  <si>
    <t>3/5.</t>
  </si>
  <si>
    <t>3/6.</t>
  </si>
  <si>
    <t>3/7.</t>
  </si>
  <si>
    <t>3/8.</t>
  </si>
  <si>
    <t>Iskolai étkeztetés (Bálint M. Iskola)</t>
  </si>
  <si>
    <t>Könyvtári állomány gyarapítása feladat kiadásai</t>
  </si>
  <si>
    <t>Könyvtári állomány gyarapítása, nyilvántartása feladat kiadásai</t>
  </si>
  <si>
    <t>5.2. Géza fejedelem Park ("Nádastó Park") kialakítása, kisajátítás, kivitelezés megkezdése /kisajátítás/</t>
  </si>
  <si>
    <t>2018. évi eredeti előirányzat</t>
  </si>
  <si>
    <t xml:space="preserve">11.2. Egyéb eszközbeszerzések </t>
  </si>
  <si>
    <t xml:space="preserve">11.3. Alsóerdősor utcai sportpálya beruházási kiadásai </t>
  </si>
  <si>
    <t xml:space="preserve">Választás </t>
  </si>
  <si>
    <t xml:space="preserve">KAB-ME-17-KMR pályázat </t>
  </si>
  <si>
    <t>II/42</t>
  </si>
  <si>
    <t xml:space="preserve">3.5.Felhalmozási c. garancia- és kezességváll-ból szárm. megtér.  Államháztartáson kivülről  </t>
  </si>
  <si>
    <t xml:space="preserve">BMI és Sportközpont garanciális munkáira </t>
  </si>
  <si>
    <t xml:space="preserve">2.4. Bálint Márton iskola épületének (Óvoda u.) garanciális javítása
</t>
  </si>
  <si>
    <t xml:space="preserve">Egyéb felhalmozási célú tám. ÁH belülre </t>
  </si>
  <si>
    <t xml:space="preserve">Egyéb fellhalmozási célú támogatások ÁH belül </t>
  </si>
  <si>
    <t>2018. 06.30-i teljesítés</t>
  </si>
  <si>
    <t>DOLOGI (ÁFA stb)</t>
  </si>
  <si>
    <t>DOLOGI</t>
  </si>
  <si>
    <t>1.4. Államháztartáson belüli megelőlegezés</t>
  </si>
  <si>
    <t>1.2. Államháztartáson belüli megelőlegezés</t>
  </si>
  <si>
    <t xml:space="preserve">Elszámolásból származó bevételek </t>
  </si>
  <si>
    <t xml:space="preserve">4.2. Zimándy Iskola mosdó felújítás </t>
  </si>
  <si>
    <t>Europe for Citizens Program</t>
  </si>
  <si>
    <t>Europe for Citizens Program 2018</t>
  </si>
  <si>
    <t>1.12. Úthálózat fejlesztése Tb. Anna-hegyen (ZP-1-2017)</t>
  </si>
  <si>
    <t>ŐNV</t>
  </si>
  <si>
    <t>122583</t>
  </si>
  <si>
    <t>3.3. Járdafelújítás (BMÖFT/7-1/2018 pályázat)</t>
  </si>
  <si>
    <t xml:space="preserve">2.5. Új bölcsőde tervezése, építése
</t>
  </si>
  <si>
    <t>121011530</t>
  </si>
  <si>
    <t>2018. évi módosított előirányzat - 4.</t>
  </si>
  <si>
    <t xml:space="preserve">8.6. Kazinczy u. 62-64. előtti járda víztelenítése </t>
  </si>
  <si>
    <t>2.6. Köztársaság tér 8-9. átépítése</t>
  </si>
  <si>
    <t>5.9. Sportpark és futókör kialakítása</t>
  </si>
  <si>
    <t>2.3. Temető búcsúztatóház építési eng,terve+kerítés áthelyezés</t>
  </si>
  <si>
    <t>1.8. Virágos utca útépítése (tervezés, kártalanítás, útstabilizálás)</t>
  </si>
  <si>
    <t>Törökbálint Város Önkormányzata 2019. évi címrendje</t>
  </si>
  <si>
    <t>2018. évi eredeti</t>
  </si>
  <si>
    <t xml:space="preserve">2018. évi eredeti </t>
  </si>
  <si>
    <t>2018. évi várható teljesítés</t>
  </si>
  <si>
    <t>2018. évi módosított 4.</t>
  </si>
  <si>
    <t>2018. évi módosított 5.</t>
  </si>
  <si>
    <t>2019. évi eredeti előirányzat</t>
  </si>
  <si>
    <t>2019. évi módosított előirányzat - 1.</t>
  </si>
  <si>
    <t xml:space="preserve">KAB-ME-18-KMR pályázat </t>
  </si>
  <si>
    <t>3/7. Szérűskert Bölcsőde</t>
  </si>
  <si>
    <t xml:space="preserve">2018. évi előirányzat </t>
  </si>
  <si>
    <t>2018. évi mód. előirányzat 4.</t>
  </si>
  <si>
    <t>2018. évi mód. előirányzat 5.</t>
  </si>
  <si>
    <t>2019. évi módosított előirányzat - 2.</t>
  </si>
  <si>
    <t>2019. évi módosított előirányzat - 3.</t>
  </si>
  <si>
    <t>2019. évi módosított előirányzat - 4.</t>
  </si>
  <si>
    <t>3/8. Törökbálinti Városgondnokság</t>
  </si>
  <si>
    <t>Egyéb működési célú kiadások (elvonások)</t>
  </si>
  <si>
    <t>3/6. Segítő Kéz Szolgálat</t>
  </si>
  <si>
    <t>3/5. Volf György Könyvtár és Helytörténeti Gyűjtemény</t>
  </si>
  <si>
    <t>3/4. Munkácsy Mihály Művelődési Ház</t>
  </si>
  <si>
    <t>3/3. Törökbálinti Bóbita Óvoda</t>
  </si>
  <si>
    <t>3/2. Törökbálinti Nyitnikék Óvoda</t>
  </si>
  <si>
    <t>3/1. Walla József Óvoda</t>
  </si>
  <si>
    <t>2018. évi mód. 4.</t>
  </si>
  <si>
    <t>2018. évi mód. 5.</t>
  </si>
  <si>
    <t>2018. évi mód. bevételi előirányzat 2.</t>
  </si>
  <si>
    <t>2018. évi mód. kiadási előirányzat 2.</t>
  </si>
  <si>
    <t xml:space="preserve">2019. évi bevételi előirányzat </t>
  </si>
  <si>
    <t xml:space="preserve">2019. évi kiadási előirányzat </t>
  </si>
  <si>
    <t>2019. évi bevételi előirányzat</t>
  </si>
  <si>
    <t>2019. évi kiadási előirányzat</t>
  </si>
  <si>
    <t>2019. évi eredeti  előirányzat</t>
  </si>
  <si>
    <t>2018. évi módosított előirányzat - 5.</t>
  </si>
  <si>
    <t>2018. évi módosított előirányzat 4.</t>
  </si>
  <si>
    <t>Államháztartáson belüli megelőlegezés</t>
  </si>
  <si>
    <t>Fejlesztési projekt feladatok</t>
  </si>
  <si>
    <t>I/35</t>
  </si>
  <si>
    <t>Egyéb fejlesztési projekt feladatok</t>
  </si>
  <si>
    <t>sorszám</t>
  </si>
  <si>
    <t>projekt kód</t>
  </si>
  <si>
    <t>Eredeti előirányzat</t>
  </si>
  <si>
    <t>Indokolás</t>
  </si>
  <si>
    <t>Szerződéses összeg</t>
  </si>
  <si>
    <t>Őrház utca kétirányúsítás és körforgalom tervezése</t>
  </si>
  <si>
    <t>Tervezés</t>
  </si>
  <si>
    <t>közbeszerzési eljárás során kötendő szerződés 2019ben</t>
  </si>
  <si>
    <t>Közbeszerzés lebonyolítása</t>
  </si>
  <si>
    <t>Madách utca felújítása</t>
  </si>
  <si>
    <t>Útfelújítás</t>
  </si>
  <si>
    <t>Település forgalomtechnikai átalakítása</t>
  </si>
  <si>
    <t>Kivitelezés I.ütem</t>
  </si>
  <si>
    <t>Testületi határozat szerint</t>
  </si>
  <si>
    <t>Katona József utca</t>
  </si>
  <si>
    <t>További 5 db párna lerakása vagy virágládákkal, pollerekkel kell kiegészíteni a meglévő, 1 db párnákat. Az 1 db-ban meghatározott forgalomlassító párnákat a padka igénybevételével kikerülik, erősen erodálva a padkát.</t>
  </si>
  <si>
    <t>Ida majorba vezető út karbantartása</t>
  </si>
  <si>
    <t>Kivitelezés</t>
  </si>
  <si>
    <t>Teljes útfeleület 30 %-nak javítása kőzúzalékkal, hengerléssel</t>
  </si>
  <si>
    <t>Dózsa György utca felújítása (Rác tér - Tüskevár köz)</t>
  </si>
  <si>
    <t xml:space="preserve">460fm út Aszfalt kopóréteg készítése, szegélyépítéssel (10MFt), 4,5m szélességgel (30mFt), </t>
  </si>
  <si>
    <t>Belterületi és külterületi szilárd és nem szilárd burkolatú utak javítása</t>
  </si>
  <si>
    <t>Kv-ben nem a fejlesztési vagy felújítási előirányzatokhoz való</t>
  </si>
  <si>
    <t>Település teljes területén, alapvetően hengerelt aszfalttal történő útjavítás előreláthatólag legalább 150 hibahelyen különféle kiterjedésben
2018 évi közbeszerzés alapján évente 45.000.000.-Ft szükséges</t>
  </si>
  <si>
    <t>Lakossági forrás bevonásával megvalósuló utak fejlesztése üdülő/külterületeken</t>
  </si>
  <si>
    <t>A település teljes területén havaria munkák elvégzése (út/csapadék)</t>
  </si>
  <si>
    <t>Előre nem látható közterületen keletkezett hibák javítása</t>
  </si>
  <si>
    <t>270 m Kazinczy u. és Széles u. között</t>
  </si>
  <si>
    <t>Bölcsőde építése</t>
  </si>
  <si>
    <t>támogatás 400.000.000.-, (támogatás 50%-a előlegként igényelhető) saját forrás összesen 294.987.981.-, befejezés 2020.09.01.</t>
  </si>
  <si>
    <t>Műszaki ellenőrzés</t>
  </si>
  <si>
    <t>PM_BOLCSODEFEJLESZTES_2018 beadandó projekt összeállítása, beadása, koordinálása</t>
  </si>
  <si>
    <t>Bóbita óvoda (Árpád utca)</t>
  </si>
  <si>
    <t>Fűtés és hűtés kialakítása/megoldása</t>
  </si>
  <si>
    <t>Bóbita óvoda (Bajcsy-Zs.u.)</t>
  </si>
  <si>
    <t>Javítások, beszerzések vegyesen</t>
  </si>
  <si>
    <t>Walla József óvoda</t>
  </si>
  <si>
    <t>Nyitnikék óvoda</t>
  </si>
  <si>
    <t>Csupaszív óvoda</t>
  </si>
  <si>
    <t>Zimándy Iskola</t>
  </si>
  <si>
    <t>Mosdó-felújítások folytatása</t>
  </si>
  <si>
    <t>(I.em.lány vizesblokk 7,2mFt)</t>
  </si>
  <si>
    <t>Bálint Márton Iskola (Köztársaság tér)</t>
  </si>
  <si>
    <t>Bálint Márton Iskola játszótér eszközök és burkolat felújítása</t>
  </si>
  <si>
    <t>Érdi tankerületi Központtal együtt közösen, össz.10mFt-os munka</t>
  </si>
  <si>
    <t>Bálint Márton Iskola (Óvoda utca)</t>
  </si>
  <si>
    <t>Felét a tankerülettől igényelni</t>
  </si>
  <si>
    <t>bevételi oldalon is szerepeltetni</t>
  </si>
  <si>
    <t>Közterületek / területek</t>
  </si>
  <si>
    <t>Belső városi tó kialakítása (Géza f.u.mellett)</t>
  </si>
  <si>
    <t>Tervezői művezetés</t>
  </si>
  <si>
    <t>Géza fejedelem park</t>
  </si>
  <si>
    <t xml:space="preserve">2066/1 hrsz, kisajátítás kártalanítási összeg miatti perben jövőre várható ítéletre számítva, Az ítélet meghozataláig nem lehet pontos számot mondani, de a jelenleg ismert, a bíróság által kirendelt szakértő által készített értékbecslés 76.000.000Ft-ról szól. </t>
  </si>
  <si>
    <t>Temető</t>
  </si>
  <si>
    <t>Kivitelezés I. ütem</t>
  </si>
  <si>
    <t>Temető I. ütem kiv. Megkezdése, parcella kitűzés, hársfasor ültetése</t>
  </si>
  <si>
    <t>Temetőbővítés-urnafal építéshez kőfaragó munkák</t>
  </si>
  <si>
    <t>A már megkötött kerítésépítés szerződés mellé ez csak a kőfaragó munkákra vonatkozik.</t>
  </si>
  <si>
    <t>Térfigyelő rendszer fejlesztése</t>
  </si>
  <si>
    <t>Ida major fejlesztés, 2 db kamera</t>
  </si>
  <si>
    <t>Meglévő hálózat fejlesztése belterületen</t>
  </si>
  <si>
    <t>Piac kialakítás</t>
  </si>
  <si>
    <t>Pályázati önrész: 33.528.000.-</t>
  </si>
  <si>
    <t>Járda javítások a településen</t>
  </si>
  <si>
    <t>Klf. Szerkezetű járdák javítása cca. 300 m2 felületen</t>
  </si>
  <si>
    <t>Köztársaság tér járda pollerezés</t>
  </si>
  <si>
    <t>Báthori utca járda javítása</t>
  </si>
  <si>
    <t>435m</t>
  </si>
  <si>
    <t>Petőfi s.u.járda javítása</t>
  </si>
  <si>
    <t>előirányzatot emelni</t>
  </si>
  <si>
    <t>~500m</t>
  </si>
  <si>
    <t xml:space="preserve">310 m </t>
  </si>
  <si>
    <t>Csapadékvízelvezetések</t>
  </si>
  <si>
    <t>Patak zártszelvény felújítása, Munkácsy Mihály utca I-III. ütem alatt</t>
  </si>
  <si>
    <t>Meglévő hálózat hibáinak javítása</t>
  </si>
  <si>
    <t>Károlyi utca csapadékvízelvezetés felújítása</t>
  </si>
  <si>
    <t>Szakaszhatár: játszótér és a Kinizsi utca között (300 fm)</t>
  </si>
  <si>
    <t>Hunyadi utca árok felújítása</t>
  </si>
  <si>
    <t>Józsefhegyi utca csapadékvíz elvezetés tervezése</t>
  </si>
  <si>
    <t>Balassy Bálint u – Jurasits u – Szondi utca, Rácsos folyóka felújítása</t>
  </si>
  <si>
    <t>30 m rácsos folyóka építése (500 mm)</t>
  </si>
  <si>
    <t>Rác tér csapadékvíz-elvezető rendszer felbővítése</t>
  </si>
  <si>
    <t>Kádár Komplexnek engedélyes terve volt rá. A Dózsa György utcai felújításhoz elengedhetetlen</t>
  </si>
  <si>
    <t>Kossuth Lajos utca I. ütem csapadékvíz elvezetés</t>
  </si>
  <si>
    <t>Közművek</t>
  </si>
  <si>
    <t>VII.</t>
  </si>
  <si>
    <t>Zöldterületi, környezetvédelmi fejlesztések</t>
  </si>
  <si>
    <t>Erdőterületek</t>
  </si>
  <si>
    <t>Karbantartások</t>
  </si>
  <si>
    <t>Utak tisztítása, csapadékvízelvezetők tisztítása, javítása, műtárgyak karbantartása. Eddig a Környezetvédelmi Alap terhére történtek ezek a munkálatok. Elsősorban a benőtt utak takarítása, a feltöltődött csapadékvízelvezetők tisztítása jelent rendszeres költséget, de a tornapálya elemek, a tanösvény táblák, a madármegfigyelő állomás és a pihenők bútorzata is igényel minden évben karbantartást.</t>
  </si>
  <si>
    <t>Jóléti fejlesztések</t>
  </si>
  <si>
    <t>Tornapálya bővítés, ismeretterjesztő műtárgyak elhelyezése, madáretetők cseréje, és további, a jóléti célokat elősegítő erdei fejlesztések. (Környezetvédelmi Alap)  Az erdőben a rekreációs célokat szolgáló területek fejlesztésével hozzájárulunk a lakosság pihenő-idejének hasznos eltöltéséhez, egészségéhez, valamint funkciókkal látva el egyes területeket elvonhatók az emberek azokról az erdei területekről, ahol az élővilág védelme érdekében kerülendő az emberi jelenlét.</t>
  </si>
  <si>
    <t>Tétényi fensík</t>
  </si>
  <si>
    <t>Oktatás-nevelési célú feladatok</t>
  </si>
  <si>
    <t xml:space="preserve">Tematikus nap lebonyolítása az összes törökbálinti 3. évfolyamos osztály részére. Helyszín előkészítése, busz szervezése, segédanyagok elkészítése, lebonyolító állatmenhely támogatása          </t>
  </si>
  <si>
    <t>Város egész területe</t>
  </si>
  <si>
    <t>Növénytelepítések</t>
  </si>
  <si>
    <t>Tavaszi-őszi fásítások, kivágott fák pótlása, kisebb zöldfelületi igények kiszolgálása</t>
  </si>
  <si>
    <t>Illegális szemétlerakatok felszámolása</t>
  </si>
  <si>
    <t>Konténerek rendelése, szemétszedési akciók szervezése, megelőzéshez szükséges munkák (sorompó telepítések, árkolások, sáncolások)</t>
  </si>
  <si>
    <t>Megkezdett kerékpárhálózat befejezése</t>
  </si>
  <si>
    <t xml:space="preserve">Kiviteli tervek, kivitelezés (burkolati jelek felfestése, táblázása). Évekig folyamatosan történt kerékpárhálózati fejlesztés utolsó szakasza elmaradt. Az eredeti koncepció megvalósítására Képviselő-testületi határozat van, ennek ellenére a 2018-as költségvetés nem biztosított forrást az utolsó szakasz megvalósítására. Ha az utolsó szakasz is felfestésre kerül, akkor teljessé válik az eredeti koncepció szerinti belterületi hálózat, mely a város igényeihez igazodva mérsékelt fejlesztési összegből biztosítja a kerékpáros közlekedés biztonságát a településen. </t>
  </si>
  <si>
    <t>Kényszerkaszálás</t>
  </si>
  <si>
    <t>Parlagfű- és allergén gyommentesítés, államigazgatási hatósági ügyekben keletkező költség.</t>
  </si>
  <si>
    <t>Gondozatlan közterület kaszálása (közterületi parlagfű is)</t>
  </si>
  <si>
    <t xml:space="preserve">2018-ban több közterületi parlagfüves eset miatt kapott az önkormányzat bírságot, mert a parlagfüves eljárásokban helyrajziszám alapján azonosítják be a tulajdonosokat. Igaz a helyi rendelet szerint szabályozva van, hogy a magánterület melletti közterületet hogyan kell karbantartani, de ha ennek nem tudunk érvényt szerezni, akkor a Járási hivatal az ellenőrzései alkalmával a tulajdonosra, vagyis az önkormányzatra ró ki bírságot jogosan, amit nem tudunk tovább terhelni. A helyi rendelet szerint nem a városgondnokság kaszálja ezeket a területeket, csak azt, ami nekik be van tervezve, de ezek az esetek nem tervezhetők. A kényszerkaszálás a fent írtak miatt nem lehetséges, de ugyanazzal a kényszerkaszálóval kötnénk egy másik szerződést az elhanyagolt közterületekre. A költségekre egy adott alapösszegre van szükség kezdetben, amelynek a folyamatos pótlását a bírságok bevétele biztosítaná.                </t>
  </si>
  <si>
    <t>Átkötő út</t>
  </si>
  <si>
    <t>Parkosítás</t>
  </si>
  <si>
    <t>Növénytelepítés és vízkivételi helyek kialakítása kézi öntözéshez. Talajcsere 100m3, faültetés (25db) talajjavítással, cserjeültetés 1290 db, vízkivételi helyek kialakítása 3 db)</t>
  </si>
  <si>
    <t>Munkácsy 79.</t>
  </si>
  <si>
    <t>VIII.</t>
  </si>
  <si>
    <t>Vagyongazdálkodás</t>
  </si>
  <si>
    <t>Munkácsy M. u. 44., 46., 50.</t>
  </si>
  <si>
    <t>15/1, 16/1, 18/1 hrsz tényleges kiürítése érdekében szükséges intézkedések.A városközpont fejleszthetősége érdekében szükséges mozgásteret biztosítani az érintett ingatlanok rendezése érdekében. A tavalyi keretből 2 „új” lakáshoz jutottunk. A Munkácsy 46-ból 5 bérlőt (és családtagjaikat) kell elhelyezni, a Munkácsy 44-ben 8-10 „potenciális hajléktalan” sorsa megoldatlan, mert nem jogosultjai a kisajátítási kártalanításnak vagy, ha örökösök (leendő jogosultak), a kártalanítás pénzösszege sokfelé oszlik, mértéke hosszú távú lakhatási lehetőség megoldására elégtelen.</t>
  </si>
  <si>
    <t>Árpád u. 21.</t>
  </si>
  <si>
    <t>2191/5 hrsz, ~50-60m2 lakóház használatra alkalmassá tétele, felújítása/átalakítása</t>
  </si>
  <si>
    <t>Hegyalja u., Lovarda és gombapince</t>
  </si>
  <si>
    <t>nagy értékű önkormányzati tulajdonok (9001, 9002, 90013 hrsz) és beékelődött magántulajdonú ingatlanok (0166/3, 0166/14 hrsz), teljes felmérés és vagyonértékelés a rendezetlen - önkormányzat számára előnytelen - bérleti és tulajdoni viszonyok tisztázása érdekében (~7 hektár területen föld feletti és alatti létesítmények tömegével!)</t>
  </si>
  <si>
    <t>Pistály, Hangár köz</t>
  </si>
  <si>
    <t>az épület kiürítése után műszaki szakvélemények alapján állagmegóvás / használatra alkalmassá tétel / bontás?</t>
  </si>
  <si>
    <t>Dulácska tó</t>
  </si>
  <si>
    <t>169/2014. (V.22.) ÖK határozattal 350.000 Ft-os vételi ajánlat tett az önkormányzat, de lehet, hogy ennél jóval magasabb összeget kér az NFA. Ma már 15 mFt-ig polgármesteri hatáskör a vétel, ill. kisajátítás is elképzelhető (testületi hatáskör).</t>
  </si>
  <si>
    <t>Kazinczy u. 1. kerítés építés</t>
  </si>
  <si>
    <t>Fogyatékos személyeK nappali ellátása</t>
  </si>
  <si>
    <t>2019. évben</t>
  </si>
  <si>
    <t>2019. év</t>
  </si>
  <si>
    <t>Díjak, pótlékok, bírságok, települési adók</t>
  </si>
  <si>
    <t>Immateriális javak, ingatlanok és egyéb tárgyi eszközök értékesítése</t>
  </si>
  <si>
    <t>Részesedések értékesítése és részesedések megszüntetéséhez kapcsolódó bevételek</t>
  </si>
  <si>
    <t>Privatizációbol származó bevételek</t>
  </si>
  <si>
    <t>Garancia- és kezességvállalásból származó megtérülések</t>
  </si>
  <si>
    <t>Saját bevételek (01+…+07)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</si>
  <si>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</si>
  <si>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</si>
  <si>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</si>
  <si>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</si>
  <si>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</si>
  <si>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 részletfizetés fizetési kötelezettsége</t>
  </si>
  <si>
    <t>Szerződésben kikötött visszavásárlási kötelezettség</t>
  </si>
  <si>
    <t>Kezesség-, és garanciavállalásból eredő fizetési kötelezettség</t>
  </si>
  <si>
    <t>Előző év(ek)ben keletkezett fizetési kötelezettség (11+…+18)</t>
  </si>
  <si>
    <t>Tárgyévben keletkezett, illetve keletkező, tárgyévet terhelő fizetési kötelezettség (20+…+27)</t>
  </si>
  <si>
    <t>Fizetési kötelezettség összesen (10+19)</t>
  </si>
  <si>
    <t>Fizetési kötelezettséggel csökkentett saját bevétel (09-28)</t>
  </si>
  <si>
    <t>2019. január 1-i tényleges nyitólétszám (fő)</t>
  </si>
  <si>
    <t>felújítások</t>
  </si>
  <si>
    <t>Határ utca felújítása</t>
  </si>
  <si>
    <t>Köztársaság téri 1. épület átalakítása</t>
  </si>
  <si>
    <t>Köztársaság téri 2. épület átalakítása</t>
  </si>
  <si>
    <t>Focipálya épület felújítása</t>
  </si>
  <si>
    <t>Könyvtár átkötő rész javítása</t>
  </si>
  <si>
    <t>Játszótér felújítási program</t>
  </si>
  <si>
    <t>Járdák felújítása</t>
  </si>
  <si>
    <t>Csapadékvíz elvezetés kiépítésének pályázati önrésze Anna hegyen</t>
  </si>
  <si>
    <t>Vízkárelhárítási feladatok végrehajtása</t>
  </si>
  <si>
    <t>Tarttalékok</t>
  </si>
  <si>
    <t>Majális, nemzeti ünnepek szervezése, lebonyolítása</t>
  </si>
  <si>
    <t>,</t>
  </si>
  <si>
    <t>180/2017. (IX. 21.) ÖK alapján ÚTNET teljesítése</t>
  </si>
  <si>
    <t>Projektfeladatok, fejlesztések</t>
  </si>
  <si>
    <t>Vízügyi építési alap céltartaléka</t>
  </si>
  <si>
    <t>Intézmények fejlesztései/felújításai</t>
  </si>
  <si>
    <t>Betétek lekötése</t>
  </si>
  <si>
    <t>PÁLYÁZATOK</t>
  </si>
  <si>
    <t xml:space="preserve">Pályázatok </t>
  </si>
  <si>
    <t>Dologi kiadások K3</t>
  </si>
  <si>
    <t>Beruházások K6</t>
  </si>
  <si>
    <t>Felújítások K7</t>
  </si>
  <si>
    <t xml:space="preserve">Focipálya épület felújítása </t>
  </si>
  <si>
    <t>egyéb feladatok</t>
  </si>
  <si>
    <t>Balassy Bálint u – Jurasits u – Szondi utca, Rácsos folyóka</t>
  </si>
  <si>
    <t>Vízügyi Építési Alap céltartaléka</t>
  </si>
  <si>
    <t>ÖNKORMÁNYZATI FEJLESZTÉSEK ÖSSZESEN</t>
  </si>
  <si>
    <t>IX.</t>
  </si>
  <si>
    <t>Intézmények beruházásai/fejlesztései</t>
  </si>
  <si>
    <t>FEJLESZTÉSEK ÖSSZESEN</t>
  </si>
  <si>
    <t>Majális, Augusztus 20. ünnepek szervezése, lebonyolítása</t>
  </si>
  <si>
    <t xml:space="preserve">2019. évi módosított előirányzat 1. módosítás </t>
  </si>
  <si>
    <t>Működési célú tám. ÁH BELÜL</t>
  </si>
  <si>
    <t>Működési célú tám. ÁH KIVÜL</t>
  </si>
  <si>
    <t xml:space="preserve">Egyéb működési célú kiadások </t>
  </si>
  <si>
    <t xml:space="preserve">2019. évi módosított előirányzat                            1. módosítás </t>
  </si>
  <si>
    <t xml:space="preserve">2019. évi módosított előirányzat                                1. módosítás </t>
  </si>
  <si>
    <t xml:space="preserve">2019. évi módosított előirányzat                                   1. módosítás </t>
  </si>
  <si>
    <t xml:space="preserve">2019. évi módosított  előirányzat       1. módosítás </t>
  </si>
  <si>
    <t xml:space="preserve">2019. évi módosított  előirányzat                                           1. módosítás </t>
  </si>
  <si>
    <t>2.18. Helyi esélyegyenlőségi program 8/2019. (I.21.) ÖK</t>
  </si>
  <si>
    <t>Kerékpárút</t>
  </si>
  <si>
    <t>Felhalmozási célú támogatáok államháztartáson kívülre</t>
  </si>
  <si>
    <t>Jázmin utca (Pince tér) részleges felújítási munkái</t>
  </si>
  <si>
    <t>Pelsőczy F. u. térköves burkolása és járulékos munkái</t>
  </si>
  <si>
    <t xml:space="preserve">2019. évi módosított előirányzat                                2. módosítás </t>
  </si>
  <si>
    <t xml:space="preserve">2019. évi módosított előirányzat                                   2. módosítás </t>
  </si>
  <si>
    <t xml:space="preserve">2019. évi módosított előirányzat                                  2. módosítás </t>
  </si>
  <si>
    <t xml:space="preserve">2019. évi módosított  előirányzat     2. módosítás </t>
  </si>
  <si>
    <t xml:space="preserve">2019. évi módosított előirányzat 2. módosítás </t>
  </si>
  <si>
    <t xml:space="preserve">2019. évi módosított előirányzat                               2. módosítás </t>
  </si>
  <si>
    <t xml:space="preserve">2019. évi módosított  előirányzat                                           2. módosítás </t>
  </si>
  <si>
    <t xml:space="preserve">2019. évi módosított  előirányzat                                         2. módosítás </t>
  </si>
  <si>
    <t xml:space="preserve">2019. évi módosított  előirányzat                                          2. módosítás </t>
  </si>
  <si>
    <t xml:space="preserve">Egyéb felhalmozási célú kiadások </t>
  </si>
  <si>
    <t xml:space="preserve">2019. év </t>
  </si>
  <si>
    <t>Közfoglal-koztatotti létszám módosított ei. II.</t>
  </si>
  <si>
    <t>Módosított előirányzat 1.</t>
  </si>
  <si>
    <t>Módosított előirányzat 2.</t>
  </si>
  <si>
    <t xml:space="preserve">Hegyalja utca csapadékvíz elvezetés </t>
  </si>
  <si>
    <t xml:space="preserve">Őszibarack utca csapadékvíz elvezetés </t>
  </si>
  <si>
    <t>Módosított előirányzat 3.</t>
  </si>
  <si>
    <t xml:space="preserve">Engedélyezett létszám módosított ei.  3. </t>
  </si>
  <si>
    <t xml:space="preserve">2019. évi módosított előirányzat 3. módosítás </t>
  </si>
  <si>
    <t xml:space="preserve">2019. évi módosított  előirányzat                                         3. módosítás </t>
  </si>
  <si>
    <t xml:space="preserve">2019. évi módosított  előirányzat                                           3. módosítás </t>
  </si>
  <si>
    <t xml:space="preserve">2019. évi módosított  előirányzat                                          3. módosítás </t>
  </si>
  <si>
    <t xml:space="preserve">2019. évi módosított előirányzat                                  3. módosítás </t>
  </si>
  <si>
    <t xml:space="preserve">2019. évi módosított előirányzat                               3. módosítás </t>
  </si>
  <si>
    <t xml:space="preserve">2019. évi módosított  előirányzat     3. módosítás </t>
  </si>
  <si>
    <t xml:space="preserve">2019. évi módosított előirányzat                                   3. módosítás </t>
  </si>
  <si>
    <t xml:space="preserve">2019. évi módosított előirányzat                                3. módosítás </t>
  </si>
  <si>
    <t xml:space="preserve">Felhalmozási célú kölcsönök nyújtása államháztartáson kivülre </t>
  </si>
  <si>
    <t>Felhalmozás célú támogatások államháztartáson kivülre</t>
  </si>
  <si>
    <t xml:space="preserve">Szabadság tér focigrund aszfaltozása </t>
  </si>
  <si>
    <t xml:space="preserve">Szent István utca 102. csapadékvíz elvezeét </t>
  </si>
  <si>
    <t>Munkácsy Mihály utca 9. (Tábitha)</t>
  </si>
  <si>
    <t>Munkácsy Mihály u-ról nyíló gyalogosköz támfal újjáépítése</t>
  </si>
  <si>
    <t xml:space="preserve">Sportpark és futókör </t>
  </si>
  <si>
    <t xml:space="preserve">2019. évi bevételi előirányzat 3. mód. </t>
  </si>
  <si>
    <t xml:space="preserve">2019. évi kiadási előirányzat  3. mód. </t>
  </si>
  <si>
    <t>2019. évi   bevételi előirányzat 3. mód.</t>
  </si>
  <si>
    <t>2019. évi  kiadási előirányzat 3. mód.</t>
  </si>
  <si>
    <t xml:space="preserve">1.3. Szolgáltatások ellenértéke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</si>
</sst>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#,##0.0"/>
    <numFmt numFmtId="166" formatCode="0.0"/>
    <numFmt numFmtId="167" formatCode="#,##0\ _F_t"/>
    <numFmt numFmtId="168" formatCode="#,###"/>
    <numFmt numFmtId="169" formatCode="#,##0_ ;[Red]\-#,##0\ "/>
    <numFmt numFmtId="170" formatCode="_-* #,##0\ _F_t_-;\-* #,##0\ _F_t_-;_-* &quot;-&quot;??\ _F_t_-;_-@_-"/>
    <numFmt numFmtId="171" formatCode="_-* #,##0.0\ _F_t_-;\-* #,##0.0\ _F_t_-;_-* &quot;-&quot;??\ _F_t_-;_-@_-"/>
    <numFmt numFmtId="172" formatCode="#,##0_ ;\-#,##0\ "/>
    <numFmt numFmtId="173" formatCode="0.00000%"/>
  </numFmts>
  <fonts count="7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24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trike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rgb="FFC00000"/>
        <bgColor indexed="2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rgb="FF009900"/>
        <bgColor indexed="64"/>
      </patternFill>
    </fill>
    <fill>
      <patternFill patternType="gray0625">
        <bgColor rgb="FFFFFF00"/>
      </patternFill>
    </fill>
    <fill>
      <patternFill patternType="gray06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gray0625"/>
    </fill>
    <fill>
      <patternFill patternType="gray0625">
        <bgColor theme="6" tint="0.399975585192419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1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9" fontId="7" fillId="0" borderId="0" applyFill="0" applyAlignment="0" applyProtection="0"/>
    <xf numFmtId="0" fontId="6" fillId="0" borderId="0"/>
    <xf numFmtId="164" fontId="1" fillId="0" borderId="0" applyFont="0" applyFill="0" applyBorder="0" applyAlignment="0" applyProtection="0"/>
    <xf numFmtId="164" fontId="59" fillId="0" borderId="0" applyFill="0" applyBorder="0" applyAlignment="0" applyProtection="0"/>
    <xf numFmtId="164" fontId="6" fillId="0" borderId="0" applyFill="0" applyBorder="0" applyAlignment="0" applyProtection="0"/>
  </cellStyleXfs>
  <cellXfs count="1081">
    <xf numFmtId="0" fontId="0" fillId="0" borderId="0" xfId="0"/>
    <xf numFmtId="49" fontId="3" fillId="0" borderId="0" xfId="1" applyNumberFormat="1" applyFont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3" fillId="4" borderId="1" xfId="1" applyNumberFormat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vertical="center"/>
    </xf>
    <xf numFmtId="38" fontId="3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5" borderId="1" xfId="1" applyNumberFormat="1" applyFont="1" applyFill="1" applyBorder="1" applyAlignment="1">
      <alignment horizontal="left" vertical="center"/>
    </xf>
    <xf numFmtId="49" fontId="3" fillId="5" borderId="1" xfId="1" applyNumberFormat="1" applyFont="1" applyFill="1" applyBorder="1" applyAlignment="1">
      <alignment vertical="center"/>
    </xf>
    <xf numFmtId="38" fontId="3" fillId="5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49" fontId="3" fillId="6" borderId="1" xfId="1" applyNumberFormat="1" applyFont="1" applyFill="1" applyBorder="1" applyAlignment="1">
      <alignment horizontal="left" vertical="center"/>
    </xf>
    <xf numFmtId="49" fontId="3" fillId="6" borderId="1" xfId="1" applyNumberFormat="1" applyFont="1" applyFill="1" applyBorder="1" applyAlignment="1">
      <alignment vertical="center"/>
    </xf>
    <xf numFmtId="38" fontId="3" fillId="6" borderId="1" xfId="1" applyNumberFormat="1" applyFont="1" applyFill="1" applyBorder="1" applyAlignment="1">
      <alignment vertical="center"/>
    </xf>
    <xf numFmtId="3" fontId="3" fillId="6" borderId="1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2" fillId="0" borderId="0" xfId="1"/>
    <xf numFmtId="3" fontId="3" fillId="7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8" fontId="11" fillId="8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0" fontId="10" fillId="12" borderId="7" xfId="0" applyFont="1" applyFill="1" applyBorder="1" applyAlignment="1">
      <alignment horizontal="center" vertical="center"/>
    </xf>
    <xf numFmtId="0" fontId="10" fillId="12" borderId="7" xfId="0" applyFont="1" applyFill="1" applyBorder="1"/>
    <xf numFmtId="3" fontId="10" fillId="12" borderId="7" xfId="0" applyNumberFormat="1" applyFont="1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/>
    <xf numFmtId="0" fontId="0" fillId="0" borderId="7" xfId="0" applyBorder="1"/>
    <xf numFmtId="3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9" fillId="13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0" fillId="0" borderId="7" xfId="0" applyNumberFormat="1" applyBorder="1" applyAlignment="1">
      <alignment horizontal="right" vertical="center" wrapText="1"/>
    </xf>
    <xf numFmtId="3" fontId="0" fillId="0" borderId="7" xfId="0" applyNumberFormat="1" applyBorder="1" applyAlignment="1">
      <alignment vertical="center"/>
    </xf>
    <xf numFmtId="0" fontId="10" fillId="0" borderId="0" xfId="0" applyFont="1"/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Border="1" applyAlignment="1">
      <alignment vertical="center"/>
    </xf>
    <xf numFmtId="3" fontId="3" fillId="4" borderId="5" xfId="1" applyNumberFormat="1" applyFont="1" applyFill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8" fontId="3" fillId="5" borderId="5" xfId="1" applyNumberFormat="1" applyFont="1" applyFill="1" applyBorder="1" applyAlignment="1">
      <alignment vertical="center"/>
    </xf>
    <xf numFmtId="38" fontId="3" fillId="6" borderId="5" xfId="1" applyNumberFormat="1" applyFont="1" applyFill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11" fillId="8" borderId="5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3" fillId="5" borderId="5" xfId="1" applyNumberFormat="1" applyFont="1" applyFill="1" applyBorder="1" applyAlignment="1">
      <alignment vertical="center"/>
    </xf>
    <xf numFmtId="3" fontId="3" fillId="6" borderId="5" xfId="1" applyNumberFormat="1" applyFont="1" applyFill="1" applyBorder="1" applyAlignment="1">
      <alignment vertical="center"/>
    </xf>
    <xf numFmtId="3" fontId="3" fillId="7" borderId="5" xfId="1" applyNumberFormat="1" applyFont="1" applyFill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>
      <alignment vertical="center"/>
    </xf>
    <xf numFmtId="49" fontId="3" fillId="3" borderId="8" xfId="1" applyNumberFormat="1" applyFont="1" applyFill="1" applyBorder="1" applyAlignment="1">
      <alignment horizontal="center" vertical="center"/>
    </xf>
    <xf numFmtId="3" fontId="3" fillId="4" borderId="8" xfId="1" applyNumberFormat="1" applyFont="1" applyFill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8" fontId="3" fillId="5" borderId="8" xfId="1" applyNumberFormat="1" applyFont="1" applyFill="1" applyBorder="1" applyAlignment="1">
      <alignment vertical="center"/>
    </xf>
    <xf numFmtId="38" fontId="3" fillId="6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vertical="center"/>
    </xf>
    <xf numFmtId="38" fontId="11" fillId="8" borderId="8" xfId="1" applyNumberFormat="1" applyFont="1" applyFill="1" applyBorder="1" applyAlignment="1">
      <alignment vertical="center"/>
    </xf>
    <xf numFmtId="3" fontId="3" fillId="5" borderId="8" xfId="1" applyNumberFormat="1" applyFont="1" applyFill="1" applyBorder="1" applyAlignment="1">
      <alignment vertical="center"/>
    </xf>
    <xf numFmtId="3" fontId="3" fillId="6" borderId="8" xfId="1" applyNumberFormat="1" applyFont="1" applyFill="1" applyBorder="1" applyAlignment="1">
      <alignment vertical="center"/>
    </xf>
    <xf numFmtId="3" fontId="3" fillId="7" borderId="8" xfId="1" applyNumberFormat="1" applyFont="1" applyFill="1" applyBorder="1" applyAlignment="1">
      <alignment vertical="center"/>
    </xf>
    <xf numFmtId="0" fontId="2" fillId="0" borderId="9" xfId="1" applyBorder="1"/>
    <xf numFmtId="0" fontId="2" fillId="0" borderId="0" xfId="1" applyBorder="1"/>
    <xf numFmtId="3" fontId="4" fillId="0" borderId="9" xfId="1" applyNumberFormat="1" applyFont="1" applyBorder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>
      <alignment vertical="center"/>
    </xf>
    <xf numFmtId="49" fontId="3" fillId="3" borderId="11" xfId="1" applyNumberFormat="1" applyFont="1" applyFill="1" applyBorder="1" applyAlignment="1">
      <alignment horizontal="center" vertical="center"/>
    </xf>
    <xf numFmtId="3" fontId="3" fillId="4" borderId="11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3" fillId="6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14" borderId="12" xfId="1" applyNumberFormat="1" applyFont="1" applyFill="1" applyBorder="1" applyAlignment="1">
      <alignment horizontal="center" vertical="center" wrapText="1"/>
    </xf>
    <xf numFmtId="3" fontId="3" fillId="14" borderId="4" xfId="1" applyNumberFormat="1" applyFont="1" applyFill="1" applyBorder="1" applyAlignment="1">
      <alignment horizontal="center" vertical="center" wrapText="1"/>
    </xf>
    <xf numFmtId="38" fontId="11" fillId="8" borderId="3" xfId="1" applyNumberFormat="1" applyFont="1" applyFill="1" applyBorder="1" applyAlignment="1">
      <alignment vertical="center"/>
    </xf>
    <xf numFmtId="38" fontId="11" fillId="8" borderId="19" xfId="1" applyNumberFormat="1" applyFont="1" applyFill="1" applyBorder="1" applyAlignment="1">
      <alignment vertical="center"/>
    </xf>
    <xf numFmtId="38" fontId="11" fillId="8" borderId="22" xfId="1" applyNumberFormat="1" applyFont="1" applyFill="1" applyBorder="1" applyAlignment="1">
      <alignment vertical="center"/>
    </xf>
    <xf numFmtId="0" fontId="2" fillId="0" borderId="15" xfId="1" applyBorder="1"/>
    <xf numFmtId="3" fontId="5" fillId="0" borderId="0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0" fillId="0" borderId="7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" fontId="0" fillId="0" borderId="7" xfId="0" applyNumberFormat="1" applyBorder="1" applyAlignment="1">
      <alignment horizontal="left" vertical="center" wrapText="1" indent="3"/>
    </xf>
    <xf numFmtId="0" fontId="0" fillId="0" borderId="0" xfId="0" applyAlignment="1">
      <alignment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0" fillId="0" borderId="24" xfId="0" applyNumberFormat="1" applyBorder="1"/>
    <xf numFmtId="3" fontId="0" fillId="0" borderId="24" xfId="0" applyNumberFormat="1" applyBorder="1" applyAlignment="1">
      <alignment vertical="center"/>
    </xf>
    <xf numFmtId="3" fontId="0" fillId="0" borderId="24" xfId="0" applyNumberFormat="1" applyFont="1" applyBorder="1"/>
    <xf numFmtId="49" fontId="3" fillId="3" borderId="0" xfId="1" applyNumberFormat="1" applyFon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49" fontId="0" fillId="0" borderId="7" xfId="0" applyNumberForma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3" fontId="0" fillId="0" borderId="23" xfId="0" applyNumberFormat="1" applyBorder="1" applyAlignment="1">
      <alignment horizontal="right" vertical="center" wrapText="1"/>
    </xf>
    <xf numFmtId="16" fontId="0" fillId="0" borderId="23" xfId="0" applyNumberFormat="1" applyBorder="1" applyAlignment="1">
      <alignment horizontal="left" vertical="center" wrapText="1"/>
    </xf>
    <xf numFmtId="3" fontId="0" fillId="0" borderId="23" xfId="0" applyNumberFormat="1" applyBorder="1" applyAlignment="1">
      <alignment vertical="center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/>
    </xf>
    <xf numFmtId="3" fontId="10" fillId="10" borderId="8" xfId="0" applyNumberFormat="1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/>
    </xf>
    <xf numFmtId="0" fontId="10" fillId="11" borderId="8" xfId="0" applyFont="1" applyFill="1" applyBorder="1"/>
    <xf numFmtId="3" fontId="10" fillId="11" borderId="8" xfId="0" applyNumberFormat="1" applyFont="1" applyFill="1" applyBorder="1"/>
    <xf numFmtId="0" fontId="10" fillId="11" borderId="8" xfId="0" applyFont="1" applyFill="1" applyBorder="1" applyAlignment="1">
      <alignment vertical="center"/>
    </xf>
    <xf numFmtId="3" fontId="10" fillId="11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/>
    <xf numFmtId="3" fontId="0" fillId="0" borderId="8" xfId="0" applyNumberFormat="1" applyFont="1" applyFill="1" applyBorder="1"/>
    <xf numFmtId="0" fontId="0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8" xfId="0" applyFill="1" applyBorder="1"/>
    <xf numFmtId="0" fontId="10" fillId="15" borderId="8" xfId="0" applyFont="1" applyFill="1" applyBorder="1"/>
    <xf numFmtId="3" fontId="10" fillId="15" borderId="8" xfId="0" applyNumberFormat="1" applyFont="1" applyFill="1" applyBorder="1"/>
    <xf numFmtId="0" fontId="10" fillId="15" borderId="8" xfId="0" applyFont="1" applyFill="1" applyBorder="1" applyAlignment="1">
      <alignment vertical="center"/>
    </xf>
    <xf numFmtId="3" fontId="10" fillId="15" borderId="8" xfId="0" applyNumberFormat="1" applyFont="1" applyFill="1" applyBorder="1" applyAlignment="1">
      <alignment vertical="center"/>
    </xf>
    <xf numFmtId="0" fontId="10" fillId="15" borderId="8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left" vertical="center"/>
    </xf>
    <xf numFmtId="3" fontId="10" fillId="10" borderId="8" xfId="0" applyNumberFormat="1" applyFont="1" applyFill="1" applyBorder="1" applyAlignment="1">
      <alignment horizontal="right" vertical="center"/>
    </xf>
    <xf numFmtId="3" fontId="10" fillId="10" borderId="8" xfId="0" applyNumberFormat="1" applyFont="1" applyFill="1" applyBorder="1" applyAlignment="1">
      <alignment horizontal="right" vertical="center" wrapText="1"/>
    </xf>
    <xf numFmtId="0" fontId="9" fillId="16" borderId="8" xfId="0" applyFont="1" applyFill="1" applyBorder="1"/>
    <xf numFmtId="3" fontId="9" fillId="16" borderId="8" xfId="0" applyNumberFormat="1" applyFont="1" applyFill="1" applyBorder="1"/>
    <xf numFmtId="0" fontId="9" fillId="16" borderId="8" xfId="0" applyFont="1" applyFill="1" applyBorder="1" applyAlignment="1">
      <alignment vertical="center"/>
    </xf>
    <xf numFmtId="3" fontId="9" fillId="16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3" fontId="0" fillId="0" borderId="8" xfId="0" applyNumberFormat="1" applyFont="1" applyFill="1" applyBorder="1" applyAlignment="1">
      <alignment horizontal="right" vertical="center"/>
    </xf>
    <xf numFmtId="0" fontId="9" fillId="13" borderId="8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left" vertical="center"/>
    </xf>
    <xf numFmtId="3" fontId="9" fillId="13" borderId="8" xfId="0" applyNumberFormat="1" applyFont="1" applyFill="1" applyBorder="1" applyAlignment="1">
      <alignment horizontal="right" vertical="center"/>
    </xf>
    <xf numFmtId="3" fontId="9" fillId="13" borderId="8" xfId="0" applyNumberFormat="1" applyFont="1" applyFill="1" applyBorder="1" applyAlignment="1">
      <alignment horizontal="right" vertical="center" wrapText="1"/>
    </xf>
    <xf numFmtId="3" fontId="3" fillId="17" borderId="12" xfId="1" applyNumberFormat="1" applyFont="1" applyFill="1" applyBorder="1" applyAlignment="1">
      <alignment horizontal="center" vertical="center" wrapText="1"/>
    </xf>
    <xf numFmtId="3" fontId="3" fillId="17" borderId="4" xfId="1" applyNumberFormat="1" applyFont="1" applyFill="1" applyBorder="1" applyAlignment="1">
      <alignment horizontal="center" vertical="center" wrapText="1"/>
    </xf>
    <xf numFmtId="49" fontId="3" fillId="6" borderId="5" xfId="1" applyNumberFormat="1" applyFont="1" applyFill="1" applyBorder="1" applyAlignment="1">
      <alignment horizontal="left" vertical="center"/>
    </xf>
    <xf numFmtId="49" fontId="3" fillId="6" borderId="2" xfId="1" applyNumberFormat="1" applyFont="1" applyFill="1" applyBorder="1" applyAlignment="1">
      <alignment horizontal="left" vertical="center"/>
    </xf>
    <xf numFmtId="49" fontId="3" fillId="6" borderId="6" xfId="1" applyNumberFormat="1" applyFont="1" applyFill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3" fontId="3" fillId="14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17" fillId="18" borderId="25" xfId="0" applyFont="1" applyFill="1" applyBorder="1"/>
    <xf numFmtId="3" fontId="17" fillId="18" borderId="25" xfId="0" applyNumberFormat="1" applyFont="1" applyFill="1" applyBorder="1"/>
    <xf numFmtId="0" fontId="17" fillId="19" borderId="25" xfId="0" applyFont="1" applyFill="1" applyBorder="1"/>
    <xf numFmtId="3" fontId="17" fillId="19" borderId="25" xfId="0" applyNumberFormat="1" applyFont="1" applyFill="1" applyBorder="1"/>
    <xf numFmtId="0" fontId="17" fillId="18" borderId="0" xfId="0" applyFont="1" applyFill="1"/>
    <xf numFmtId="3" fontId="17" fillId="18" borderId="0" xfId="0" applyNumberFormat="1" applyFont="1" applyFill="1"/>
    <xf numFmtId="0" fontId="17" fillId="19" borderId="0" xfId="0" applyFont="1" applyFill="1"/>
    <xf numFmtId="3" fontId="17" fillId="19" borderId="0" xfId="0" applyNumberFormat="1" applyFont="1" applyFill="1"/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19" fillId="11" borderId="26" xfId="6" applyFont="1" applyFill="1" applyBorder="1" applyAlignment="1">
      <alignment horizontal="center" vertical="center" wrapText="1"/>
    </xf>
    <xf numFmtId="3" fontId="19" fillId="20" borderId="26" xfId="6" applyNumberFormat="1" applyFont="1" applyFill="1" applyBorder="1" applyAlignment="1">
      <alignment horizontal="center" vertical="center" wrapText="1"/>
    </xf>
    <xf numFmtId="3" fontId="19" fillId="11" borderId="26" xfId="6" applyNumberFormat="1" applyFont="1" applyFill="1" applyBorder="1" applyAlignment="1">
      <alignment horizontal="center" vertical="center" wrapText="1"/>
    </xf>
    <xf numFmtId="3" fontId="19" fillId="20" borderId="27" xfId="6" applyNumberFormat="1" applyFont="1" applyFill="1" applyBorder="1" applyAlignment="1">
      <alignment horizontal="center" vertical="center" wrapText="1"/>
    </xf>
    <xf numFmtId="3" fontId="19" fillId="11" borderId="27" xfId="6" applyNumberFormat="1" applyFont="1" applyFill="1" applyBorder="1" applyAlignment="1">
      <alignment horizontal="center" vertical="center" wrapText="1"/>
    </xf>
    <xf numFmtId="0" fontId="19" fillId="20" borderId="27" xfId="6" applyFont="1" applyFill="1" applyBorder="1" applyAlignment="1">
      <alignment horizontal="center" vertical="center" wrapText="1"/>
    </xf>
    <xf numFmtId="0" fontId="19" fillId="11" borderId="27" xfId="6" applyFont="1" applyFill="1" applyBorder="1" applyAlignment="1">
      <alignment horizontal="center" vertical="center" wrapText="1"/>
    </xf>
    <xf numFmtId="0" fontId="19" fillId="21" borderId="27" xfId="6" applyFont="1" applyFill="1" applyBorder="1" applyAlignment="1">
      <alignment horizontal="center" vertical="center" wrapText="1"/>
    </xf>
    <xf numFmtId="0" fontId="19" fillId="22" borderId="27" xfId="6" applyFont="1" applyFill="1" applyBorder="1" applyAlignment="1">
      <alignment horizontal="center" vertical="center" wrapText="1"/>
    </xf>
    <xf numFmtId="0" fontId="19" fillId="21" borderId="0" xfId="6" applyFont="1" applyFill="1" applyBorder="1" applyAlignment="1">
      <alignment horizontal="center" vertical="center" wrapText="1"/>
    </xf>
    <xf numFmtId="0" fontId="19" fillId="22" borderId="0" xfId="6" applyFont="1" applyFill="1" applyBorder="1" applyAlignment="1">
      <alignment horizontal="center" vertical="center" wrapText="1"/>
    </xf>
    <xf numFmtId="0" fontId="6" fillId="0" borderId="0" xfId="6" applyFont="1"/>
    <xf numFmtId="0" fontId="6" fillId="0" borderId="26" xfId="6" applyFont="1" applyBorder="1"/>
    <xf numFmtId="3" fontId="6" fillId="23" borderId="26" xfId="6" applyNumberFormat="1" applyFont="1" applyFill="1" applyBorder="1"/>
    <xf numFmtId="3" fontId="6" fillId="0" borderId="26" xfId="6" applyNumberFormat="1" applyFont="1" applyBorder="1"/>
    <xf numFmtId="0" fontId="19" fillId="11" borderId="26" xfId="6" applyFont="1" applyFill="1" applyBorder="1"/>
    <xf numFmtId="3" fontId="19" fillId="20" borderId="26" xfId="6" applyNumberFormat="1" applyFont="1" applyFill="1" applyBorder="1"/>
    <xf numFmtId="3" fontId="19" fillId="11" borderId="26" xfId="6" applyNumberFormat="1" applyFont="1" applyFill="1" applyBorder="1"/>
    <xf numFmtId="0" fontId="19" fillId="0" borderId="0" xfId="6" applyFont="1"/>
    <xf numFmtId="0" fontId="19" fillId="0" borderId="26" xfId="6" applyFont="1" applyBorder="1"/>
    <xf numFmtId="3" fontId="19" fillId="23" borderId="26" xfId="6" applyNumberFormat="1" applyFont="1" applyFill="1" applyBorder="1"/>
    <xf numFmtId="3" fontId="19" fillId="0" borderId="26" xfId="6" applyNumberFormat="1" applyFont="1" applyBorder="1"/>
    <xf numFmtId="0" fontId="6" fillId="0" borderId="26" xfId="6" applyBorder="1"/>
    <xf numFmtId="3" fontId="19" fillId="24" borderId="26" xfId="6" applyNumberFormat="1" applyFont="1" applyFill="1" applyBorder="1"/>
    <xf numFmtId="3" fontId="19" fillId="10" borderId="26" xfId="6" applyNumberFormat="1" applyFont="1" applyFill="1" applyBorder="1"/>
    <xf numFmtId="3" fontId="6" fillId="23" borderId="0" xfId="6" applyNumberFormat="1" applyFont="1" applyFill="1"/>
    <xf numFmtId="3" fontId="6" fillId="0" borderId="0" xfId="6" applyNumberFormat="1" applyFont="1"/>
    <xf numFmtId="0" fontId="6" fillId="23" borderId="0" xfId="6" applyFont="1" applyFill="1"/>
    <xf numFmtId="0" fontId="21" fillId="0" borderId="0" xfId="5" applyFont="1" applyAlignment="1">
      <alignment vertical="center"/>
    </xf>
    <xf numFmtId="0" fontId="21" fillId="0" borderId="0" xfId="5" applyFont="1" applyFill="1" applyAlignment="1">
      <alignment vertical="center"/>
    </xf>
    <xf numFmtId="49" fontId="21" fillId="0" borderId="0" xfId="5" applyNumberFormat="1" applyFont="1" applyFill="1" applyAlignment="1">
      <alignment horizontal="center" vertical="center"/>
    </xf>
    <xf numFmtId="3" fontId="24" fillId="22" borderId="26" xfId="7" applyNumberFormat="1" applyFont="1" applyFill="1" applyBorder="1" applyAlignment="1">
      <alignment horizontal="right" vertical="center" wrapText="1"/>
    </xf>
    <xf numFmtId="49" fontId="21" fillId="0" borderId="0" xfId="5" applyNumberFormat="1" applyFont="1" applyAlignment="1">
      <alignment horizontal="center" vertical="center"/>
    </xf>
    <xf numFmtId="0" fontId="20" fillId="0" borderId="0" xfId="5" applyFont="1" applyAlignment="1">
      <alignment vertical="center"/>
    </xf>
    <xf numFmtId="0" fontId="21" fillId="25" borderId="0" xfId="5" applyFont="1" applyFill="1" applyAlignment="1">
      <alignment vertical="center"/>
    </xf>
    <xf numFmtId="0" fontId="22" fillId="0" borderId="0" xfId="5" applyFont="1" applyAlignment="1">
      <alignment vertical="center"/>
    </xf>
    <xf numFmtId="0" fontId="7" fillId="0" borderId="0" xfId="7" applyFont="1" applyAlignment="1">
      <alignment horizontal="left" vertical="center"/>
    </xf>
    <xf numFmtId="0" fontId="13" fillId="26" borderId="0" xfId="7" applyFont="1" applyFill="1" applyAlignment="1">
      <alignment horizontal="right" vertical="center"/>
    </xf>
    <xf numFmtId="0" fontId="9" fillId="13" borderId="0" xfId="0" applyFont="1" applyFill="1" applyBorder="1" applyAlignment="1">
      <alignment horizontal="center" vertical="center" wrapText="1"/>
    </xf>
    <xf numFmtId="0" fontId="26" fillId="0" borderId="0" xfId="7" applyFont="1" applyBorder="1" applyAlignment="1">
      <alignment horizontal="left" vertical="center"/>
    </xf>
    <xf numFmtId="0" fontId="26" fillId="0" borderId="0" xfId="7" applyFont="1" applyAlignment="1">
      <alignment horizontal="left" vertical="center"/>
    </xf>
    <xf numFmtId="0" fontId="19" fillId="11" borderId="26" xfId="7" applyFont="1" applyFill="1" applyBorder="1" applyAlignment="1">
      <alignment horizontal="left" vertical="center" wrapText="1"/>
    </xf>
    <xf numFmtId="3" fontId="19" fillId="11" borderId="26" xfId="7" applyNumberFormat="1" applyFont="1" applyFill="1" applyBorder="1" applyAlignment="1">
      <alignment horizontal="right" vertical="center"/>
    </xf>
    <xf numFmtId="0" fontId="27" fillId="0" borderId="0" xfId="7" applyFont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6" fillId="0" borderId="26" xfId="7" applyFont="1" applyBorder="1" applyAlignment="1">
      <alignment horizontal="left" vertical="center" wrapText="1"/>
    </xf>
    <xf numFmtId="3" fontId="6" fillId="26" borderId="26" xfId="7" applyNumberFormat="1" applyFont="1" applyFill="1" applyBorder="1" applyAlignment="1">
      <alignment horizontal="right" vertical="center"/>
    </xf>
    <xf numFmtId="3" fontId="25" fillId="0" borderId="0" xfId="7" applyNumberFormat="1" applyFont="1" applyBorder="1" applyAlignment="1">
      <alignment horizontal="left" vertical="center"/>
    </xf>
    <xf numFmtId="0" fontId="2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16" fontId="6" fillId="0" borderId="26" xfId="7" applyNumberFormat="1" applyFont="1" applyBorder="1" applyAlignment="1">
      <alignment horizontal="left" vertical="center" wrapText="1"/>
    </xf>
    <xf numFmtId="49" fontId="6" fillId="0" borderId="26" xfId="7" applyNumberFormat="1" applyFont="1" applyBorder="1" applyAlignment="1">
      <alignment horizontal="left" vertical="center" wrapText="1"/>
    </xf>
    <xf numFmtId="0" fontId="24" fillId="0" borderId="0" xfId="7" applyFont="1" applyBorder="1" applyAlignment="1">
      <alignment horizontal="left" vertical="center"/>
    </xf>
    <xf numFmtId="0" fontId="28" fillId="0" borderId="0" xfId="7" applyFont="1" applyBorder="1" applyAlignment="1">
      <alignment horizontal="left" vertical="center"/>
    </xf>
    <xf numFmtId="0" fontId="29" fillId="27" borderId="26" xfId="0" applyFont="1" applyFill="1" applyBorder="1"/>
    <xf numFmtId="3" fontId="29" fillId="27" borderId="26" xfId="0" applyNumberFormat="1" applyFont="1" applyFill="1" applyBorder="1"/>
    <xf numFmtId="0" fontId="24" fillId="28" borderId="0" xfId="7" applyFont="1" applyFill="1" applyBorder="1" applyAlignment="1">
      <alignment horizontal="left" vertical="center"/>
    </xf>
    <xf numFmtId="0" fontId="28" fillId="28" borderId="0" xfId="7" applyFont="1" applyFill="1" applyBorder="1" applyAlignment="1">
      <alignment horizontal="left" vertical="center"/>
    </xf>
    <xf numFmtId="0" fontId="28" fillId="28" borderId="0" xfId="7" applyFont="1" applyFill="1" applyAlignment="1">
      <alignment horizontal="left" vertical="center"/>
    </xf>
    <xf numFmtId="0" fontId="7" fillId="28" borderId="0" xfId="7" applyFont="1" applyFill="1" applyAlignment="1">
      <alignment horizontal="left" vertical="center"/>
    </xf>
    <xf numFmtId="0" fontId="25" fillId="0" borderId="0" xfId="7" applyFont="1" applyBorder="1" applyAlignment="1">
      <alignment horizontal="left" vertical="center" wrapText="1"/>
    </xf>
    <xf numFmtId="168" fontId="6" fillId="0" borderId="0" xfId="7" applyNumberFormat="1" applyFont="1" applyFill="1" applyBorder="1" applyAlignment="1">
      <alignment horizontal="left" vertical="center"/>
    </xf>
    <xf numFmtId="168" fontId="6" fillId="0" borderId="28" xfId="7" applyNumberFormat="1" applyFont="1" applyFill="1" applyBorder="1" applyAlignment="1">
      <alignment horizontal="left" vertical="center"/>
    </xf>
    <xf numFmtId="0" fontId="30" fillId="15" borderId="0" xfId="0" applyFont="1" applyFill="1"/>
    <xf numFmtId="0" fontId="16" fillId="15" borderId="0" xfId="0" applyFont="1" applyFill="1"/>
    <xf numFmtId="0" fontId="16" fillId="29" borderId="0" xfId="0" applyFont="1" applyFill="1"/>
    <xf numFmtId="3" fontId="16" fillId="15" borderId="0" xfId="0" applyNumberFormat="1" applyFont="1" applyFill="1"/>
    <xf numFmtId="3" fontId="16" fillId="29" borderId="0" xfId="0" applyNumberFormat="1" applyFont="1" applyFill="1"/>
    <xf numFmtId="3" fontId="30" fillId="15" borderId="0" xfId="0" applyNumberFormat="1" applyFont="1" applyFill="1"/>
    <xf numFmtId="165" fontId="0" fillId="0" borderId="0" xfId="0" applyNumberFormat="1"/>
    <xf numFmtId="3" fontId="24" fillId="22" borderId="0" xfId="7" applyNumberFormat="1" applyFont="1" applyFill="1" applyBorder="1" applyAlignment="1">
      <alignment horizontal="right" vertical="center" wrapText="1"/>
    </xf>
    <xf numFmtId="0" fontId="32" fillId="30" borderId="25" xfId="0" applyFont="1" applyFill="1" applyBorder="1" applyAlignment="1">
      <alignment horizontal="center" vertical="center"/>
    </xf>
    <xf numFmtId="3" fontId="32" fillId="30" borderId="25" xfId="0" applyNumberFormat="1" applyFont="1" applyFill="1" applyBorder="1" applyAlignment="1">
      <alignment horizontal="center" vertical="center"/>
    </xf>
    <xf numFmtId="169" fontId="33" fillId="0" borderId="0" xfId="0" applyNumberFormat="1" applyFont="1"/>
    <xf numFmtId="0" fontId="10" fillId="1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13" borderId="24" xfId="0" applyFont="1" applyFill="1" applyBorder="1"/>
    <xf numFmtId="3" fontId="9" fillId="13" borderId="24" xfId="0" applyNumberFormat="1" applyFont="1" applyFill="1" applyBorder="1"/>
    <xf numFmtId="0" fontId="12" fillId="0" borderId="2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0" fontId="10" fillId="11" borderId="24" xfId="0" applyFont="1" applyFill="1" applyBorder="1" applyAlignment="1">
      <alignment horizontal="center"/>
    </xf>
    <xf numFmtId="0" fontId="10" fillId="11" borderId="24" xfId="0" applyFont="1" applyFill="1" applyBorder="1"/>
    <xf numFmtId="3" fontId="10" fillId="11" borderId="24" xfId="0" applyNumberFormat="1" applyFont="1" applyFill="1" applyBorder="1"/>
    <xf numFmtId="0" fontId="10" fillId="12" borderId="24" xfId="0" applyFont="1" applyFill="1" applyBorder="1" applyAlignment="1">
      <alignment horizontal="center"/>
    </xf>
    <xf numFmtId="0" fontId="10" fillId="12" borderId="24" xfId="0" applyFont="1" applyFill="1" applyBorder="1"/>
    <xf numFmtId="3" fontId="10" fillId="12" borderId="24" xfId="0" applyNumberFormat="1" applyFont="1" applyFill="1" applyBorder="1"/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/>
    </xf>
    <xf numFmtId="0" fontId="10" fillId="10" borderId="24" xfId="0" applyFont="1" applyFill="1" applyBorder="1" applyAlignment="1">
      <alignment horizontal="center"/>
    </xf>
    <xf numFmtId="0" fontId="10" fillId="10" borderId="24" xfId="0" applyFont="1" applyFill="1" applyBorder="1"/>
    <xf numFmtId="3" fontId="10" fillId="10" borderId="24" xfId="0" applyNumberFormat="1" applyFont="1" applyFill="1" applyBorder="1"/>
    <xf numFmtId="0" fontId="0" fillId="0" borderId="24" xfId="0" applyBorder="1"/>
    <xf numFmtId="0" fontId="0" fillId="0" borderId="0" xfId="0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7" fillId="0" borderId="26" xfId="0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3" fontId="0" fillId="0" borderId="26" xfId="0" applyNumberFormat="1" applyBorder="1"/>
    <xf numFmtId="0" fontId="37" fillId="12" borderId="26" xfId="0" applyFont="1" applyFill="1" applyBorder="1" applyAlignment="1">
      <alignment horizontal="center" vertical="center"/>
    </xf>
    <xf numFmtId="0" fontId="37" fillId="12" borderId="26" xfId="0" applyFont="1" applyFill="1" applyBorder="1" applyAlignment="1">
      <alignment vertical="center" wrapText="1"/>
    </xf>
    <xf numFmtId="3" fontId="37" fillId="12" borderId="26" xfId="0" applyNumberFormat="1" applyFont="1" applyFill="1" applyBorder="1" applyAlignment="1">
      <alignment vertical="center"/>
    </xf>
    <xf numFmtId="0" fontId="37" fillId="11" borderId="26" xfId="0" applyFont="1" applyFill="1" applyBorder="1" applyAlignment="1">
      <alignment horizontal="center" vertical="center"/>
    </xf>
    <xf numFmtId="0" fontId="37" fillId="11" borderId="26" xfId="0" applyFont="1" applyFill="1" applyBorder="1" applyAlignment="1">
      <alignment vertical="center" wrapText="1"/>
    </xf>
    <xf numFmtId="3" fontId="37" fillId="11" borderId="26" xfId="0" applyNumberFormat="1" applyFont="1" applyFill="1" applyBorder="1" applyAlignment="1">
      <alignment vertical="center"/>
    </xf>
    <xf numFmtId="0" fontId="38" fillId="27" borderId="26" xfId="0" applyFont="1" applyFill="1" applyBorder="1" applyAlignment="1">
      <alignment horizontal="center" vertical="center"/>
    </xf>
    <xf numFmtId="0" fontId="38" fillId="27" borderId="26" xfId="0" applyFont="1" applyFill="1" applyBorder="1" applyAlignment="1">
      <alignment vertical="center"/>
    </xf>
    <xf numFmtId="3" fontId="38" fillId="27" borderId="26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70" fontId="0" fillId="0" borderId="0" xfId="11" applyNumberFormat="1" applyFont="1"/>
    <xf numFmtId="170" fontId="0" fillId="0" borderId="0" xfId="11" applyNumberFormat="1" applyFont="1" applyAlignment="1">
      <alignment horizontal="center"/>
    </xf>
    <xf numFmtId="170" fontId="10" fillId="22" borderId="25" xfId="11" applyNumberFormat="1" applyFont="1" applyFill="1" applyBorder="1" applyAlignment="1">
      <alignment horizontal="center" vertical="center" wrapText="1"/>
    </xf>
    <xf numFmtId="170" fontId="10" fillId="22" borderId="25" xfId="11" applyNumberFormat="1" applyFont="1" applyFill="1" applyBorder="1" applyAlignment="1">
      <alignment vertical="center"/>
    </xf>
    <xf numFmtId="0" fontId="0" fillId="0" borderId="25" xfId="0" applyBorder="1" applyAlignment="1">
      <alignment vertical="center" wrapText="1"/>
    </xf>
    <xf numFmtId="170" fontId="0" fillId="0" borderId="25" xfId="11" applyNumberFormat="1" applyFont="1" applyBorder="1" applyAlignment="1">
      <alignment vertical="center"/>
    </xf>
    <xf numFmtId="170" fontId="0" fillId="0" borderId="25" xfId="11" applyNumberFormat="1" applyFont="1" applyBorder="1" applyAlignment="1">
      <alignment horizontal="right" vertical="center"/>
    </xf>
    <xf numFmtId="170" fontId="0" fillId="0" borderId="25" xfId="11" applyNumberFormat="1" applyFont="1" applyBorder="1" applyAlignment="1">
      <alignment horizontal="center" vertical="center"/>
    </xf>
    <xf numFmtId="0" fontId="10" fillId="11" borderId="25" xfId="0" applyFont="1" applyFill="1" applyBorder="1" applyAlignment="1">
      <alignment horizontal="center"/>
    </xf>
    <xf numFmtId="170" fontId="10" fillId="11" borderId="25" xfId="11" applyNumberFormat="1" applyFont="1" applyFill="1" applyBorder="1"/>
    <xf numFmtId="170" fontId="10" fillId="11" borderId="25" xfId="11" applyNumberFormat="1" applyFont="1" applyFill="1" applyBorder="1" applyAlignment="1">
      <alignment horizontal="center"/>
    </xf>
    <xf numFmtId="0" fontId="24" fillId="0" borderId="0" xfId="7" applyFont="1"/>
    <xf numFmtId="0" fontId="28" fillId="0" borderId="0" xfId="7" applyFont="1"/>
    <xf numFmtId="0" fontId="40" fillId="0" borderId="0" xfId="7" applyFont="1" applyAlignment="1">
      <alignment horizontal="center"/>
    </xf>
    <xf numFmtId="49" fontId="25" fillId="0" borderId="0" xfId="7" applyNumberFormat="1" applyFont="1" applyAlignment="1">
      <alignment horizontal="center"/>
    </xf>
    <xf numFmtId="0" fontId="25" fillId="0" borderId="0" xfId="7" applyFont="1"/>
    <xf numFmtId="0" fontId="7" fillId="0" borderId="0" xfId="7"/>
    <xf numFmtId="0" fontId="25" fillId="0" borderId="0" xfId="7" applyFont="1" applyAlignment="1">
      <alignment horizontal="center"/>
    </xf>
    <xf numFmtId="49" fontId="9" fillId="13" borderId="24" xfId="0" applyNumberFormat="1" applyFont="1" applyFill="1" applyBorder="1" applyAlignment="1">
      <alignment horizontal="center"/>
    </xf>
    <xf numFmtId="3" fontId="10" fillId="10" borderId="24" xfId="0" applyNumberFormat="1" applyFont="1" applyFill="1" applyBorder="1" applyAlignment="1">
      <alignment horizontal="center" vertical="center" wrapText="1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28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28" xfId="7" applyFont="1" applyBorder="1" applyAlignment="1">
      <alignment horizontal="center" vertical="center"/>
    </xf>
    <xf numFmtId="0" fontId="43" fillId="0" borderId="28" xfId="7" applyFont="1" applyBorder="1" applyAlignment="1">
      <alignment horizontal="center" vertical="center"/>
    </xf>
    <xf numFmtId="0" fontId="19" fillId="0" borderId="28" xfId="7" applyFont="1" applyBorder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6" fillId="0" borderId="28" xfId="7" applyFont="1" applyBorder="1" applyAlignment="1">
      <alignment horizontal="left" vertical="center" wrapText="1"/>
    </xf>
    <xf numFmtId="165" fontId="6" fillId="31" borderId="28" xfId="7" applyNumberFormat="1" applyFont="1" applyFill="1" applyBorder="1" applyAlignment="1">
      <alignment horizontal="center" vertical="center"/>
    </xf>
    <xf numFmtId="0" fontId="6" fillId="0" borderId="28" xfId="7" applyFont="1" applyBorder="1" applyAlignment="1">
      <alignment horizontal="left" vertical="center"/>
    </xf>
    <xf numFmtId="0" fontId="19" fillId="32" borderId="28" xfId="7" applyFont="1" applyFill="1" applyBorder="1" applyAlignment="1">
      <alignment horizontal="left" vertical="center"/>
    </xf>
    <xf numFmtId="165" fontId="19" fillId="32" borderId="28" xfId="7" applyNumberFormat="1" applyFont="1" applyFill="1" applyBorder="1" applyAlignment="1">
      <alignment horizontal="center" vertical="center" wrapText="1"/>
    </xf>
    <xf numFmtId="3" fontId="19" fillId="32" borderId="28" xfId="7" applyNumberFormat="1" applyFont="1" applyFill="1" applyBorder="1" applyAlignment="1">
      <alignment horizontal="center" vertical="center" wrapText="1"/>
    </xf>
    <xf numFmtId="0" fontId="19" fillId="32" borderId="0" xfId="7" applyFont="1" applyFill="1" applyAlignment="1">
      <alignment horizontal="center" vertical="center"/>
    </xf>
    <xf numFmtId="166" fontId="6" fillId="31" borderId="28" xfId="7" applyNumberFormat="1" applyFont="1" applyFill="1" applyBorder="1" applyAlignment="1">
      <alignment horizontal="center" vertical="center"/>
    </xf>
    <xf numFmtId="0" fontId="6" fillId="31" borderId="28" xfId="7" applyFont="1" applyFill="1" applyBorder="1" applyAlignment="1">
      <alignment horizontal="center" vertical="center"/>
    </xf>
    <xf numFmtId="166" fontId="19" fillId="32" borderId="28" xfId="7" applyNumberFormat="1" applyFont="1" applyFill="1" applyBorder="1" applyAlignment="1">
      <alignment horizontal="center" vertical="center" wrapText="1"/>
    </xf>
    <xf numFmtId="0" fontId="38" fillId="13" borderId="28" xfId="7" applyFont="1" applyFill="1" applyBorder="1" applyAlignment="1">
      <alignment horizontal="left" vertical="center"/>
    </xf>
    <xf numFmtId="165" fontId="38" fillId="13" borderId="28" xfId="7" applyNumberFormat="1" applyFont="1" applyFill="1" applyBorder="1" applyAlignment="1">
      <alignment horizontal="center" vertical="center"/>
    </xf>
    <xf numFmtId="0" fontId="19" fillId="13" borderId="0" xfId="7" applyFont="1" applyFill="1" applyAlignment="1">
      <alignment vertical="center"/>
    </xf>
    <xf numFmtId="3" fontId="3" fillId="14" borderId="1" xfId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" fontId="0" fillId="0" borderId="24" xfId="0" applyNumberForma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3" fontId="0" fillId="0" borderId="24" xfId="0" applyNumberFormat="1" applyFont="1" applyBorder="1" applyAlignment="1">
      <alignment vertical="center" wrapText="1"/>
    </xf>
    <xf numFmtId="49" fontId="9" fillId="13" borderId="26" xfId="0" applyNumberFormat="1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vertical="center"/>
    </xf>
    <xf numFmtId="3" fontId="9" fillId="13" borderId="26" xfId="0" applyNumberFormat="1" applyFont="1" applyFill="1" applyBorder="1" applyAlignment="1">
      <alignment horizontal="right" vertical="center"/>
    </xf>
    <xf numFmtId="49" fontId="10" fillId="11" borderId="26" xfId="0" applyNumberFormat="1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vertical="center"/>
    </xf>
    <xf numFmtId="3" fontId="10" fillId="11" borderId="26" xfId="0" applyNumberFormat="1" applyFont="1" applyFill="1" applyBorder="1" applyAlignment="1">
      <alignment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6" xfId="0" applyNumberFormat="1" applyFont="1" applyBorder="1"/>
    <xf numFmtId="3" fontId="10" fillId="0" borderId="26" xfId="0" applyNumberFormat="1" applyFont="1" applyBorder="1"/>
    <xf numFmtId="49" fontId="0" fillId="0" borderId="26" xfId="0" applyNumberFormat="1" applyBorder="1" applyAlignment="1">
      <alignment horizontal="center" vertical="center"/>
    </xf>
    <xf numFmtId="49" fontId="0" fillId="0" borderId="26" xfId="0" applyNumberFormat="1" applyBorder="1"/>
    <xf numFmtId="49" fontId="0" fillId="0" borderId="26" xfId="0" applyNumberFormat="1" applyBorder="1" applyAlignment="1">
      <alignment vertical="center" wrapText="1"/>
    </xf>
    <xf numFmtId="3" fontId="0" fillId="0" borderId="26" xfId="0" applyNumberFormat="1" applyBorder="1" applyAlignment="1">
      <alignment vertical="center"/>
    </xf>
    <xf numFmtId="3" fontId="13" fillId="0" borderId="26" xfId="0" applyNumberFormat="1" applyFont="1" applyBorder="1" applyAlignment="1">
      <alignment vertical="center"/>
    </xf>
    <xf numFmtId="3" fontId="0" fillId="0" borderId="26" xfId="0" applyNumberFormat="1" applyFont="1" applyBorder="1"/>
    <xf numFmtId="0" fontId="9" fillId="9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/>
    </xf>
    <xf numFmtId="165" fontId="10" fillId="0" borderId="26" xfId="0" applyNumberFormat="1" applyFont="1" applyFill="1" applyBorder="1" applyAlignment="1">
      <alignment horizontal="right" vertical="center" wrapText="1"/>
    </xf>
    <xf numFmtId="0" fontId="10" fillId="11" borderId="26" xfId="0" applyFont="1" applyFill="1" applyBorder="1" applyAlignment="1">
      <alignment horizontal="center" vertical="center"/>
    </xf>
    <xf numFmtId="0" fontId="10" fillId="11" borderId="26" xfId="0" applyFont="1" applyFill="1" applyBorder="1"/>
    <xf numFmtId="3" fontId="10" fillId="11" borderId="26" xfId="0" applyNumberFormat="1" applyFont="1" applyFill="1" applyBorder="1"/>
    <xf numFmtId="0" fontId="10" fillId="12" borderId="26" xfId="0" applyFont="1" applyFill="1" applyBorder="1" applyAlignment="1">
      <alignment horizontal="center" vertical="center"/>
    </xf>
    <xf numFmtId="0" fontId="10" fillId="12" borderId="26" xfId="0" applyFont="1" applyFill="1" applyBorder="1"/>
    <xf numFmtId="3" fontId="10" fillId="12" borderId="26" xfId="0" applyNumberFormat="1" applyFont="1" applyFill="1" applyBorder="1"/>
    <xf numFmtId="0" fontId="0" fillId="0" borderId="26" xfId="0" applyBorder="1" applyAlignment="1">
      <alignment horizontal="left" vertical="center" wrapText="1"/>
    </xf>
    <xf numFmtId="3" fontId="0" fillId="0" borderId="26" xfId="0" applyNumberFormat="1" applyBorder="1" applyAlignment="1">
      <alignment horizontal="right" vertical="center" wrapText="1"/>
    </xf>
    <xf numFmtId="0" fontId="0" fillId="0" borderId="26" xfId="0" applyBorder="1"/>
    <xf numFmtId="0" fontId="10" fillId="10" borderId="26" xfId="0" applyFont="1" applyFill="1" applyBorder="1" applyAlignment="1">
      <alignment horizontal="left" vertical="center"/>
    </xf>
    <xf numFmtId="3" fontId="10" fillId="10" borderId="26" xfId="0" applyNumberFormat="1" applyFont="1" applyFill="1" applyBorder="1" applyAlignment="1">
      <alignment horizontal="right" vertical="center" wrapText="1"/>
    </xf>
    <xf numFmtId="0" fontId="9" fillId="13" borderId="26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vertical="center" wrapText="1"/>
    </xf>
    <xf numFmtId="49" fontId="12" fillId="11" borderId="26" xfId="0" applyNumberFormat="1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vertical="center" wrapText="1"/>
    </xf>
    <xf numFmtId="3" fontId="12" fillId="11" borderId="26" xfId="0" applyNumberFormat="1" applyFont="1" applyFill="1" applyBorder="1" applyAlignment="1">
      <alignment horizontal="right" vertical="center"/>
    </xf>
    <xf numFmtId="49" fontId="10" fillId="0" borderId="26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3" fontId="10" fillId="0" borderId="26" xfId="0" applyNumberFormat="1" applyFont="1" applyFill="1" applyBorder="1" applyAlignment="1">
      <alignment vertical="center"/>
    </xf>
    <xf numFmtId="49" fontId="0" fillId="0" borderId="26" xfId="0" applyNumberFormat="1" applyFont="1" applyBorder="1"/>
    <xf numFmtId="3" fontId="0" fillId="0" borderId="26" xfId="0" applyNumberFormat="1" applyFont="1" applyFill="1" applyBorder="1" applyAlignment="1">
      <alignment vertical="center"/>
    </xf>
    <xf numFmtId="3" fontId="0" fillId="0" borderId="26" xfId="0" applyNumberFormat="1" applyFont="1" applyBorder="1" applyAlignment="1">
      <alignment vertical="center"/>
    </xf>
    <xf numFmtId="3" fontId="9" fillId="13" borderId="26" xfId="0" applyNumberFormat="1" applyFont="1" applyFill="1" applyBorder="1" applyAlignment="1">
      <alignment horizontal="right" vertical="center" wrapText="1"/>
    </xf>
    <xf numFmtId="165" fontId="9" fillId="13" borderId="26" xfId="0" applyNumberFormat="1" applyFont="1" applyFill="1" applyBorder="1" applyAlignment="1">
      <alignment horizontal="right" vertical="center"/>
    </xf>
    <xf numFmtId="165" fontId="10" fillId="11" borderId="26" xfId="0" applyNumberFormat="1" applyFont="1" applyFill="1" applyBorder="1" applyAlignment="1">
      <alignment vertical="center"/>
    </xf>
    <xf numFmtId="165" fontId="0" fillId="0" borderId="26" xfId="0" applyNumberFormat="1" applyFont="1" applyBorder="1"/>
    <xf numFmtId="165" fontId="0" fillId="0" borderId="26" xfId="0" applyNumberFormat="1" applyFont="1" applyBorder="1" applyAlignment="1">
      <alignment vertical="center"/>
    </xf>
    <xf numFmtId="165" fontId="0" fillId="0" borderId="26" xfId="0" applyNumberFormat="1" applyBorder="1"/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vertical="center" wrapText="1"/>
    </xf>
    <xf numFmtId="3" fontId="10" fillId="0" borderId="26" xfId="0" applyNumberFormat="1" applyFont="1" applyBorder="1" applyAlignment="1">
      <alignment horizontal="right" vertical="center" wrapText="1"/>
    </xf>
    <xf numFmtId="16" fontId="0" fillId="0" borderId="26" xfId="0" applyNumberFormat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3" fontId="0" fillId="0" borderId="26" xfId="0" applyNumberFormat="1" applyBorder="1" applyAlignment="1">
      <alignment vertical="center" wrapText="1"/>
    </xf>
    <xf numFmtId="49" fontId="19" fillId="0" borderId="0" xfId="7" applyNumberFormat="1" applyFont="1" applyBorder="1" applyAlignment="1">
      <alignment horizontal="center" vertical="center" wrapText="1"/>
    </xf>
    <xf numFmtId="49" fontId="24" fillId="0" borderId="0" xfId="5" applyNumberFormat="1" applyFont="1" applyBorder="1" applyAlignment="1">
      <alignment horizontal="center" vertical="center"/>
    </xf>
    <xf numFmtId="49" fontId="25" fillId="0" borderId="0" xfId="5" applyNumberFormat="1" applyFont="1" applyBorder="1" applyAlignment="1">
      <alignment horizontal="center" vertical="center"/>
    </xf>
    <xf numFmtId="49" fontId="24" fillId="0" borderId="0" xfId="5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65" fontId="10" fillId="10" borderId="26" xfId="0" applyNumberFormat="1" applyFont="1" applyFill="1" applyBorder="1" applyAlignment="1">
      <alignment horizontal="center" vertical="center" wrapText="1"/>
    </xf>
    <xf numFmtId="3" fontId="10" fillId="10" borderId="8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Border="1" applyAlignment="1">
      <alignment vertical="center"/>
    </xf>
    <xf numFmtId="0" fontId="17" fillId="18" borderId="25" xfId="0" applyFont="1" applyFill="1" applyBorder="1" applyAlignment="1">
      <alignment vertical="center" wrapText="1"/>
    </xf>
    <xf numFmtId="3" fontId="17" fillId="18" borderId="25" xfId="0" applyNumberFormat="1" applyFont="1" applyFill="1" applyBorder="1" applyAlignment="1">
      <alignment horizontal="right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3" fontId="9" fillId="13" borderId="33" xfId="0" applyNumberFormat="1" applyFont="1" applyFill="1" applyBorder="1" applyAlignment="1">
      <alignment horizontal="right" vertical="center"/>
    </xf>
    <xf numFmtId="171" fontId="0" fillId="0" borderId="0" xfId="11" applyNumberFormat="1" applyFont="1"/>
    <xf numFmtId="171" fontId="9" fillId="13" borderId="26" xfId="11" applyNumberFormat="1" applyFont="1" applyFill="1" applyBorder="1" applyAlignment="1">
      <alignment horizontal="right" vertical="center"/>
    </xf>
    <xf numFmtId="171" fontId="12" fillId="11" borderId="26" xfId="11" applyNumberFormat="1" applyFont="1" applyFill="1" applyBorder="1" applyAlignment="1">
      <alignment horizontal="right" vertical="center"/>
    </xf>
    <xf numFmtId="171" fontId="10" fillId="0" borderId="26" xfId="11" applyNumberFormat="1" applyFont="1" applyFill="1" applyBorder="1" applyAlignment="1">
      <alignment vertical="center"/>
    </xf>
    <xf numFmtId="171" fontId="10" fillId="0" borderId="26" xfId="11" applyNumberFormat="1" applyFont="1" applyBorder="1"/>
    <xf numFmtId="171" fontId="0" fillId="0" borderId="26" xfId="11" applyNumberFormat="1" applyFont="1" applyBorder="1"/>
    <xf numFmtId="171" fontId="0" fillId="0" borderId="26" xfId="11" applyNumberFormat="1" applyFont="1" applyBorder="1" applyAlignment="1">
      <alignment vertical="center"/>
    </xf>
    <xf numFmtId="171" fontId="0" fillId="0" borderId="26" xfId="11" applyNumberFormat="1" applyFont="1" applyFill="1" applyBorder="1" applyAlignment="1">
      <alignment vertical="center"/>
    </xf>
    <xf numFmtId="3" fontId="25" fillId="22" borderId="0" xfId="7" applyNumberFormat="1" applyFont="1" applyFill="1" applyBorder="1" applyAlignment="1">
      <alignment horizontal="right" vertical="center" wrapText="1"/>
    </xf>
    <xf numFmtId="170" fontId="6" fillId="26" borderId="0" xfId="11" applyNumberFormat="1" applyFont="1" applyFill="1" applyBorder="1" applyAlignment="1">
      <alignment horizontal="right" vertical="center"/>
    </xf>
    <xf numFmtId="170" fontId="25" fillId="0" borderId="0" xfId="11" applyNumberFormat="1" applyFont="1" applyFill="1" applyBorder="1" applyAlignment="1">
      <alignment horizontal="right" vertical="center"/>
    </xf>
    <xf numFmtId="170" fontId="23" fillId="25" borderId="0" xfId="11" applyNumberFormat="1" applyFont="1" applyFill="1" applyBorder="1" applyAlignment="1">
      <alignment vertical="center"/>
    </xf>
    <xf numFmtId="170" fontId="21" fillId="0" borderId="0" xfId="11" applyNumberFormat="1" applyFont="1" applyAlignment="1">
      <alignment vertical="center"/>
    </xf>
    <xf numFmtId="171" fontId="13" fillId="0" borderId="26" xfId="11" applyNumberFormat="1" applyFont="1" applyBorder="1" applyAlignment="1">
      <alignment vertical="center"/>
    </xf>
    <xf numFmtId="165" fontId="9" fillId="13" borderId="33" xfId="0" applyNumberFormat="1" applyFont="1" applyFill="1" applyBorder="1" applyAlignment="1">
      <alignment horizontal="right" vertical="center"/>
    </xf>
    <xf numFmtId="3" fontId="13" fillId="29" borderId="26" xfId="0" applyNumberFormat="1" applyFont="1" applyFill="1" applyBorder="1"/>
    <xf numFmtId="49" fontId="13" fillId="0" borderId="26" xfId="0" applyNumberFormat="1" applyFont="1" applyBorder="1"/>
    <xf numFmtId="0" fontId="6" fillId="0" borderId="28" xfId="7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171" fontId="13" fillId="0" borderId="0" xfId="11" applyNumberFormat="1" applyFont="1"/>
    <xf numFmtId="0" fontId="13" fillId="0" borderId="0" xfId="0" applyFont="1"/>
    <xf numFmtId="49" fontId="12" fillId="13" borderId="26" xfId="0" applyNumberFormat="1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vertical="center"/>
    </xf>
    <xf numFmtId="171" fontId="12" fillId="13" borderId="26" xfId="11" applyNumberFormat="1" applyFont="1" applyFill="1" applyBorder="1" applyAlignment="1">
      <alignment horizontal="right" vertical="center"/>
    </xf>
    <xf numFmtId="0" fontId="12" fillId="11" borderId="26" xfId="0" applyFont="1" applyFill="1" applyBorder="1" applyAlignment="1">
      <alignment vertical="center"/>
    </xf>
    <xf numFmtId="171" fontId="12" fillId="11" borderId="26" xfId="11" applyNumberFormat="1" applyFont="1" applyFill="1" applyBorder="1" applyAlignment="1">
      <alignment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26" xfId="0" applyNumberFormat="1" applyFont="1" applyBorder="1"/>
    <xf numFmtId="3" fontId="12" fillId="0" borderId="26" xfId="0" applyNumberFormat="1" applyFont="1" applyBorder="1"/>
    <xf numFmtId="171" fontId="12" fillId="0" borderId="26" xfId="11" applyNumberFormat="1" applyFont="1" applyBorder="1"/>
    <xf numFmtId="49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Border="1"/>
    <xf numFmtId="171" fontId="13" fillId="0" borderId="26" xfId="11" applyNumberFormat="1" applyFont="1" applyBorder="1"/>
    <xf numFmtId="49" fontId="13" fillId="0" borderId="26" xfId="0" applyNumberFormat="1" applyFont="1" applyBorder="1" applyAlignment="1">
      <alignment vertical="center" wrapText="1"/>
    </xf>
    <xf numFmtId="49" fontId="12" fillId="0" borderId="26" xfId="0" applyNumberFormat="1" applyFont="1" applyBorder="1" applyAlignment="1">
      <alignment vertical="center" wrapText="1"/>
    </xf>
    <xf numFmtId="171" fontId="12" fillId="0" borderId="26" xfId="11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26" xfId="0" applyNumberFormat="1" applyFont="1" applyBorder="1" applyAlignment="1">
      <alignment wrapText="1"/>
    </xf>
    <xf numFmtId="49" fontId="13" fillId="0" borderId="3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10" borderId="24" xfId="0" applyFont="1" applyFill="1" applyBorder="1" applyAlignment="1">
      <alignment horizontal="center" vertical="center" wrapText="1"/>
    </xf>
    <xf numFmtId="3" fontId="12" fillId="10" borderId="2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13" borderId="24" xfId="0" applyNumberFormat="1" applyFont="1" applyFill="1" applyBorder="1" applyAlignment="1">
      <alignment horizontal="center"/>
    </xf>
    <xf numFmtId="0" fontId="12" fillId="13" borderId="24" xfId="0" applyFont="1" applyFill="1" applyBorder="1"/>
    <xf numFmtId="3" fontId="12" fillId="13" borderId="24" xfId="0" applyNumberFormat="1" applyFont="1" applyFill="1" applyBorder="1"/>
    <xf numFmtId="0" fontId="12" fillId="11" borderId="24" xfId="0" applyFont="1" applyFill="1" applyBorder="1" applyAlignment="1">
      <alignment horizontal="center"/>
    </xf>
    <xf numFmtId="0" fontId="12" fillId="11" borderId="24" xfId="0" applyFont="1" applyFill="1" applyBorder="1"/>
    <xf numFmtId="3" fontId="12" fillId="11" borderId="24" xfId="0" applyNumberFormat="1" applyFont="1" applyFill="1" applyBorder="1"/>
    <xf numFmtId="0" fontId="12" fillId="12" borderId="24" xfId="0" applyFont="1" applyFill="1" applyBorder="1" applyAlignment="1">
      <alignment horizontal="center"/>
    </xf>
    <xf numFmtId="0" fontId="12" fillId="12" borderId="24" xfId="0" applyFont="1" applyFill="1" applyBorder="1"/>
    <xf numFmtId="3" fontId="12" fillId="12" borderId="24" xfId="0" applyNumberFormat="1" applyFont="1" applyFill="1" applyBorder="1" applyAlignment="1"/>
    <xf numFmtId="3" fontId="12" fillId="12" borderId="24" xfId="0" applyNumberFormat="1" applyFont="1" applyFill="1" applyBorder="1"/>
    <xf numFmtId="0" fontId="13" fillId="0" borderId="24" xfId="0" applyFont="1" applyBorder="1" applyAlignment="1">
      <alignment horizontal="center"/>
    </xf>
    <xf numFmtId="0" fontId="13" fillId="0" borderId="24" xfId="0" applyFont="1" applyBorder="1"/>
    <xf numFmtId="3" fontId="13" fillId="0" borderId="24" xfId="0" applyNumberFormat="1" applyFont="1" applyBorder="1"/>
    <xf numFmtId="0" fontId="13" fillId="0" borderId="24" xfId="0" applyFont="1" applyBorder="1" applyAlignment="1">
      <alignment horizontal="left" indent="3"/>
    </xf>
    <xf numFmtId="0" fontId="13" fillId="0" borderId="24" xfId="0" applyFont="1" applyBorder="1" applyAlignment="1">
      <alignment horizontal="left"/>
    </xf>
    <xf numFmtId="0" fontId="12" fillId="10" borderId="24" xfId="0" applyFont="1" applyFill="1" applyBorder="1" applyAlignment="1">
      <alignment horizontal="center"/>
    </xf>
    <xf numFmtId="0" fontId="12" fillId="10" borderId="24" xfId="0" applyFont="1" applyFill="1" applyBorder="1"/>
    <xf numFmtId="3" fontId="12" fillId="10" borderId="24" xfId="0" applyNumberFormat="1" applyFont="1" applyFill="1" applyBorder="1"/>
    <xf numFmtId="165" fontId="12" fillId="0" borderId="26" xfId="0" applyNumberFormat="1" applyFont="1" applyFill="1" applyBorder="1" applyAlignment="1">
      <alignment horizontal="right" vertical="center" wrapText="1"/>
    </xf>
    <xf numFmtId="3" fontId="12" fillId="0" borderId="7" xfId="0" applyNumberFormat="1" applyFont="1" applyBorder="1"/>
    <xf numFmtId="171" fontId="12" fillId="0" borderId="7" xfId="11" applyNumberFormat="1" applyFont="1" applyBorder="1"/>
    <xf numFmtId="3" fontId="38" fillId="13" borderId="28" xfId="7" applyNumberFormat="1" applyFont="1" applyFill="1" applyBorder="1" applyAlignment="1">
      <alignment horizontal="center" vertical="center"/>
    </xf>
    <xf numFmtId="0" fontId="19" fillId="32" borderId="28" xfId="7" applyFont="1" applyFill="1" applyBorder="1" applyAlignment="1">
      <alignment horizontal="center" vertical="center" wrapText="1"/>
    </xf>
    <xf numFmtId="49" fontId="46" fillId="0" borderId="0" xfId="5" applyNumberFormat="1" applyFont="1" applyAlignment="1">
      <alignment horizontal="center"/>
    </xf>
    <xf numFmtId="0" fontId="28" fillId="0" borderId="0" xfId="5" applyFont="1" applyAlignment="1">
      <alignment horizontal="center"/>
    </xf>
    <xf numFmtId="0" fontId="28" fillId="0" borderId="0" xfId="5" applyFont="1"/>
    <xf numFmtId="0" fontId="7" fillId="0" borderId="0" xfId="5" applyFont="1" applyAlignment="1">
      <alignment vertical="center"/>
    </xf>
    <xf numFmtId="0" fontId="7" fillId="0" borderId="0" xfId="5" applyFont="1"/>
    <xf numFmtId="0" fontId="6" fillId="0" borderId="0" xfId="5" applyFont="1" applyAlignment="1">
      <alignment horizontal="right"/>
    </xf>
    <xf numFmtId="49" fontId="6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49" fontId="24" fillId="25" borderId="0" xfId="5" applyNumberFormat="1" applyFont="1" applyFill="1" applyBorder="1" applyAlignment="1">
      <alignment horizontal="center"/>
    </xf>
    <xf numFmtId="0" fontId="7" fillId="25" borderId="0" xfId="5" applyFont="1" applyFill="1" applyAlignment="1">
      <alignment horizontal="center"/>
    </xf>
    <xf numFmtId="0" fontId="7" fillId="25" borderId="0" xfId="5" applyFont="1" applyFill="1"/>
    <xf numFmtId="49" fontId="7" fillId="0" borderId="0" xfId="5" applyNumberFormat="1" applyFont="1" applyAlignment="1">
      <alignment horizontal="center"/>
    </xf>
    <xf numFmtId="3" fontId="13" fillId="0" borderId="26" xfId="0" applyNumberFormat="1" applyFont="1" applyBorder="1" applyAlignment="1">
      <alignment horizontal="right" vertical="center" wrapText="1"/>
    </xf>
    <xf numFmtId="3" fontId="12" fillId="0" borderId="26" xfId="0" applyNumberFormat="1" applyFont="1" applyBorder="1" applyAlignment="1">
      <alignment horizontal="right" vertical="center" wrapText="1"/>
    </xf>
    <xf numFmtId="3" fontId="10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49" fontId="41" fillId="0" borderId="8" xfId="7" applyNumberFormat="1" applyFont="1" applyBorder="1" applyAlignment="1">
      <alignment horizontal="center"/>
    </xf>
    <xf numFmtId="0" fontId="41" fillId="0" borderId="8" xfId="7" applyFont="1" applyBorder="1" applyAlignment="1">
      <alignment horizontal="center"/>
    </xf>
    <xf numFmtId="49" fontId="25" fillId="0" borderId="8" xfId="7" applyNumberFormat="1" applyFont="1" applyBorder="1" applyAlignment="1">
      <alignment horizontal="center"/>
    </xf>
    <xf numFmtId="0" fontId="25" fillId="0" borderId="8" xfId="7" applyFont="1" applyBorder="1" applyAlignment="1">
      <alignment horizontal="left" indent="1"/>
    </xf>
    <xf numFmtId="0" fontId="25" fillId="0" borderId="8" xfId="7" applyFont="1" applyBorder="1" applyAlignment="1">
      <alignment horizontal="center"/>
    </xf>
    <xf numFmtId="167" fontId="7" fillId="0" borderId="0" xfId="5" applyNumberFormat="1" applyFont="1"/>
    <xf numFmtId="3" fontId="28" fillId="0" borderId="0" xfId="5" applyNumberFormat="1" applyFont="1"/>
    <xf numFmtId="3" fontId="13" fillId="0" borderId="0" xfId="0" applyNumberFormat="1" applyFont="1" applyAlignment="1">
      <alignment horizontal="right" wrapText="1"/>
    </xf>
    <xf numFmtId="171" fontId="13" fillId="0" borderId="0" xfId="11" applyNumberFormat="1" applyFont="1" applyAlignment="1">
      <alignment wrapText="1"/>
    </xf>
    <xf numFmtId="3" fontId="12" fillId="13" borderId="26" xfId="0" applyNumberFormat="1" applyFont="1" applyFill="1" applyBorder="1" applyAlignment="1">
      <alignment horizontal="right" vertical="center" wrapText="1"/>
    </xf>
    <xf numFmtId="171" fontId="12" fillId="13" borderId="26" xfId="11" applyNumberFormat="1" applyFont="1" applyFill="1" applyBorder="1" applyAlignment="1">
      <alignment horizontal="right" vertical="center" wrapText="1"/>
    </xf>
    <xf numFmtId="3" fontId="12" fillId="11" borderId="26" xfId="0" applyNumberFormat="1" applyFont="1" applyFill="1" applyBorder="1" applyAlignment="1">
      <alignment vertical="center" wrapText="1"/>
    </xf>
    <xf numFmtId="171" fontId="12" fillId="11" borderId="26" xfId="11" applyNumberFormat="1" applyFont="1" applyFill="1" applyBorder="1" applyAlignment="1">
      <alignment vertical="center" wrapText="1"/>
    </xf>
    <xf numFmtId="3" fontId="12" fillId="0" borderId="26" xfId="0" applyNumberFormat="1" applyFont="1" applyBorder="1" applyAlignment="1">
      <alignment wrapText="1"/>
    </xf>
    <xf numFmtId="171" fontId="12" fillId="0" borderId="26" xfId="11" applyNumberFormat="1" applyFont="1" applyBorder="1" applyAlignment="1">
      <alignment wrapText="1"/>
    </xf>
    <xf numFmtId="3" fontId="13" fillId="0" borderId="26" xfId="0" applyNumberFormat="1" applyFont="1" applyBorder="1" applyAlignment="1">
      <alignment wrapText="1"/>
    </xf>
    <xf numFmtId="171" fontId="13" fillId="0" borderId="26" xfId="11" applyNumberFormat="1" applyFont="1" applyBorder="1" applyAlignment="1">
      <alignment wrapText="1"/>
    </xf>
    <xf numFmtId="3" fontId="13" fillId="0" borderId="26" xfId="0" applyNumberFormat="1" applyFont="1" applyBorder="1" applyAlignment="1">
      <alignment vertical="center" wrapText="1"/>
    </xf>
    <xf numFmtId="171" fontId="13" fillId="0" borderId="26" xfId="11" applyNumberFormat="1" applyFont="1" applyBorder="1" applyAlignment="1">
      <alignment vertical="center" wrapText="1"/>
    </xf>
    <xf numFmtId="3" fontId="12" fillId="0" borderId="26" xfId="0" applyNumberFormat="1" applyFont="1" applyBorder="1" applyAlignment="1">
      <alignment vertical="center" wrapText="1"/>
    </xf>
    <xf numFmtId="171" fontId="12" fillId="0" borderId="26" xfId="11" applyNumberFormat="1" applyFont="1" applyBorder="1" applyAlignment="1">
      <alignment vertical="center" wrapText="1"/>
    </xf>
    <xf numFmtId="0" fontId="13" fillId="0" borderId="0" xfId="0" applyFont="1" applyAlignment="1">
      <alignment wrapText="1"/>
    </xf>
    <xf numFmtId="49" fontId="25" fillId="0" borderId="0" xfId="5" applyNumberFormat="1" applyFont="1" applyFill="1" applyBorder="1" applyAlignment="1">
      <alignment horizontal="center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3" fontId="12" fillId="10" borderId="26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171" fontId="0" fillId="0" borderId="0" xfId="11" applyNumberFormat="1" applyFont="1" applyAlignment="1">
      <alignment horizontal="right" wrapText="1"/>
    </xf>
    <xf numFmtId="171" fontId="0" fillId="0" borderId="0" xfId="11" applyNumberFormat="1" applyFont="1" applyBorder="1" applyAlignment="1">
      <alignment horizontal="right" wrapText="1"/>
    </xf>
    <xf numFmtId="171" fontId="0" fillId="0" borderId="0" xfId="11" applyNumberFormat="1" applyFont="1" applyBorder="1" applyAlignment="1">
      <alignment wrapText="1"/>
    </xf>
    <xf numFmtId="49" fontId="9" fillId="13" borderId="26" xfId="0" applyNumberFormat="1" applyFont="1" applyFill="1" applyBorder="1" applyAlignment="1">
      <alignment horizontal="center" vertical="center" wrapText="1"/>
    </xf>
    <xf numFmtId="171" fontId="9" fillId="13" borderId="26" xfId="11" applyNumberFormat="1" applyFont="1" applyFill="1" applyBorder="1" applyAlignment="1">
      <alignment horizontal="right" vertical="center" wrapText="1"/>
    </xf>
    <xf numFmtId="49" fontId="10" fillId="11" borderId="26" xfId="0" applyNumberFormat="1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vertical="center" wrapText="1"/>
    </xf>
    <xf numFmtId="3" fontId="10" fillId="11" borderId="26" xfId="0" applyNumberFormat="1" applyFont="1" applyFill="1" applyBorder="1" applyAlignment="1">
      <alignment vertical="center" wrapText="1"/>
    </xf>
    <xf numFmtId="171" fontId="10" fillId="11" borderId="26" xfId="11" applyNumberFormat="1" applyFont="1" applyFill="1" applyBorder="1" applyAlignment="1">
      <alignment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3" fontId="10" fillId="0" borderId="26" xfId="0" applyNumberFormat="1" applyFont="1" applyBorder="1" applyAlignment="1">
      <alignment wrapText="1"/>
    </xf>
    <xf numFmtId="171" fontId="10" fillId="0" borderId="26" xfId="11" applyNumberFormat="1" applyFont="1" applyBorder="1" applyAlignment="1">
      <alignment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wrapText="1"/>
    </xf>
    <xf numFmtId="3" fontId="0" fillId="0" borderId="26" xfId="0" applyNumberFormat="1" applyBorder="1" applyAlignment="1">
      <alignment wrapText="1"/>
    </xf>
    <xf numFmtId="171" fontId="0" fillId="0" borderId="26" xfId="11" applyNumberFormat="1" applyFont="1" applyBorder="1" applyAlignment="1">
      <alignment wrapText="1"/>
    </xf>
    <xf numFmtId="0" fontId="10" fillId="0" borderId="0" xfId="0" applyFont="1" applyAlignment="1">
      <alignment wrapText="1"/>
    </xf>
    <xf numFmtId="49" fontId="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0" fillId="0" borderId="26" xfId="0" applyNumberFormat="1" applyFont="1" applyBorder="1" applyAlignment="1">
      <alignment wrapText="1"/>
    </xf>
    <xf numFmtId="171" fontId="0" fillId="0" borderId="0" xfId="11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171" fontId="10" fillId="10" borderId="26" xfId="11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11" borderId="26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wrapText="1"/>
    </xf>
    <xf numFmtId="3" fontId="10" fillId="11" borderId="26" xfId="0" applyNumberFormat="1" applyFont="1" applyFill="1" applyBorder="1" applyAlignment="1">
      <alignment wrapText="1"/>
    </xf>
    <xf numFmtId="0" fontId="10" fillId="12" borderId="26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wrapText="1"/>
    </xf>
    <xf numFmtId="3" fontId="10" fillId="12" borderId="26" xfId="0" applyNumberFormat="1" applyFont="1" applyFill="1" applyBorder="1" applyAlignment="1">
      <alignment wrapText="1"/>
    </xf>
    <xf numFmtId="0" fontId="10" fillId="10" borderId="26" xfId="0" applyFont="1" applyFill="1" applyBorder="1" applyAlignment="1">
      <alignment horizontal="left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0" fillId="12" borderId="26" xfId="0" applyFont="1" applyFill="1" applyBorder="1" applyAlignment="1">
      <alignment vertical="center" wrapText="1"/>
    </xf>
    <xf numFmtId="3" fontId="10" fillId="12" borderId="26" xfId="0" applyNumberFormat="1" applyFont="1" applyFill="1" applyBorder="1" applyAlignment="1">
      <alignment vertical="center" wrapText="1"/>
    </xf>
    <xf numFmtId="3" fontId="12" fillId="12" borderId="26" xfId="0" applyNumberFormat="1" applyFont="1" applyFill="1" applyBorder="1" applyAlignment="1">
      <alignment vertical="center" wrapText="1"/>
    </xf>
    <xf numFmtId="3" fontId="10" fillId="0" borderId="26" xfId="0" applyNumberFormat="1" applyFont="1" applyBorder="1" applyAlignment="1">
      <alignment vertical="center" wrapText="1"/>
    </xf>
    <xf numFmtId="3" fontId="10" fillId="12" borderId="26" xfId="0" applyNumberFormat="1" applyFont="1" applyFill="1" applyBorder="1" applyAlignment="1">
      <alignment horizontal="right" vertical="center" wrapText="1"/>
    </xf>
    <xf numFmtId="3" fontId="12" fillId="11" borderId="26" xfId="0" applyNumberFormat="1" applyFont="1" applyFill="1" applyBorder="1" applyAlignment="1">
      <alignment wrapText="1"/>
    </xf>
    <xf numFmtId="3" fontId="12" fillId="12" borderId="26" xfId="0" applyNumberFormat="1" applyFont="1" applyFill="1" applyBorder="1" applyAlignment="1">
      <alignment wrapText="1"/>
    </xf>
    <xf numFmtId="3" fontId="12" fillId="10" borderId="26" xfId="0" applyNumberFormat="1" applyFont="1" applyFill="1" applyBorder="1" applyAlignment="1">
      <alignment horizontal="right" vertical="center" wrapText="1"/>
    </xf>
    <xf numFmtId="3" fontId="13" fillId="0" borderId="26" xfId="0" applyNumberFormat="1" applyFont="1" applyFill="1" applyBorder="1" applyAlignment="1">
      <alignment wrapText="1"/>
    </xf>
    <xf numFmtId="171" fontId="13" fillId="0" borderId="26" xfId="11" applyNumberFormat="1" applyFont="1" applyFill="1" applyBorder="1" applyAlignment="1">
      <alignment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right" vertical="center"/>
    </xf>
    <xf numFmtId="3" fontId="50" fillId="10" borderId="26" xfId="0" applyNumberFormat="1" applyFont="1" applyFill="1" applyBorder="1" applyAlignment="1">
      <alignment horizontal="center" vertical="center" wrapText="1"/>
    </xf>
    <xf numFmtId="0" fontId="50" fillId="11" borderId="26" xfId="0" applyFont="1" applyFill="1" applyBorder="1" applyAlignment="1">
      <alignment horizontal="center" vertical="center" wrapText="1"/>
    </xf>
    <xf numFmtId="0" fontId="50" fillId="11" borderId="26" xfId="0" applyFont="1" applyFill="1" applyBorder="1" applyAlignment="1">
      <alignment vertical="center" wrapText="1"/>
    </xf>
    <xf numFmtId="3" fontId="50" fillId="11" borderId="26" xfId="0" applyNumberFormat="1" applyFont="1" applyFill="1" applyBorder="1" applyAlignment="1">
      <alignment vertical="center" wrapText="1"/>
    </xf>
    <xf numFmtId="0" fontId="50" fillId="12" borderId="26" xfId="0" applyFont="1" applyFill="1" applyBorder="1" applyAlignment="1">
      <alignment horizontal="center" vertical="center" wrapText="1"/>
    </xf>
    <xf numFmtId="0" fontId="50" fillId="12" borderId="26" xfId="0" applyFont="1" applyFill="1" applyBorder="1" applyAlignment="1">
      <alignment vertical="center" wrapText="1"/>
    </xf>
    <xf numFmtId="3" fontId="50" fillId="12" borderId="26" xfId="0" applyNumberFormat="1" applyFont="1" applyFill="1" applyBorder="1" applyAlignment="1">
      <alignment vertical="center" wrapText="1"/>
    </xf>
    <xf numFmtId="3" fontId="51" fillId="12" borderId="26" xfId="0" applyNumberFormat="1" applyFont="1" applyFill="1" applyBorder="1" applyAlignment="1">
      <alignment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left" vertical="center" wrapText="1"/>
    </xf>
    <xf numFmtId="3" fontId="49" fillId="0" borderId="26" xfId="0" applyNumberFormat="1" applyFont="1" applyBorder="1" applyAlignment="1">
      <alignment vertical="center" wrapText="1"/>
    </xf>
    <xf numFmtId="3" fontId="52" fillId="0" borderId="26" xfId="0" applyNumberFormat="1" applyFont="1" applyBorder="1" applyAlignment="1">
      <alignment vertical="center" wrapText="1"/>
    </xf>
    <xf numFmtId="3" fontId="49" fillId="0" borderId="26" xfId="0" applyNumberFormat="1" applyFont="1" applyBorder="1" applyAlignment="1">
      <alignment horizontal="right" vertical="center" wrapText="1"/>
    </xf>
    <xf numFmtId="3" fontId="52" fillId="0" borderId="26" xfId="0" applyNumberFormat="1" applyFont="1" applyBorder="1" applyAlignment="1">
      <alignment horizontal="right" vertical="center" wrapText="1"/>
    </xf>
    <xf numFmtId="3" fontId="51" fillId="11" borderId="26" xfId="0" applyNumberFormat="1" applyFont="1" applyFill="1" applyBorder="1" applyAlignment="1">
      <alignment vertical="center" wrapText="1"/>
    </xf>
    <xf numFmtId="0" fontId="50" fillId="10" borderId="26" xfId="0" applyFont="1" applyFill="1" applyBorder="1" applyAlignment="1">
      <alignment horizontal="center" vertical="center" wrapText="1"/>
    </xf>
    <xf numFmtId="0" fontId="50" fillId="10" borderId="26" xfId="0" applyFont="1" applyFill="1" applyBorder="1" applyAlignment="1">
      <alignment horizontal="left" vertical="center" wrapText="1"/>
    </xf>
    <xf numFmtId="3" fontId="50" fillId="10" borderId="26" xfId="0" applyNumberFormat="1" applyFont="1" applyFill="1" applyBorder="1" applyAlignment="1">
      <alignment horizontal="right" vertical="center" wrapText="1"/>
    </xf>
    <xf numFmtId="3" fontId="50" fillId="12" borderId="26" xfId="0" applyNumberFormat="1" applyFont="1" applyFill="1" applyBorder="1" applyAlignment="1">
      <alignment horizontal="right" vertical="center" wrapText="1"/>
    </xf>
    <xf numFmtId="0" fontId="49" fillId="0" borderId="26" xfId="0" applyFont="1" applyBorder="1" applyAlignment="1">
      <alignment vertical="center" wrapText="1"/>
    </xf>
    <xf numFmtId="0" fontId="53" fillId="13" borderId="26" xfId="0" applyFont="1" applyFill="1" applyBorder="1" applyAlignment="1">
      <alignment horizontal="center" vertical="center" wrapText="1"/>
    </xf>
    <xf numFmtId="0" fontId="53" fillId="13" borderId="26" xfId="0" applyFont="1" applyFill="1" applyBorder="1" applyAlignment="1">
      <alignment horizontal="left" vertical="center" wrapText="1"/>
    </xf>
    <xf numFmtId="3" fontId="53" fillId="13" borderId="26" xfId="0" applyNumberFormat="1" applyFont="1" applyFill="1" applyBorder="1" applyAlignment="1">
      <alignment horizontal="right" vertical="center" wrapText="1"/>
    </xf>
    <xf numFmtId="3" fontId="49" fillId="0" borderId="0" xfId="0" applyNumberFormat="1" applyFont="1" applyAlignment="1">
      <alignment wrapText="1"/>
    </xf>
    <xf numFmtId="0" fontId="54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right"/>
    </xf>
    <xf numFmtId="0" fontId="55" fillId="9" borderId="26" xfId="0" applyFont="1" applyFill="1" applyBorder="1" applyAlignment="1">
      <alignment vertical="center" wrapText="1"/>
    </xf>
    <xf numFmtId="3" fontId="55" fillId="9" borderId="26" xfId="0" applyNumberFormat="1" applyFont="1" applyFill="1" applyBorder="1" applyAlignment="1">
      <alignment horizontal="center" vertical="center" wrapText="1"/>
    </xf>
    <xf numFmtId="3" fontId="56" fillId="10" borderId="26" xfId="0" applyNumberFormat="1" applyFont="1" applyFill="1" applyBorder="1" applyAlignment="1">
      <alignment horizontal="center" vertical="center" wrapText="1"/>
    </xf>
    <xf numFmtId="0" fontId="56" fillId="11" borderId="26" xfId="0" applyFont="1" applyFill="1" applyBorder="1" applyAlignment="1">
      <alignment horizontal="center" vertical="center"/>
    </xf>
    <xf numFmtId="0" fontId="56" fillId="11" borderId="26" xfId="0" applyFont="1" applyFill="1" applyBorder="1"/>
    <xf numFmtId="3" fontId="56" fillId="11" borderId="26" xfId="0" applyNumberFormat="1" applyFont="1" applyFill="1" applyBorder="1"/>
    <xf numFmtId="0" fontId="56" fillId="12" borderId="26" xfId="0" applyFont="1" applyFill="1" applyBorder="1" applyAlignment="1">
      <alignment horizontal="center" vertical="center"/>
    </xf>
    <xf numFmtId="0" fontId="56" fillId="12" borderId="26" xfId="0" applyFont="1" applyFill="1" applyBorder="1"/>
    <xf numFmtId="3" fontId="56" fillId="12" borderId="26" xfId="0" applyNumberFormat="1" applyFont="1" applyFill="1" applyBorder="1"/>
    <xf numFmtId="0" fontId="54" fillId="0" borderId="26" xfId="0" applyFont="1" applyBorder="1" applyAlignment="1">
      <alignment horizontal="center" vertical="center"/>
    </xf>
    <xf numFmtId="0" fontId="56" fillId="0" borderId="26" xfId="0" applyFont="1" applyBorder="1" applyAlignment="1">
      <alignment horizontal="left" vertical="center" wrapText="1"/>
    </xf>
    <xf numFmtId="3" fontId="56" fillId="0" borderId="26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16" fontId="54" fillId="0" borderId="26" xfId="0" applyNumberFormat="1" applyFont="1" applyBorder="1" applyAlignment="1">
      <alignment horizontal="left" vertical="center" wrapText="1" indent="3"/>
    </xf>
    <xf numFmtId="3" fontId="54" fillId="0" borderId="26" xfId="0" applyNumberFormat="1" applyFont="1" applyBorder="1" applyAlignment="1">
      <alignment vertical="center"/>
    </xf>
    <xf numFmtId="3" fontId="54" fillId="0" borderId="26" xfId="0" applyNumberFormat="1" applyFont="1" applyBorder="1"/>
    <xf numFmtId="3" fontId="56" fillId="0" borderId="26" xfId="0" applyNumberFormat="1" applyFont="1" applyBorder="1"/>
    <xf numFmtId="49" fontId="54" fillId="0" borderId="26" xfId="0" applyNumberFormat="1" applyFont="1" applyBorder="1" applyAlignment="1">
      <alignment horizontal="left" vertical="center" wrapText="1" indent="5"/>
    </xf>
    <xf numFmtId="0" fontId="56" fillId="0" borderId="26" xfId="0" applyFont="1" applyBorder="1" applyAlignment="1">
      <alignment horizontal="center" vertical="center"/>
    </xf>
    <xf numFmtId="3" fontId="57" fillId="12" borderId="26" xfId="0" applyNumberFormat="1" applyFont="1" applyFill="1" applyBorder="1"/>
    <xf numFmtId="0" fontId="56" fillId="0" borderId="26" xfId="0" applyFont="1" applyBorder="1"/>
    <xf numFmtId="3" fontId="57" fillId="0" borderId="26" xfId="0" applyNumberFormat="1" applyFont="1" applyBorder="1"/>
    <xf numFmtId="0" fontId="56" fillId="0" borderId="26" xfId="0" applyFont="1" applyBorder="1" applyAlignment="1">
      <alignment vertical="center" wrapText="1"/>
    </xf>
    <xf numFmtId="0" fontId="56" fillId="10" borderId="26" xfId="0" applyFont="1" applyFill="1" applyBorder="1" applyAlignment="1">
      <alignment horizontal="center" vertical="center"/>
    </xf>
    <xf numFmtId="0" fontId="56" fillId="10" borderId="26" xfId="0" applyFont="1" applyFill="1" applyBorder="1" applyAlignment="1">
      <alignment horizontal="left" vertical="center"/>
    </xf>
    <xf numFmtId="3" fontId="56" fillId="1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Border="1"/>
    <xf numFmtId="0" fontId="55" fillId="13" borderId="26" xfId="0" applyFont="1" applyFill="1" applyBorder="1" applyAlignment="1">
      <alignment horizontal="center" vertical="center"/>
    </xf>
    <xf numFmtId="0" fontId="55" fillId="13" borderId="26" xfId="0" applyFont="1" applyFill="1" applyBorder="1" applyAlignment="1">
      <alignment horizontal="left" vertical="center"/>
    </xf>
    <xf numFmtId="3" fontId="55" fillId="13" borderId="26" xfId="0" applyNumberFormat="1" applyFont="1" applyFill="1" applyBorder="1" applyAlignment="1">
      <alignment horizontal="right" vertical="center" wrapText="1"/>
    </xf>
    <xf numFmtId="3" fontId="54" fillId="0" borderId="0" xfId="0" applyNumberFormat="1" applyFont="1"/>
    <xf numFmtId="3" fontId="10" fillId="10" borderId="26" xfId="0" applyNumberFormat="1" applyFont="1" applyFill="1" applyBorder="1" applyAlignment="1">
      <alignment horizontal="center" vertical="center" wrapText="1"/>
    </xf>
    <xf numFmtId="3" fontId="56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3" fontId="10" fillId="10" borderId="26" xfId="0" applyNumberFormat="1" applyFont="1" applyFill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/>
    </xf>
    <xf numFmtId="0" fontId="46" fillId="0" borderId="0" xfId="5" applyFont="1" applyAlignment="1">
      <alignment horizontal="center"/>
    </xf>
    <xf numFmtId="0" fontId="0" fillId="0" borderId="26" xfId="0" applyBorder="1" applyAlignment="1">
      <alignment horizontal="center" vertical="center" wrapText="1"/>
    </xf>
    <xf numFmtId="173" fontId="0" fillId="0" borderId="0" xfId="0" applyNumberFormat="1"/>
    <xf numFmtId="170" fontId="0" fillId="0" borderId="0" xfId="0" applyNumberFormat="1"/>
    <xf numFmtId="16" fontId="0" fillId="0" borderId="26" xfId="0" applyNumberFormat="1" applyFont="1" applyBorder="1" applyAlignment="1">
      <alignment horizontal="left" vertical="center" wrapText="1" indent="3"/>
    </xf>
    <xf numFmtId="49" fontId="25" fillId="11" borderId="0" xfId="5" applyNumberFormat="1" applyFont="1" applyFill="1" applyBorder="1" applyAlignment="1">
      <alignment horizontal="center" vertical="center"/>
    </xf>
    <xf numFmtId="3" fontId="24" fillId="11" borderId="0" xfId="7" applyNumberFormat="1" applyFont="1" applyFill="1" applyBorder="1" applyAlignment="1">
      <alignment horizontal="right" vertical="center" wrapText="1"/>
    </xf>
    <xf numFmtId="0" fontId="7" fillId="11" borderId="0" xfId="5" applyFont="1" applyFill="1" applyAlignment="1">
      <alignment vertical="center"/>
    </xf>
    <xf numFmtId="49" fontId="63" fillId="0" borderId="0" xfId="5" applyNumberFormat="1" applyFont="1" applyBorder="1" applyAlignment="1">
      <alignment horizontal="center" vertical="center"/>
    </xf>
    <xf numFmtId="3" fontId="62" fillId="22" borderId="0" xfId="7" applyNumberFormat="1" applyFont="1" applyFill="1" applyBorder="1" applyAlignment="1">
      <alignment horizontal="right" vertical="center" wrapText="1"/>
    </xf>
    <xf numFmtId="0" fontId="64" fillId="0" borderId="0" xfId="5" applyFont="1" applyFill="1" applyAlignment="1">
      <alignment vertical="center"/>
    </xf>
    <xf numFmtId="3" fontId="25" fillId="11" borderId="0" xfId="7" applyNumberFormat="1" applyFont="1" applyFill="1" applyBorder="1" applyAlignment="1">
      <alignment horizontal="right" vertical="center" wrapText="1"/>
    </xf>
    <xf numFmtId="0" fontId="65" fillId="0" borderId="0" xfId="0" applyFont="1"/>
    <xf numFmtId="0" fontId="66" fillId="0" borderId="0" xfId="0" applyFont="1"/>
    <xf numFmtId="49" fontId="66" fillId="0" borderId="26" xfId="0" applyNumberFormat="1" applyFont="1" applyBorder="1" applyAlignment="1">
      <alignment horizontal="center" vertical="center"/>
    </xf>
    <xf numFmtId="0" fontId="44" fillId="0" borderId="0" xfId="0" applyFont="1"/>
    <xf numFmtId="0" fontId="48" fillId="0" borderId="0" xfId="0" applyFont="1"/>
    <xf numFmtId="3" fontId="12" fillId="0" borderId="26" xfId="0" applyNumberFormat="1" applyFont="1" applyFill="1" applyBorder="1" applyAlignment="1">
      <alignment wrapText="1"/>
    </xf>
    <xf numFmtId="3" fontId="13" fillId="0" borderId="26" xfId="0" applyNumberFormat="1" applyFont="1" applyFill="1" applyBorder="1" applyAlignment="1">
      <alignment vertical="center" wrapText="1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/>
    <xf numFmtId="171" fontId="12" fillId="0" borderId="26" xfId="11" applyNumberFormat="1" applyFont="1" applyFill="1" applyBorder="1"/>
    <xf numFmtId="171" fontId="12" fillId="0" borderId="26" xfId="11" applyNumberFormat="1" applyFont="1" applyFill="1" applyBorder="1" applyAlignment="1">
      <alignment wrapText="1"/>
    </xf>
    <xf numFmtId="0" fontId="13" fillId="0" borderId="0" xfId="0" applyFont="1" applyFill="1"/>
    <xf numFmtId="49" fontId="13" fillId="0" borderId="26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/>
    <xf numFmtId="171" fontId="13" fillId="0" borderId="26" xfId="11" applyNumberFormat="1" applyFont="1" applyFill="1" applyBorder="1"/>
    <xf numFmtId="49" fontId="13" fillId="0" borderId="26" xfId="0" applyNumberFormat="1" applyFont="1" applyFill="1" applyBorder="1" applyAlignment="1">
      <alignment vertical="center" wrapText="1"/>
    </xf>
    <xf numFmtId="171" fontId="13" fillId="0" borderId="26" xfId="11" applyNumberFormat="1" applyFont="1" applyFill="1" applyBorder="1" applyAlignment="1">
      <alignment vertical="center"/>
    </xf>
    <xf numFmtId="171" fontId="13" fillId="0" borderId="26" xfId="11" applyNumberFormat="1" applyFont="1" applyFill="1" applyBorder="1" applyAlignment="1">
      <alignment vertical="center" wrapText="1"/>
    </xf>
    <xf numFmtId="49" fontId="12" fillId="0" borderId="26" xfId="0" applyNumberFormat="1" applyFont="1" applyFill="1" applyBorder="1" applyAlignment="1">
      <alignment vertical="center" wrapText="1"/>
    </xf>
    <xf numFmtId="171" fontId="12" fillId="0" borderId="26" xfId="11" applyNumberFormat="1" applyFont="1" applyFill="1" applyBorder="1" applyAlignment="1">
      <alignment vertical="center"/>
    </xf>
    <xf numFmtId="3" fontId="12" fillId="0" borderId="26" xfId="0" applyNumberFormat="1" applyFont="1" applyFill="1" applyBorder="1" applyAlignment="1">
      <alignment vertical="center" wrapText="1"/>
    </xf>
    <xf numFmtId="171" fontId="12" fillId="0" borderId="26" xfId="11" applyNumberFormat="1" applyFont="1" applyFill="1" applyBorder="1" applyAlignment="1">
      <alignment vertical="center" wrapText="1"/>
    </xf>
    <xf numFmtId="0" fontId="12" fillId="0" borderId="0" xfId="0" applyFont="1" applyFill="1"/>
    <xf numFmtId="49" fontId="10" fillId="0" borderId="26" xfId="0" applyNumberFormat="1" applyFont="1" applyFill="1" applyBorder="1"/>
    <xf numFmtId="0" fontId="54" fillId="0" borderId="26" xfId="0" applyFont="1" applyFill="1" applyBorder="1" applyAlignment="1">
      <alignment horizontal="center" vertical="center"/>
    </xf>
    <xf numFmtId="16" fontId="54" fillId="0" borderId="26" xfId="0" applyNumberFormat="1" applyFont="1" applyFill="1" applyBorder="1" applyAlignment="1">
      <alignment horizontal="left" vertical="center" wrapText="1" indent="3"/>
    </xf>
    <xf numFmtId="3" fontId="54" fillId="0" borderId="26" xfId="0" applyNumberFormat="1" applyFont="1" applyFill="1" applyBorder="1"/>
    <xf numFmtId="49" fontId="25" fillId="0" borderId="0" xfId="5" applyNumberFormat="1" applyFont="1" applyBorder="1" applyAlignment="1">
      <alignment horizontal="left" vertical="center"/>
    </xf>
    <xf numFmtId="3" fontId="0" fillId="0" borderId="26" xfId="0" applyNumberFormat="1" applyFill="1" applyBorder="1"/>
    <xf numFmtId="3" fontId="0" fillId="0" borderId="26" xfId="0" applyNumberFormat="1" applyFill="1" applyBorder="1" applyAlignment="1">
      <alignment vertical="center"/>
    </xf>
    <xf numFmtId="0" fontId="46" fillId="0" borderId="0" xfId="5" applyFont="1" applyAlignment="1">
      <alignment horizontal="center"/>
    </xf>
    <xf numFmtId="3" fontId="67" fillId="0" borderId="26" xfId="0" applyNumberFormat="1" applyFont="1" applyFill="1" applyBorder="1" applyAlignment="1">
      <alignment wrapText="1"/>
    </xf>
    <xf numFmtId="0" fontId="46" fillId="0" borderId="0" xfId="5" applyFont="1" applyAlignment="1">
      <alignment horizont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24" fillId="0" borderId="25" xfId="5" applyFont="1" applyFill="1" applyBorder="1" applyAlignment="1">
      <alignment horizontal="center" vertical="center"/>
    </xf>
    <xf numFmtId="0" fontId="24" fillId="0" borderId="25" xfId="5" applyFont="1" applyFill="1" applyBorder="1" applyAlignment="1">
      <alignment horizontal="center" vertical="center" wrapText="1"/>
    </xf>
    <xf numFmtId="3" fontId="19" fillId="0" borderId="25" xfId="7" applyNumberFormat="1" applyFont="1" applyBorder="1" applyAlignment="1">
      <alignment horizontal="center" vertical="center" wrapText="1"/>
    </xf>
    <xf numFmtId="0" fontId="24" fillId="22" borderId="25" xfId="5" applyFont="1" applyFill="1" applyBorder="1" applyAlignment="1">
      <alignment horizontal="center" vertical="center"/>
    </xf>
    <xf numFmtId="0" fontId="24" fillId="22" borderId="25" xfId="5" applyFont="1" applyFill="1" applyBorder="1" applyAlignment="1">
      <alignment vertical="center" wrapText="1"/>
    </xf>
    <xf numFmtId="3" fontId="24" fillId="22" borderId="25" xfId="7" applyNumberFormat="1" applyFont="1" applyFill="1" applyBorder="1" applyAlignment="1">
      <alignment horizontal="right" vertical="center" wrapText="1" indent="2"/>
    </xf>
    <xf numFmtId="0" fontId="24" fillId="29" borderId="25" xfId="5" applyFont="1" applyFill="1" applyBorder="1" applyAlignment="1">
      <alignment horizontal="center" vertical="center"/>
    </xf>
    <xf numFmtId="0" fontId="24" fillId="29" borderId="25" xfId="5" applyFont="1" applyFill="1" applyBorder="1" applyAlignment="1">
      <alignment vertical="center" wrapText="1"/>
    </xf>
    <xf numFmtId="167" fontId="24" fillId="0" borderId="25" xfId="5" applyNumberFormat="1" applyFont="1" applyBorder="1" applyAlignment="1">
      <alignment horizontal="right" vertical="center"/>
    </xf>
    <xf numFmtId="0" fontId="25" fillId="29" borderId="25" xfId="5" applyFont="1" applyFill="1" applyBorder="1" applyAlignment="1">
      <alignment horizontal="center" vertical="center"/>
    </xf>
    <xf numFmtId="0" fontId="25" fillId="29" borderId="25" xfId="0" applyFont="1" applyFill="1" applyBorder="1" applyAlignment="1">
      <alignment vertical="top" wrapText="1"/>
    </xf>
    <xf numFmtId="167" fontId="25" fillId="0" borderId="25" xfId="5" applyNumberFormat="1" applyFont="1" applyBorder="1" applyAlignment="1">
      <alignment horizontal="right" vertical="center"/>
    </xf>
    <xf numFmtId="167" fontId="25" fillId="0" borderId="25" xfId="5" applyNumberFormat="1" applyFont="1" applyFill="1" applyBorder="1" applyAlignment="1">
      <alignment horizontal="right" vertical="center"/>
    </xf>
    <xf numFmtId="167" fontId="25" fillId="29" borderId="25" xfId="5" applyNumberFormat="1" applyFont="1" applyFill="1" applyBorder="1" applyAlignment="1">
      <alignment horizontal="right" vertical="center"/>
    </xf>
    <xf numFmtId="0" fontId="25" fillId="29" borderId="25" xfId="5" applyFont="1" applyFill="1" applyBorder="1" applyAlignment="1">
      <alignment vertical="center" wrapText="1"/>
    </xf>
    <xf numFmtId="0" fontId="25" fillId="0" borderId="25" xfId="5" applyFont="1" applyFill="1" applyBorder="1" applyAlignment="1">
      <alignment vertical="center" wrapText="1"/>
    </xf>
    <xf numFmtId="0" fontId="62" fillId="29" borderId="25" xfId="5" applyFont="1" applyFill="1" applyBorder="1" applyAlignment="1">
      <alignment horizontal="center" vertical="center"/>
    </xf>
    <xf numFmtId="167" fontId="24" fillId="0" borderId="25" xfId="5" applyNumberFormat="1" applyFont="1" applyFill="1" applyBorder="1" applyAlignment="1">
      <alignment horizontal="right" vertical="center"/>
    </xf>
    <xf numFmtId="167" fontId="24" fillId="29" borderId="25" xfId="5" applyNumberFormat="1" applyFont="1" applyFill="1" applyBorder="1" applyAlignment="1">
      <alignment horizontal="right" vertical="center"/>
    </xf>
    <xf numFmtId="0" fontId="25" fillId="0" borderId="25" xfId="5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top" wrapText="1"/>
    </xf>
    <xf numFmtId="0" fontId="25" fillId="29" borderId="25" xfId="0" applyFont="1" applyFill="1" applyBorder="1" applyAlignment="1">
      <alignment horizontal="left" vertical="top" wrapText="1"/>
    </xf>
    <xf numFmtId="0" fontId="25" fillId="29" borderId="25" xfId="0" applyNumberFormat="1" applyFont="1" applyFill="1" applyBorder="1" applyAlignment="1">
      <alignment horizontal="left" vertical="top" wrapText="1"/>
    </xf>
    <xf numFmtId="16" fontId="25" fillId="29" borderId="25" xfId="5" applyNumberFormat="1" applyFont="1" applyFill="1" applyBorder="1" applyAlignment="1">
      <alignment vertical="center" wrapText="1"/>
    </xf>
    <xf numFmtId="0" fontId="25" fillId="29" borderId="25" xfId="5" applyFont="1" applyFill="1" applyBorder="1" applyAlignment="1">
      <alignment vertical="center"/>
    </xf>
    <xf numFmtId="49" fontId="24" fillId="0" borderId="25" xfId="5" applyNumberFormat="1" applyFont="1" applyFill="1" applyBorder="1" applyAlignment="1">
      <alignment vertical="center" wrapText="1"/>
    </xf>
    <xf numFmtId="0" fontId="24" fillId="0" borderId="25" xfId="5" quotePrefix="1" applyFont="1" applyBorder="1" applyAlignment="1">
      <alignment horizontal="center" vertical="center"/>
    </xf>
    <xf numFmtId="49" fontId="25" fillId="0" borderId="25" xfId="5" applyNumberFormat="1" applyFont="1" applyFill="1" applyBorder="1" applyAlignment="1">
      <alignment vertical="center" wrapText="1"/>
    </xf>
    <xf numFmtId="0" fontId="24" fillId="0" borderId="25" xfId="5" applyFont="1" applyBorder="1" applyAlignment="1">
      <alignment horizontal="center" vertical="center"/>
    </xf>
    <xf numFmtId="0" fontId="24" fillId="25" borderId="25" xfId="5" applyFont="1" applyFill="1" applyBorder="1" applyAlignment="1">
      <alignment horizontal="center" vertical="center"/>
    </xf>
    <xf numFmtId="0" fontId="24" fillId="25" borderId="25" xfId="5" applyFont="1" applyFill="1" applyBorder="1" applyAlignment="1">
      <alignment horizontal="left" wrapText="1"/>
    </xf>
    <xf numFmtId="167" fontId="24" fillId="25" borderId="25" xfId="5" applyNumberFormat="1" applyFont="1" applyFill="1" applyBorder="1"/>
    <xf numFmtId="0" fontId="46" fillId="0" borderId="0" xfId="5" applyFont="1" applyAlignment="1">
      <alignment horizontal="center"/>
    </xf>
    <xf numFmtId="0" fontId="13" fillId="0" borderId="26" xfId="0" applyFont="1" applyBorder="1" applyAlignment="1">
      <alignment wrapText="1"/>
    </xf>
    <xf numFmtId="0" fontId="19" fillId="12" borderId="26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49" fontId="0" fillId="0" borderId="26" xfId="0" applyNumberFormat="1" applyFont="1" applyBorder="1" applyAlignment="1">
      <alignment horizontal="center" vertical="center"/>
    </xf>
    <xf numFmtId="171" fontId="1" fillId="0" borderId="26" xfId="11" applyNumberFormat="1" applyFont="1" applyBorder="1"/>
    <xf numFmtId="0" fontId="10" fillId="0" borderId="26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10" fillId="0" borderId="26" xfId="0" applyFont="1" applyBorder="1" applyAlignment="1">
      <alignment horizontal="center" vertical="center"/>
    </xf>
    <xf numFmtId="3" fontId="10" fillId="0" borderId="0" xfId="0" applyNumberFormat="1" applyFont="1"/>
    <xf numFmtId="16" fontId="25" fillId="29" borderId="25" xfId="0" applyNumberFormat="1" applyFont="1" applyFill="1" applyBorder="1" applyAlignment="1">
      <alignment vertical="top" wrapText="1"/>
    </xf>
    <xf numFmtId="49" fontId="13" fillId="0" borderId="26" xfId="0" applyNumberFormat="1" applyFont="1" applyBorder="1" applyAlignment="1">
      <alignment wrapText="1"/>
    </xf>
    <xf numFmtId="3" fontId="24" fillId="22" borderId="37" xfId="7" applyNumberFormat="1" applyFont="1" applyFill="1" applyBorder="1" applyAlignment="1">
      <alignment horizontal="right" vertical="center" wrapText="1"/>
    </xf>
    <xf numFmtId="0" fontId="23" fillId="0" borderId="25" xfId="5" applyFont="1" applyFill="1" applyBorder="1" applyAlignment="1">
      <alignment horizontal="center" vertical="center"/>
    </xf>
    <xf numFmtId="172" fontId="24" fillId="22" borderId="25" xfId="11" applyNumberFormat="1" applyFont="1" applyFill="1" applyBorder="1" applyAlignment="1">
      <alignment vertical="center"/>
    </xf>
    <xf numFmtId="170" fontId="24" fillId="0" borderId="25" xfId="11" applyNumberFormat="1" applyFont="1" applyFill="1" applyBorder="1" applyAlignment="1">
      <alignment horizontal="right" vertical="center"/>
    </xf>
    <xf numFmtId="0" fontId="25" fillId="0" borderId="25" xfId="5" applyFont="1" applyBorder="1" applyAlignment="1">
      <alignment horizontal="center" vertical="center"/>
    </xf>
    <xf numFmtId="170" fontId="25" fillId="0" borderId="25" xfId="11" applyNumberFormat="1" applyFont="1" applyFill="1" applyBorder="1" applyAlignment="1">
      <alignment horizontal="right" vertical="center"/>
    </xf>
    <xf numFmtId="0" fontId="25" fillId="0" borderId="25" xfId="0" applyFont="1" applyBorder="1" applyAlignment="1">
      <alignment wrapText="1"/>
    </xf>
    <xf numFmtId="0" fontId="25" fillId="0" borderId="25" xfId="6" applyFont="1" applyFill="1" applyBorder="1" applyAlignment="1">
      <alignment horizontal="left" vertical="center" wrapText="1"/>
    </xf>
    <xf numFmtId="170" fontId="24" fillId="22" borderId="25" xfId="11" applyNumberFormat="1" applyFont="1" applyFill="1" applyBorder="1" applyAlignment="1">
      <alignment horizontal="right" vertical="center" wrapText="1" indent="2"/>
    </xf>
    <xf numFmtId="0" fontId="25" fillId="25" borderId="25" xfId="5" applyFont="1" applyFill="1" applyBorder="1" applyAlignment="1">
      <alignment vertical="center"/>
    </xf>
    <xf numFmtId="0" fontId="24" fillId="25" borderId="25" xfId="5" applyFont="1" applyFill="1" applyBorder="1" applyAlignment="1">
      <alignment horizontal="left" vertical="center"/>
    </xf>
    <xf numFmtId="170" fontId="24" fillId="25" borderId="25" xfId="11" applyNumberFormat="1" applyFont="1" applyFill="1" applyBorder="1" applyAlignment="1">
      <alignment vertical="center"/>
    </xf>
    <xf numFmtId="0" fontId="46" fillId="0" borderId="0" xfId="5" applyFont="1" applyAlignment="1">
      <alignment horizontal="center"/>
    </xf>
    <xf numFmtId="49" fontId="46" fillId="0" borderId="0" xfId="5" applyNumberFormat="1" applyFont="1" applyAlignment="1">
      <alignment horizontal="right"/>
    </xf>
    <xf numFmtId="49" fontId="7" fillId="0" borderId="0" xfId="5" applyNumberFormat="1" applyFont="1" applyAlignment="1">
      <alignment horizontal="right"/>
    </xf>
    <xf numFmtId="49" fontId="6" fillId="0" borderId="0" xfId="5" applyNumberFormat="1" applyFont="1" applyAlignment="1">
      <alignment horizontal="right"/>
    </xf>
    <xf numFmtId="49" fontId="19" fillId="0" borderId="0" xfId="7" applyNumberFormat="1" applyFont="1" applyBorder="1" applyAlignment="1">
      <alignment horizontal="right" vertical="center" wrapText="1"/>
    </xf>
    <xf numFmtId="49" fontId="24" fillId="0" borderId="0" xfId="5" applyNumberFormat="1" applyFont="1" applyBorder="1" applyAlignment="1">
      <alignment horizontal="right" vertical="center"/>
    </xf>
    <xf numFmtId="49" fontId="25" fillId="0" borderId="0" xfId="5" applyNumberFormat="1" applyFont="1" applyBorder="1" applyAlignment="1">
      <alignment horizontal="right" vertical="center"/>
    </xf>
    <xf numFmtId="49" fontId="25" fillId="11" borderId="0" xfId="5" applyNumberFormat="1" applyFont="1" applyFill="1" applyBorder="1" applyAlignment="1">
      <alignment horizontal="right" vertical="center"/>
    </xf>
    <xf numFmtId="49" fontId="63" fillId="0" borderId="0" xfId="5" applyNumberFormat="1" applyFont="1" applyBorder="1" applyAlignment="1">
      <alignment horizontal="right" vertical="center"/>
    </xf>
    <xf numFmtId="49" fontId="24" fillId="0" borderId="0" xfId="5" applyNumberFormat="1" applyFont="1" applyFill="1" applyBorder="1" applyAlignment="1">
      <alignment horizontal="right" vertical="center"/>
    </xf>
    <xf numFmtId="49" fontId="25" fillId="0" borderId="0" xfId="5" applyNumberFormat="1" applyFont="1" applyFill="1" applyBorder="1" applyAlignment="1">
      <alignment horizontal="right" vertical="center"/>
    </xf>
    <xf numFmtId="49" fontId="24" fillId="25" borderId="0" xfId="5" applyNumberFormat="1" applyFont="1" applyFill="1" applyBorder="1" applyAlignment="1">
      <alignment horizontal="right"/>
    </xf>
    <xf numFmtId="0" fontId="7" fillId="0" borderId="25" xfId="5" applyFont="1" applyFill="1" applyBorder="1" applyAlignment="1">
      <alignment horizontal="center" vertical="center"/>
    </xf>
    <xf numFmtId="0" fontId="7" fillId="11" borderId="25" xfId="5" applyFont="1" applyFill="1" applyBorder="1" applyAlignment="1">
      <alignment horizontal="center" vertical="center"/>
    </xf>
    <xf numFmtId="0" fontId="64" fillId="0" borderId="25" xfId="5" applyFont="1" applyFill="1" applyBorder="1" applyAlignment="1">
      <alignment horizontal="center" vertical="center"/>
    </xf>
    <xf numFmtId="0" fontId="28" fillId="0" borderId="25" xfId="5" applyFont="1" applyFill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28" fillId="0" borderId="25" xfId="5" applyFont="1" applyBorder="1" applyAlignment="1">
      <alignment horizontal="center" vertical="center"/>
    </xf>
    <xf numFmtId="0" fontId="21" fillId="0" borderId="25" xfId="5" applyFont="1" applyFill="1" applyBorder="1" applyAlignment="1">
      <alignment vertical="center"/>
    </xf>
    <xf numFmtId="0" fontId="21" fillId="0" borderId="25" xfId="5" applyFont="1" applyBorder="1" applyAlignment="1">
      <alignment vertical="center"/>
    </xf>
    <xf numFmtId="0" fontId="21" fillId="25" borderId="25" xfId="5" applyFont="1" applyFill="1" applyBorder="1" applyAlignment="1">
      <alignment vertical="center"/>
    </xf>
    <xf numFmtId="3" fontId="7" fillId="0" borderId="0" xfId="5" applyNumberFormat="1" applyFont="1" applyFill="1" applyAlignment="1">
      <alignment vertical="center"/>
    </xf>
    <xf numFmtId="0" fontId="10" fillId="0" borderId="26" xfId="0" applyFont="1" applyBorder="1"/>
    <xf numFmtId="0" fontId="0" fillId="0" borderId="26" xfId="0" applyFont="1" applyBorder="1" applyAlignment="1">
      <alignment vertical="center" wrapText="1"/>
    </xf>
    <xf numFmtId="0" fontId="46" fillId="0" borderId="0" xfId="5" applyFont="1" applyAlignment="1">
      <alignment horizontal="center"/>
    </xf>
    <xf numFmtId="0" fontId="13" fillId="0" borderId="0" xfId="0" applyFont="1" applyAlignment="1">
      <alignment horizontal="right"/>
    </xf>
    <xf numFmtId="3" fontId="12" fillId="12" borderId="26" xfId="0" applyNumberFormat="1" applyFont="1" applyFill="1" applyBorder="1"/>
    <xf numFmtId="0" fontId="13" fillId="0" borderId="25" xfId="0" applyFont="1" applyBorder="1"/>
    <xf numFmtId="3" fontId="10" fillId="10" borderId="26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/>
    </xf>
    <xf numFmtId="0" fontId="9" fillId="9" borderId="26" xfId="0" applyFont="1" applyFill="1" applyBorder="1" applyAlignment="1">
      <alignment vertical="center"/>
    </xf>
    <xf numFmtId="0" fontId="40" fillId="0" borderId="0" xfId="0" applyFont="1"/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/>
    <xf numFmtId="3" fontId="0" fillId="0" borderId="26" xfId="0" applyNumberFormat="1" applyFont="1" applyFill="1" applyBorder="1"/>
    <xf numFmtId="0" fontId="0" fillId="0" borderId="26" xfId="0" applyFill="1" applyBorder="1" applyAlignment="1">
      <alignment vertical="center"/>
    </xf>
    <xf numFmtId="3" fontId="0" fillId="0" borderId="26" xfId="0" applyNumberFormat="1" applyFont="1" applyFill="1" applyBorder="1" applyAlignment="1">
      <alignment horizontal="right" vertical="center"/>
    </xf>
    <xf numFmtId="0" fontId="68" fillId="0" borderId="25" xfId="0" applyFont="1" applyBorder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69" fillId="0" borderId="25" xfId="0" applyFont="1" applyBorder="1" applyAlignment="1">
      <alignment vertical="center" wrapText="1"/>
    </xf>
    <xf numFmtId="167" fontId="69" fillId="0" borderId="25" xfId="0" applyNumberFormat="1" applyFont="1" applyBorder="1" applyAlignment="1">
      <alignment vertical="center"/>
    </xf>
    <xf numFmtId="0" fontId="69" fillId="0" borderId="25" xfId="0" applyFont="1" applyBorder="1" applyAlignment="1">
      <alignment vertical="center"/>
    </xf>
    <xf numFmtId="0" fontId="69" fillId="11" borderId="25" xfId="0" applyFont="1" applyFill="1" applyBorder="1" applyAlignment="1">
      <alignment horizontal="center" vertical="center"/>
    </xf>
    <xf numFmtId="0" fontId="69" fillId="11" borderId="25" xfId="0" applyFont="1" applyFill="1" applyBorder="1" applyAlignment="1">
      <alignment horizontal="center" vertical="center" wrapText="1"/>
    </xf>
    <xf numFmtId="167" fontId="69" fillId="11" borderId="25" xfId="0" applyNumberFormat="1" applyFont="1" applyFill="1" applyBorder="1" applyAlignment="1">
      <alignment horizontal="center" vertical="center"/>
    </xf>
    <xf numFmtId="0" fontId="69" fillId="33" borderId="25" xfId="0" applyFont="1" applyFill="1" applyBorder="1" applyAlignment="1">
      <alignment horizontal="center" vertical="center"/>
    </xf>
    <xf numFmtId="0" fontId="69" fillId="33" borderId="25" xfId="0" applyFont="1" applyFill="1" applyBorder="1" applyAlignment="1">
      <alignment vertical="center" wrapText="1"/>
    </xf>
    <xf numFmtId="167" fontId="69" fillId="33" borderId="25" xfId="0" applyNumberFormat="1" applyFont="1" applyFill="1" applyBorder="1" applyAlignment="1">
      <alignment vertical="center"/>
    </xf>
    <xf numFmtId="0" fontId="69" fillId="33" borderId="25" xfId="0" applyFont="1" applyFill="1" applyBorder="1" applyAlignment="1">
      <alignment wrapText="1"/>
    </xf>
    <xf numFmtId="0" fontId="69" fillId="33" borderId="25" xfId="0" applyFont="1" applyFill="1" applyBorder="1" applyAlignment="1">
      <alignment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vertical="center" wrapText="1"/>
    </xf>
    <xf numFmtId="167" fontId="70" fillId="0" borderId="25" xfId="0" applyNumberFormat="1" applyFont="1" applyFill="1" applyBorder="1" applyAlignment="1">
      <alignment vertical="center"/>
    </xf>
    <xf numFmtId="0" fontId="69" fillId="34" borderId="25" xfId="0" applyFont="1" applyFill="1" applyBorder="1" applyAlignment="1">
      <alignment wrapText="1"/>
    </xf>
    <xf numFmtId="0" fontId="69" fillId="34" borderId="25" xfId="0" applyFont="1" applyFill="1" applyBorder="1" applyAlignment="1">
      <alignment vertical="center"/>
    </xf>
    <xf numFmtId="0" fontId="70" fillId="0" borderId="25" xfId="0" applyFont="1" applyBorder="1" applyAlignment="1">
      <alignment wrapText="1"/>
    </xf>
    <xf numFmtId="0" fontId="70" fillId="0" borderId="25" xfId="0" applyFont="1" applyBorder="1" applyAlignment="1">
      <alignment vertical="center"/>
    </xf>
    <xf numFmtId="0" fontId="70" fillId="0" borderId="25" xfId="0" applyFont="1" applyBorder="1" applyAlignment="1">
      <alignment horizontal="left" wrapText="1"/>
    </xf>
    <xf numFmtId="0" fontId="70" fillId="34" borderId="25" xfId="0" applyFont="1" applyFill="1" applyBorder="1" applyAlignment="1">
      <alignment horizontal="left" wrapText="1"/>
    </xf>
    <xf numFmtId="0" fontId="71" fillId="34" borderId="25" xfId="0" applyFont="1" applyFill="1" applyBorder="1" applyAlignment="1">
      <alignment vertical="center" wrapText="1"/>
    </xf>
    <xf numFmtId="0" fontId="71" fillId="34" borderId="25" xfId="0" applyFont="1" applyFill="1" applyBorder="1" applyAlignment="1">
      <alignment vertical="center"/>
    </xf>
    <xf numFmtId="0" fontId="71" fillId="0" borderId="25" xfId="0" applyFont="1" applyBorder="1" applyAlignment="1">
      <alignment vertical="center"/>
    </xf>
    <xf numFmtId="0" fontId="70" fillId="0" borderId="25" xfId="0" applyFont="1" applyBorder="1" applyAlignment="1">
      <alignment vertical="center" wrapText="1"/>
    </xf>
    <xf numFmtId="167" fontId="70" fillId="0" borderId="25" xfId="0" applyNumberFormat="1" applyFont="1" applyBorder="1" applyAlignment="1">
      <alignment vertical="center"/>
    </xf>
    <xf numFmtId="0" fontId="70" fillId="0" borderId="25" xfId="0" applyFont="1" applyFill="1" applyBorder="1" applyAlignment="1">
      <alignment wrapText="1"/>
    </xf>
    <xf numFmtId="0" fontId="68" fillId="0" borderId="25" xfId="0" applyFont="1" applyBorder="1" applyAlignment="1">
      <alignment horizontal="center" vertical="center"/>
    </xf>
    <xf numFmtId="0" fontId="72" fillId="0" borderId="25" xfId="0" applyFont="1" applyBorder="1" applyAlignment="1">
      <alignment vertical="center" wrapText="1"/>
    </xf>
    <xf numFmtId="167" fontId="72" fillId="0" borderId="25" xfId="0" applyNumberFormat="1" applyFont="1" applyBorder="1" applyAlignment="1">
      <alignment vertical="center"/>
    </xf>
    <xf numFmtId="0" fontId="72" fillId="0" borderId="25" xfId="0" applyFont="1" applyFill="1" applyBorder="1" applyAlignment="1">
      <alignment wrapText="1"/>
    </xf>
    <xf numFmtId="0" fontId="70" fillId="0" borderId="25" xfId="0" applyFont="1" applyFill="1" applyBorder="1" applyAlignment="1">
      <alignment vertical="center"/>
    </xf>
    <xf numFmtId="0" fontId="69" fillId="0" borderId="25" xfId="0" applyFont="1" applyFill="1" applyBorder="1" applyAlignment="1">
      <alignment wrapText="1"/>
    </xf>
    <xf numFmtId="0" fontId="69" fillId="0" borderId="25" xfId="0" applyFont="1" applyFill="1" applyBorder="1" applyAlignment="1">
      <alignment vertical="center"/>
    </xf>
    <xf numFmtId="0" fontId="70" fillId="0" borderId="25" xfId="0" applyFont="1" applyBorder="1" applyAlignment="1">
      <alignment horizontal="center" vertical="center"/>
    </xf>
    <xf numFmtId="0" fontId="72" fillId="0" borderId="25" xfId="0" applyFont="1" applyBorder="1" applyAlignment="1">
      <alignment wrapText="1"/>
    </xf>
    <xf numFmtId="0" fontId="72" fillId="0" borderId="25" xfId="0" applyFont="1" applyBorder="1" applyAlignment="1">
      <alignment vertical="center"/>
    </xf>
    <xf numFmtId="0" fontId="69" fillId="34" borderId="25" xfId="0" applyFont="1" applyFill="1" applyBorder="1" applyAlignment="1">
      <alignment horizontal="center" vertical="center" wrapText="1"/>
    </xf>
    <xf numFmtId="0" fontId="70" fillId="34" borderId="25" xfId="0" applyFont="1" applyFill="1" applyBorder="1" applyAlignment="1">
      <alignment wrapText="1"/>
    </xf>
    <xf numFmtId="0" fontId="70" fillId="34" borderId="25" xfId="0" applyFont="1" applyFill="1" applyBorder="1" applyAlignment="1">
      <alignment vertical="center"/>
    </xf>
    <xf numFmtId="0" fontId="72" fillId="34" borderId="25" xfId="0" applyFont="1" applyFill="1" applyBorder="1" applyAlignment="1">
      <alignment wrapText="1"/>
    </xf>
    <xf numFmtId="0" fontId="69" fillId="0" borderId="25" xfId="0" applyFont="1" applyFill="1" applyBorder="1" applyAlignment="1">
      <alignment horizontal="center" vertical="center"/>
    </xf>
    <xf numFmtId="0" fontId="70" fillId="0" borderId="25" xfId="0" applyFont="1" applyBorder="1" applyAlignment="1">
      <alignment vertical="top" wrapText="1"/>
    </xf>
    <xf numFmtId="0" fontId="70" fillId="0" borderId="25" xfId="0" applyFont="1" applyFill="1" applyBorder="1"/>
    <xf numFmtId="0" fontId="70" fillId="0" borderId="25" xfId="0" applyFont="1" applyBorder="1" applyAlignment="1">
      <alignment horizontal="left" vertical="center" wrapText="1"/>
    </xf>
    <xf numFmtId="0" fontId="69" fillId="34" borderId="25" xfId="0" applyFont="1" applyFill="1" applyBorder="1" applyAlignment="1">
      <alignment horizontal="left" vertical="center" wrapText="1"/>
    </xf>
    <xf numFmtId="0" fontId="63" fillId="0" borderId="25" xfId="5" applyFont="1" applyBorder="1" applyAlignment="1">
      <alignment horizontal="center" vertical="center"/>
    </xf>
    <xf numFmtId="0" fontId="63" fillId="29" borderId="25" xfId="5" applyFont="1" applyFill="1" applyBorder="1" applyAlignment="1">
      <alignment horizontal="center" vertical="center"/>
    </xf>
    <xf numFmtId="0" fontId="6" fillId="0" borderId="43" xfId="7" applyFont="1" applyBorder="1" applyAlignment="1">
      <alignment horizontal="center" vertical="center"/>
    </xf>
    <xf numFmtId="166" fontId="6" fillId="31" borderId="43" xfId="7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44" xfId="0" applyNumberFormat="1" applyFont="1" applyFill="1" applyBorder="1"/>
    <xf numFmtId="169" fontId="0" fillId="0" borderId="0" xfId="0" applyNumberFormat="1"/>
    <xf numFmtId="0" fontId="73" fillId="0" borderId="25" xfId="0" applyFont="1" applyFill="1" applyBorder="1" applyAlignment="1">
      <alignment vertical="center"/>
    </xf>
    <xf numFmtId="0" fontId="73" fillId="0" borderId="25" xfId="0" applyFont="1" applyBorder="1" applyAlignment="1">
      <alignment vertical="center"/>
    </xf>
    <xf numFmtId="167" fontId="74" fillId="0" borderId="25" xfId="0" applyNumberFormat="1" applyFont="1" applyBorder="1" applyAlignment="1">
      <alignment vertical="center"/>
    </xf>
    <xf numFmtId="167" fontId="69" fillId="11" borderId="25" xfId="0" applyNumberFormat="1" applyFont="1" applyFill="1" applyBorder="1" applyAlignment="1">
      <alignment horizontal="center" vertical="center" wrapText="1"/>
    </xf>
    <xf numFmtId="167" fontId="74" fillId="11" borderId="25" xfId="0" applyNumberFormat="1" applyFont="1" applyFill="1" applyBorder="1" applyAlignment="1">
      <alignment horizontal="center" vertical="center" wrapText="1"/>
    </xf>
    <xf numFmtId="167" fontId="74" fillId="33" borderId="25" xfId="0" applyNumberFormat="1" applyFont="1" applyFill="1" applyBorder="1" applyAlignment="1">
      <alignment vertical="center"/>
    </xf>
    <xf numFmtId="0" fontId="74" fillId="0" borderId="25" xfId="0" applyFont="1" applyFill="1" applyBorder="1" applyAlignment="1">
      <alignment vertical="center"/>
    </xf>
    <xf numFmtId="167" fontId="71" fillId="0" borderId="25" xfId="0" applyNumberFormat="1" applyFont="1" applyFill="1" applyBorder="1" applyAlignment="1">
      <alignment vertical="center"/>
    </xf>
    <xf numFmtId="0" fontId="71" fillId="0" borderId="25" xfId="0" applyFont="1" applyFill="1" applyBorder="1" applyAlignment="1">
      <alignment vertical="center"/>
    </xf>
    <xf numFmtId="0" fontId="74" fillId="0" borderId="25" xfId="0" applyFont="1" applyBorder="1" applyAlignment="1">
      <alignment vertical="center"/>
    </xf>
    <xf numFmtId="167" fontId="71" fillId="0" borderId="25" xfId="0" applyNumberFormat="1" applyFont="1" applyBorder="1" applyAlignment="1">
      <alignment vertical="center"/>
    </xf>
    <xf numFmtId="167" fontId="69" fillId="11" borderId="25" xfId="0" applyNumberFormat="1" applyFont="1" applyFill="1" applyBorder="1" applyAlignment="1">
      <alignment vertical="center"/>
    </xf>
    <xf numFmtId="0" fontId="69" fillId="11" borderId="25" xfId="0" applyFont="1" applyFill="1" applyBorder="1" applyAlignment="1">
      <alignment wrapText="1"/>
    </xf>
    <xf numFmtId="167" fontId="74" fillId="11" borderId="25" xfId="0" applyNumberFormat="1" applyFont="1" applyFill="1" applyBorder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3" fontId="0" fillId="11" borderId="8" xfId="0" applyNumberFormat="1" applyFont="1" applyFill="1" applyBorder="1" applyAlignment="1">
      <alignment vertical="center"/>
    </xf>
    <xf numFmtId="165" fontId="0" fillId="29" borderId="26" xfId="0" applyNumberFormat="1" applyFont="1" applyFill="1" applyBorder="1"/>
    <xf numFmtId="3" fontId="0" fillId="29" borderId="26" xfId="0" applyNumberFormat="1" applyFont="1" applyFill="1" applyBorder="1"/>
    <xf numFmtId="165" fontId="0" fillId="29" borderId="26" xfId="0" applyNumberFormat="1" applyFont="1" applyFill="1" applyBorder="1" applyAlignment="1">
      <alignment vertical="center"/>
    </xf>
    <xf numFmtId="3" fontId="0" fillId="29" borderId="26" xfId="0" applyNumberFormat="1" applyFont="1" applyFill="1" applyBorder="1" applyAlignment="1">
      <alignment vertical="center"/>
    </xf>
    <xf numFmtId="170" fontId="73" fillId="0" borderId="25" xfId="11" applyNumberFormat="1" applyFont="1" applyFill="1" applyBorder="1" applyAlignment="1">
      <alignment vertical="center"/>
    </xf>
    <xf numFmtId="170" fontId="74" fillId="0" borderId="25" xfId="11" applyNumberFormat="1" applyFont="1" applyBorder="1" applyAlignment="1">
      <alignment vertical="center"/>
    </xf>
    <xf numFmtId="170" fontId="74" fillId="11" borderId="25" xfId="11" applyNumberFormat="1" applyFont="1" applyFill="1" applyBorder="1" applyAlignment="1">
      <alignment horizontal="center" vertical="center" wrapText="1"/>
    </xf>
    <xf numFmtId="170" fontId="74" fillId="33" borderId="25" xfId="11" applyNumberFormat="1" applyFont="1" applyFill="1" applyBorder="1" applyAlignment="1">
      <alignment vertical="center"/>
    </xf>
    <xf numFmtId="170" fontId="71" fillId="0" borderId="25" xfId="11" applyNumberFormat="1" applyFont="1" applyFill="1" applyBorder="1" applyAlignment="1">
      <alignment vertical="center"/>
    </xf>
    <xf numFmtId="170" fontId="74" fillId="11" borderId="25" xfId="11" applyNumberFormat="1" applyFont="1" applyFill="1" applyBorder="1" applyAlignment="1">
      <alignment vertical="center"/>
    </xf>
    <xf numFmtId="3" fontId="13" fillId="29" borderId="26" xfId="0" applyNumberFormat="1" applyFont="1" applyFill="1" applyBorder="1" applyAlignment="1">
      <alignment wrapText="1"/>
    </xf>
    <xf numFmtId="171" fontId="13" fillId="29" borderId="26" xfId="11" applyNumberFormat="1" applyFont="1" applyFill="1" applyBorder="1" applyAlignment="1">
      <alignment wrapText="1"/>
    </xf>
    <xf numFmtId="171" fontId="12" fillId="29" borderId="26" xfId="11" applyNumberFormat="1" applyFont="1" applyFill="1" applyBorder="1" applyAlignment="1">
      <alignment wrapText="1"/>
    </xf>
    <xf numFmtId="3" fontId="12" fillId="29" borderId="26" xfId="0" applyNumberFormat="1" applyFont="1" applyFill="1" applyBorder="1" applyAlignment="1">
      <alignment wrapText="1"/>
    </xf>
    <xf numFmtId="171" fontId="12" fillId="29" borderId="26" xfId="11" applyNumberFormat="1" applyFont="1" applyFill="1" applyBorder="1" applyAlignment="1">
      <alignment vertical="center" wrapText="1"/>
    </xf>
    <xf numFmtId="3" fontId="12" fillId="29" borderId="26" xfId="0" applyNumberFormat="1" applyFont="1" applyFill="1" applyBorder="1" applyAlignment="1">
      <alignment vertical="center" wrapText="1"/>
    </xf>
    <xf numFmtId="171" fontId="13" fillId="29" borderId="26" xfId="11" applyNumberFormat="1" applyFont="1" applyFill="1" applyBorder="1" applyAlignment="1">
      <alignment vertical="center" wrapText="1"/>
    </xf>
    <xf numFmtId="3" fontId="13" fillId="29" borderId="26" xfId="0" applyNumberFormat="1" applyFont="1" applyFill="1" applyBorder="1" applyAlignment="1">
      <alignment vertical="center" wrapText="1"/>
    </xf>
    <xf numFmtId="3" fontId="10" fillId="10" borderId="26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19" fillId="0" borderId="43" xfId="7" applyFont="1" applyBorder="1" applyAlignment="1">
      <alignment horizontal="left" vertical="center"/>
    </xf>
    <xf numFmtId="0" fontId="6" fillId="31" borderId="43" xfId="7" applyFont="1" applyFill="1" applyBorder="1" applyAlignment="1">
      <alignment horizontal="center" vertical="center"/>
    </xf>
    <xf numFmtId="166" fontId="19" fillId="32" borderId="43" xfId="7" applyNumberFormat="1" applyFont="1" applyFill="1" applyBorder="1" applyAlignment="1">
      <alignment horizontal="center" vertical="center" wrapText="1"/>
    </xf>
    <xf numFmtId="165" fontId="38" fillId="13" borderId="43" xfId="7" applyNumberFormat="1" applyFont="1" applyFill="1" applyBorder="1" applyAlignment="1">
      <alignment horizontal="center" vertical="center"/>
    </xf>
    <xf numFmtId="165" fontId="6" fillId="31" borderId="46" xfId="7" applyNumberFormat="1" applyFont="1" applyFill="1" applyBorder="1" applyAlignment="1">
      <alignment horizontal="center" vertical="center"/>
    </xf>
    <xf numFmtId="165" fontId="6" fillId="31" borderId="47" xfId="7" applyNumberFormat="1" applyFont="1" applyFill="1" applyBorder="1" applyAlignment="1">
      <alignment horizontal="center" vertical="center"/>
    </xf>
    <xf numFmtId="0" fontId="19" fillId="0" borderId="48" xfId="7" applyFont="1" applyBorder="1" applyAlignment="1">
      <alignment horizontal="left" vertical="center"/>
    </xf>
    <xf numFmtId="164" fontId="6" fillId="0" borderId="28" xfId="7" applyNumberFormat="1" applyFont="1" applyBorder="1" applyAlignment="1">
      <alignment horizontal="center" vertical="center"/>
    </xf>
    <xf numFmtId="172" fontId="19" fillId="32" borderId="28" xfId="7" applyNumberFormat="1" applyFont="1" applyFill="1" applyBorder="1" applyAlignment="1">
      <alignment vertical="center" wrapText="1"/>
    </xf>
    <xf numFmtId="165" fontId="10" fillId="0" borderId="26" xfId="0" applyNumberFormat="1" applyFont="1" applyBorder="1" applyAlignment="1">
      <alignment horizontal="center"/>
    </xf>
    <xf numFmtId="165" fontId="10" fillId="0" borderId="26" xfId="0" applyNumberFormat="1" applyFont="1" applyFill="1" applyBorder="1" applyAlignment="1">
      <alignment horizontal="center" vertical="center"/>
    </xf>
    <xf numFmtId="165" fontId="12" fillId="11" borderId="26" xfId="0" applyNumberFormat="1" applyFont="1" applyFill="1" applyBorder="1" applyAlignment="1">
      <alignment horizontal="center" vertical="center"/>
    </xf>
    <xf numFmtId="170" fontId="73" fillId="0" borderId="25" xfId="11" applyNumberFormat="1" applyFont="1" applyBorder="1" applyAlignment="1">
      <alignment vertical="center"/>
    </xf>
    <xf numFmtId="170" fontId="74" fillId="0" borderId="25" xfId="11" applyNumberFormat="1" applyFont="1" applyFill="1" applyBorder="1" applyAlignment="1">
      <alignment vertical="center"/>
    </xf>
    <xf numFmtId="170" fontId="69" fillId="33" borderId="25" xfId="11" applyNumberFormat="1" applyFont="1" applyFill="1" applyBorder="1" applyAlignment="1">
      <alignment vertical="center"/>
    </xf>
    <xf numFmtId="170" fontId="75" fillId="0" borderId="25" xfId="11" applyNumberFormat="1" applyFont="1" applyFill="1" applyBorder="1" applyAlignment="1">
      <alignment vertical="center"/>
    </xf>
    <xf numFmtId="170" fontId="71" fillId="0" borderId="25" xfId="11" applyNumberFormat="1" applyFont="1" applyBorder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167" fontId="70" fillId="35" borderId="25" xfId="0" applyNumberFormat="1" applyFont="1" applyFill="1" applyBorder="1" applyAlignment="1">
      <alignment vertical="center"/>
    </xf>
    <xf numFmtId="0" fontId="69" fillId="35" borderId="25" xfId="0" applyFont="1" applyFill="1" applyBorder="1" applyAlignment="1">
      <alignment wrapText="1"/>
    </xf>
    <xf numFmtId="0" fontId="74" fillId="35" borderId="25" xfId="0" applyFont="1" applyFill="1" applyBorder="1" applyAlignment="1">
      <alignment vertical="center"/>
    </xf>
    <xf numFmtId="167" fontId="71" fillId="35" borderId="25" xfId="0" applyNumberFormat="1" applyFont="1" applyFill="1" applyBorder="1" applyAlignment="1">
      <alignment vertical="center"/>
    </xf>
    <xf numFmtId="0" fontId="70" fillId="35" borderId="25" xfId="0" applyFont="1" applyFill="1" applyBorder="1" applyAlignment="1">
      <alignment wrapText="1"/>
    </xf>
    <xf numFmtId="0" fontId="71" fillId="35" borderId="25" xfId="0" applyFont="1" applyFill="1" applyBorder="1" applyAlignment="1">
      <alignment vertical="center"/>
    </xf>
    <xf numFmtId="0" fontId="70" fillId="35" borderId="25" xfId="0" applyFont="1" applyFill="1" applyBorder="1" applyAlignment="1">
      <alignment horizontal="left" wrapText="1"/>
    </xf>
    <xf numFmtId="0" fontId="71" fillId="35" borderId="25" xfId="0" applyFont="1" applyFill="1" applyBorder="1" applyAlignment="1">
      <alignment vertical="center" wrapText="1"/>
    </xf>
    <xf numFmtId="0" fontId="70" fillId="35" borderId="25" xfId="0" applyFont="1" applyFill="1" applyBorder="1" applyAlignment="1">
      <alignment vertical="center" wrapText="1"/>
    </xf>
    <xf numFmtId="167" fontId="72" fillId="35" borderId="25" xfId="0" applyNumberFormat="1" applyFont="1" applyFill="1" applyBorder="1" applyAlignment="1">
      <alignment vertical="center"/>
    </xf>
    <xf numFmtId="0" fontId="72" fillId="35" borderId="25" xfId="0" applyFont="1" applyFill="1" applyBorder="1" applyAlignment="1">
      <alignment wrapText="1"/>
    </xf>
    <xf numFmtId="0" fontId="73" fillId="35" borderId="25" xfId="0" applyFont="1" applyFill="1" applyBorder="1" applyAlignment="1">
      <alignment vertical="center"/>
    </xf>
    <xf numFmtId="0" fontId="75" fillId="35" borderId="25" xfId="0" applyFont="1" applyFill="1" applyBorder="1" applyAlignment="1">
      <alignment vertical="center"/>
    </xf>
    <xf numFmtId="0" fontId="69" fillId="35" borderId="25" xfId="0" applyFont="1" applyFill="1" applyBorder="1" applyAlignment="1">
      <alignment horizontal="center" vertical="center" wrapText="1"/>
    </xf>
    <xf numFmtId="0" fontId="70" fillId="35" borderId="25" xfId="0" applyFont="1" applyFill="1" applyBorder="1" applyAlignment="1">
      <alignment vertical="top" wrapText="1"/>
    </xf>
    <xf numFmtId="0" fontId="70" fillId="35" borderId="25" xfId="0" applyFont="1" applyFill="1" applyBorder="1" applyAlignment="1">
      <alignment horizontal="left" vertical="center" wrapText="1"/>
    </xf>
    <xf numFmtId="0" fontId="69" fillId="35" borderId="25" xfId="0" applyFont="1" applyFill="1" applyBorder="1" applyAlignment="1">
      <alignment horizontal="left" vertical="center" wrapText="1"/>
    </xf>
    <xf numFmtId="170" fontId="71" fillId="35" borderId="25" xfId="11" applyNumberFormat="1" applyFont="1" applyFill="1" applyBorder="1" applyAlignment="1">
      <alignment vertical="center"/>
    </xf>
    <xf numFmtId="170" fontId="73" fillId="35" borderId="25" xfId="11" applyNumberFormat="1" applyFont="1" applyFill="1" applyBorder="1" applyAlignment="1">
      <alignment vertical="center"/>
    </xf>
    <xf numFmtId="170" fontId="74" fillId="35" borderId="25" xfId="11" applyNumberFormat="1" applyFont="1" applyFill="1" applyBorder="1" applyAlignment="1">
      <alignment vertical="center"/>
    </xf>
    <xf numFmtId="170" fontId="75" fillId="35" borderId="25" xfId="11" applyNumberFormat="1" applyFont="1" applyFill="1" applyBorder="1" applyAlignment="1">
      <alignment vertical="center"/>
    </xf>
    <xf numFmtId="171" fontId="10" fillId="35" borderId="26" xfId="11" applyNumberFormat="1" applyFont="1" applyFill="1" applyBorder="1" applyAlignment="1">
      <alignment vertical="center"/>
    </xf>
    <xf numFmtId="3" fontId="10" fillId="35" borderId="26" xfId="0" applyNumberFormat="1" applyFont="1" applyFill="1" applyBorder="1" applyAlignment="1">
      <alignment vertical="center"/>
    </xf>
    <xf numFmtId="171" fontId="10" fillId="35" borderId="26" xfId="11" applyNumberFormat="1" applyFont="1" applyFill="1" applyBorder="1"/>
    <xf numFmtId="3" fontId="10" fillId="35" borderId="26" xfId="0" applyNumberFormat="1" applyFont="1" applyFill="1" applyBorder="1"/>
    <xf numFmtId="171" fontId="0" fillId="35" borderId="26" xfId="11" applyNumberFormat="1" applyFont="1" applyFill="1" applyBorder="1"/>
    <xf numFmtId="3" fontId="0" fillId="35" borderId="26" xfId="0" applyNumberFormat="1" applyFill="1" applyBorder="1"/>
    <xf numFmtId="3" fontId="0" fillId="35" borderId="26" xfId="0" applyNumberFormat="1" applyFont="1" applyFill="1" applyBorder="1"/>
    <xf numFmtId="3" fontId="13" fillId="35" borderId="26" xfId="0" applyNumberFormat="1" applyFont="1" applyFill="1" applyBorder="1"/>
    <xf numFmtId="171" fontId="0" fillId="35" borderId="26" xfId="11" applyNumberFormat="1" applyFont="1" applyFill="1" applyBorder="1" applyAlignment="1">
      <alignment vertical="center"/>
    </xf>
    <xf numFmtId="3" fontId="0" fillId="35" borderId="26" xfId="0" applyNumberFormat="1" applyFill="1" applyBorder="1" applyAlignment="1">
      <alignment vertical="center"/>
    </xf>
    <xf numFmtId="171" fontId="13" fillId="35" borderId="26" xfId="11" applyNumberFormat="1" applyFont="1" applyFill="1" applyBorder="1"/>
    <xf numFmtId="165" fontId="10" fillId="35" borderId="26" xfId="0" applyNumberFormat="1" applyFont="1" applyFill="1" applyBorder="1" applyAlignment="1">
      <alignment horizontal="center" vertical="center"/>
    </xf>
    <xf numFmtId="3" fontId="0" fillId="35" borderId="26" xfId="0" applyNumberFormat="1" applyFont="1" applyFill="1" applyBorder="1" applyAlignment="1">
      <alignment vertical="center"/>
    </xf>
    <xf numFmtId="171" fontId="12" fillId="35" borderId="26" xfId="11" applyNumberFormat="1" applyFont="1" applyFill="1" applyBorder="1"/>
    <xf numFmtId="0" fontId="0" fillId="35" borderId="0" xfId="0" applyFill="1"/>
    <xf numFmtId="3" fontId="0" fillId="35" borderId="0" xfId="0" applyNumberFormat="1" applyFill="1"/>
    <xf numFmtId="171" fontId="13" fillId="35" borderId="26" xfId="11" applyNumberFormat="1" applyFont="1" applyFill="1" applyBorder="1" applyAlignment="1">
      <alignment vertical="center"/>
    </xf>
    <xf numFmtId="165" fontId="12" fillId="35" borderId="26" xfId="0" applyNumberFormat="1" applyFont="1" applyFill="1" applyBorder="1" applyAlignment="1">
      <alignment horizontal="right" vertical="center" wrapText="1"/>
    </xf>
    <xf numFmtId="165" fontId="10" fillId="35" borderId="26" xfId="0" applyNumberFormat="1" applyFont="1" applyFill="1" applyBorder="1" applyAlignment="1">
      <alignment horizontal="right" vertical="center" wrapText="1"/>
    </xf>
    <xf numFmtId="3" fontId="0" fillId="35" borderId="26" xfId="0" applyNumberFormat="1" applyFill="1" applyBorder="1" applyAlignment="1">
      <alignment horizontal="right" vertical="center" wrapText="1"/>
    </xf>
    <xf numFmtId="3" fontId="12" fillId="35" borderId="26" xfId="0" applyNumberFormat="1" applyFont="1" applyFill="1" applyBorder="1"/>
    <xf numFmtId="171" fontId="10" fillId="35" borderId="26" xfId="11" applyNumberFormat="1" applyFont="1" applyFill="1" applyBorder="1" applyAlignment="1">
      <alignment wrapText="1"/>
    </xf>
    <xf numFmtId="3" fontId="10" fillId="35" borderId="26" xfId="0" applyNumberFormat="1" applyFont="1" applyFill="1" applyBorder="1" applyAlignment="1">
      <alignment wrapText="1"/>
    </xf>
    <xf numFmtId="171" fontId="0" fillId="35" borderId="26" xfId="11" applyNumberFormat="1" applyFont="1" applyFill="1" applyBorder="1" applyAlignment="1">
      <alignment wrapText="1"/>
    </xf>
    <xf numFmtId="3" fontId="0" fillId="35" borderId="26" xfId="0" applyNumberFormat="1" applyFill="1" applyBorder="1" applyAlignment="1">
      <alignment wrapText="1"/>
    </xf>
    <xf numFmtId="3" fontId="0" fillId="35" borderId="26" xfId="0" applyNumberFormat="1" applyFont="1" applyFill="1" applyBorder="1" applyAlignment="1">
      <alignment wrapText="1"/>
    </xf>
    <xf numFmtId="3" fontId="6" fillId="35" borderId="26" xfId="7" applyNumberFormat="1" applyFont="1" applyFill="1" applyBorder="1" applyAlignment="1">
      <alignment horizontal="right" vertical="center"/>
    </xf>
    <xf numFmtId="171" fontId="12" fillId="35" borderId="26" xfId="11" applyNumberFormat="1" applyFont="1" applyFill="1" applyBorder="1" applyAlignment="1">
      <alignment wrapText="1"/>
    </xf>
    <xf numFmtId="3" fontId="12" fillId="35" borderId="26" xfId="0" applyNumberFormat="1" applyFont="1" applyFill="1" applyBorder="1" applyAlignment="1">
      <alignment wrapText="1"/>
    </xf>
    <xf numFmtId="171" fontId="13" fillId="35" borderId="26" xfId="11" applyNumberFormat="1" applyFont="1" applyFill="1" applyBorder="1" applyAlignment="1">
      <alignment wrapText="1"/>
    </xf>
    <xf numFmtId="3" fontId="13" fillId="35" borderId="26" xfId="0" applyNumberFormat="1" applyFont="1" applyFill="1" applyBorder="1" applyAlignment="1">
      <alignment wrapText="1"/>
    </xf>
    <xf numFmtId="171" fontId="13" fillId="35" borderId="26" xfId="11" applyNumberFormat="1" applyFont="1" applyFill="1" applyBorder="1" applyAlignment="1">
      <alignment vertical="center" wrapText="1"/>
    </xf>
    <xf numFmtId="3" fontId="13" fillId="35" borderId="26" xfId="0" applyNumberFormat="1" applyFont="1" applyFill="1" applyBorder="1" applyAlignment="1">
      <alignment vertical="center" wrapText="1"/>
    </xf>
    <xf numFmtId="171" fontId="12" fillId="35" borderId="26" xfId="11" applyNumberFormat="1" applyFont="1" applyFill="1" applyBorder="1" applyAlignment="1">
      <alignment vertical="center" wrapText="1"/>
    </xf>
    <xf numFmtId="3" fontId="12" fillId="35" borderId="26" xfId="0" applyNumberFormat="1" applyFont="1" applyFill="1" applyBorder="1" applyAlignment="1">
      <alignment vertical="center" wrapText="1"/>
    </xf>
    <xf numFmtId="3" fontId="12" fillId="35" borderId="26" xfId="0" applyNumberFormat="1" applyFont="1" applyFill="1" applyBorder="1" applyAlignment="1">
      <alignment horizontal="right" vertical="center" wrapText="1"/>
    </xf>
    <xf numFmtId="3" fontId="0" fillId="35" borderId="26" xfId="0" applyNumberFormat="1" applyFill="1" applyBorder="1" applyAlignment="1">
      <alignment vertical="center" wrapText="1"/>
    </xf>
    <xf numFmtId="3" fontId="10" fillId="35" borderId="26" xfId="0" applyNumberFormat="1" applyFont="1" applyFill="1" applyBorder="1" applyAlignment="1">
      <alignment vertical="center" wrapText="1"/>
    </xf>
    <xf numFmtId="3" fontId="10" fillId="35" borderId="26" xfId="0" applyNumberFormat="1" applyFont="1" applyFill="1" applyBorder="1" applyAlignment="1">
      <alignment horizontal="right" vertical="center" wrapText="1"/>
    </xf>
    <xf numFmtId="0" fontId="0" fillId="35" borderId="0" xfId="0" applyFill="1" applyAlignment="1">
      <alignment wrapText="1"/>
    </xf>
    <xf numFmtId="3" fontId="56" fillId="35" borderId="26" xfId="0" applyNumberFormat="1" applyFont="1" applyFill="1" applyBorder="1" applyAlignment="1">
      <alignment vertical="center"/>
    </xf>
    <xf numFmtId="3" fontId="54" fillId="35" borderId="26" xfId="0" applyNumberFormat="1" applyFont="1" applyFill="1" applyBorder="1" applyAlignment="1">
      <alignment vertical="center"/>
    </xf>
    <xf numFmtId="3" fontId="54" fillId="35" borderId="26" xfId="0" applyNumberFormat="1" applyFont="1" applyFill="1" applyBorder="1"/>
    <xf numFmtId="3" fontId="56" fillId="35" borderId="26" xfId="0" applyNumberFormat="1" applyFont="1" applyFill="1" applyBorder="1"/>
    <xf numFmtId="3" fontId="57" fillId="35" borderId="26" xfId="0" applyNumberFormat="1" applyFont="1" applyFill="1" applyBorder="1"/>
    <xf numFmtId="3" fontId="58" fillId="35" borderId="26" xfId="0" applyNumberFormat="1" applyFont="1" applyFill="1" applyBorder="1"/>
    <xf numFmtId="165" fontId="0" fillId="35" borderId="26" xfId="0" applyNumberFormat="1" applyFont="1" applyFill="1" applyBorder="1"/>
    <xf numFmtId="165" fontId="0" fillId="35" borderId="26" xfId="0" applyNumberFormat="1" applyFont="1" applyFill="1" applyBorder="1" applyAlignment="1">
      <alignment vertical="center"/>
    </xf>
    <xf numFmtId="165" fontId="0" fillId="35" borderId="26" xfId="0" applyNumberFormat="1" applyFill="1" applyBorder="1"/>
    <xf numFmtId="3" fontId="50" fillId="35" borderId="26" xfId="0" applyNumberFormat="1" applyFont="1" applyFill="1" applyBorder="1" applyAlignment="1">
      <alignment vertical="center" wrapText="1"/>
    </xf>
    <xf numFmtId="3" fontId="51" fillId="35" borderId="26" xfId="0" applyNumberFormat="1" applyFont="1" applyFill="1" applyBorder="1" applyAlignment="1">
      <alignment vertical="center" wrapText="1"/>
    </xf>
    <xf numFmtId="3" fontId="49" fillId="35" borderId="26" xfId="0" applyNumberFormat="1" applyFont="1" applyFill="1" applyBorder="1" applyAlignment="1">
      <alignment horizontal="right" vertical="center" wrapText="1"/>
    </xf>
    <xf numFmtId="3" fontId="13" fillId="35" borderId="26" xfId="0" applyNumberFormat="1" applyFont="1" applyFill="1" applyBorder="1" applyAlignment="1">
      <alignment horizontal="right" vertical="center" wrapText="1"/>
    </xf>
    <xf numFmtId="4" fontId="12" fillId="35" borderId="26" xfId="0" applyNumberFormat="1" applyFont="1" applyFill="1" applyBorder="1" applyAlignment="1">
      <alignment horizontal="right" vertical="center" wrapText="1"/>
    </xf>
    <xf numFmtId="0" fontId="70" fillId="29" borderId="25" xfId="0" applyFont="1" applyFill="1" applyBorder="1" applyAlignment="1">
      <alignment horizontal="center" vertical="center"/>
    </xf>
    <xf numFmtId="0" fontId="70" fillId="29" borderId="25" xfId="0" applyFont="1" applyFill="1" applyBorder="1" applyAlignment="1">
      <alignment vertical="center" wrapText="1"/>
    </xf>
    <xf numFmtId="167" fontId="70" fillId="29" borderId="25" xfId="0" applyNumberFormat="1" applyFont="1" applyFill="1" applyBorder="1" applyAlignment="1">
      <alignment vertical="center"/>
    </xf>
    <xf numFmtId="0" fontId="70" fillId="29" borderId="25" xfId="0" applyFont="1" applyFill="1" applyBorder="1" applyAlignment="1">
      <alignment wrapText="1"/>
    </xf>
    <xf numFmtId="167" fontId="71" fillId="29" borderId="25" xfId="0" applyNumberFormat="1" applyFont="1" applyFill="1" applyBorder="1" applyAlignment="1">
      <alignment vertical="center"/>
    </xf>
    <xf numFmtId="170" fontId="71" fillId="29" borderId="25" xfId="11" applyNumberFormat="1" applyFont="1" applyFill="1" applyBorder="1" applyAlignment="1">
      <alignment vertical="center"/>
    </xf>
    <xf numFmtId="2" fontId="6" fillId="31" borderId="43" xfId="7" applyNumberFormat="1" applyFont="1" applyFill="1" applyBorder="1" applyAlignment="1">
      <alignment horizontal="center" vertical="center"/>
    </xf>
    <xf numFmtId="2" fontId="19" fillId="32" borderId="28" xfId="7" applyNumberFormat="1" applyFont="1" applyFill="1" applyBorder="1" applyAlignment="1">
      <alignment horizontal="center" vertical="center" wrapText="1"/>
    </xf>
    <xf numFmtId="4" fontId="38" fillId="13" borderId="28" xfId="7" applyNumberFormat="1" applyFont="1" applyFill="1" applyBorder="1" applyAlignment="1">
      <alignment horizontal="center" vertical="center"/>
    </xf>
    <xf numFmtId="164" fontId="12" fillId="35" borderId="26" xfId="11" applyNumberFormat="1" applyFont="1" applyFill="1" applyBorder="1"/>
    <xf numFmtId="4" fontId="10" fillId="35" borderId="26" xfId="0" applyNumberFormat="1" applyFont="1" applyFill="1" applyBorder="1" applyAlignment="1">
      <alignment horizontal="center"/>
    </xf>
    <xf numFmtId="164" fontId="12" fillId="11" borderId="26" xfId="11" applyNumberFormat="1" applyFont="1" applyFill="1" applyBorder="1" applyAlignment="1">
      <alignment horizontal="right" vertical="center"/>
    </xf>
    <xf numFmtId="4" fontId="9" fillId="13" borderId="26" xfId="0" applyNumberFormat="1" applyFont="1" applyFill="1" applyBorder="1" applyAlignment="1">
      <alignment horizontal="right" vertical="center"/>
    </xf>
    <xf numFmtId="4" fontId="0" fillId="35" borderId="26" xfId="0" applyNumberFormat="1" applyFont="1" applyFill="1" applyBorder="1"/>
    <xf numFmtId="4" fontId="10" fillId="11" borderId="26" xfId="0" applyNumberFormat="1" applyFont="1" applyFill="1" applyBorder="1" applyAlignment="1">
      <alignment vertical="center"/>
    </xf>
    <xf numFmtId="0" fontId="31" fillId="0" borderId="29" xfId="0" applyFont="1" applyBorder="1" applyAlignment="1">
      <alignment horizontal="center"/>
    </xf>
    <xf numFmtId="3" fontId="10" fillId="10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50" fillId="10" borderId="26" xfId="0" applyFont="1" applyFill="1" applyBorder="1" applyAlignment="1">
      <alignment horizontal="center" vertical="center" wrapText="1"/>
    </xf>
    <xf numFmtId="49" fontId="10" fillId="10" borderId="2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10" fillId="10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56" fillId="10" borderId="26" xfId="0" applyFont="1" applyFill="1" applyBorder="1" applyAlignment="1">
      <alignment horizontal="center" vertical="center" wrapText="1"/>
    </xf>
    <xf numFmtId="0" fontId="56" fillId="10" borderId="26" xfId="0" applyFont="1" applyFill="1" applyBorder="1" applyAlignment="1">
      <alignment horizontal="center" vertical="center"/>
    </xf>
    <xf numFmtId="171" fontId="12" fillId="10" borderId="34" xfId="11" applyNumberFormat="1" applyFont="1" applyFill="1" applyBorder="1" applyAlignment="1">
      <alignment horizontal="center" vertical="center" wrapText="1"/>
    </xf>
    <xf numFmtId="171" fontId="12" fillId="10" borderId="33" xfId="11" applyNumberFormat="1" applyFont="1" applyFill="1" applyBorder="1" applyAlignment="1">
      <alignment horizontal="center" vertical="center" wrapText="1"/>
    </xf>
    <xf numFmtId="3" fontId="12" fillId="10" borderId="34" xfId="0" applyNumberFormat="1" applyFont="1" applyFill="1" applyBorder="1" applyAlignment="1">
      <alignment horizontal="center" vertical="center" wrapText="1"/>
    </xf>
    <xf numFmtId="3" fontId="12" fillId="10" borderId="33" xfId="0" applyNumberFormat="1" applyFont="1" applyFill="1" applyBorder="1" applyAlignment="1">
      <alignment horizontal="center" vertical="center" wrapText="1"/>
    </xf>
    <xf numFmtId="166" fontId="12" fillId="10" borderId="35" xfId="0" applyNumberFormat="1" applyFont="1" applyFill="1" applyBorder="1" applyAlignment="1">
      <alignment horizontal="center" vertical="center" wrapText="1"/>
    </xf>
    <xf numFmtId="166" fontId="12" fillId="10" borderId="36" xfId="0" applyNumberFormat="1" applyFont="1" applyFill="1" applyBorder="1" applyAlignment="1">
      <alignment horizontal="center" vertical="center" wrapText="1"/>
    </xf>
    <xf numFmtId="166" fontId="12" fillId="10" borderId="37" xfId="0" applyNumberFormat="1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49" fontId="12" fillId="10" borderId="26" xfId="0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12" fillId="10" borderId="26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49" fontId="11" fillId="8" borderId="5" xfId="1" applyNumberFormat="1" applyFont="1" applyFill="1" applyBorder="1" applyAlignment="1">
      <alignment horizontal="center" vertical="center"/>
    </xf>
    <xf numFmtId="49" fontId="11" fillId="8" borderId="2" xfId="1" applyNumberFormat="1" applyFont="1" applyFill="1" applyBorder="1" applyAlignment="1">
      <alignment horizontal="center" vertical="center"/>
    </xf>
    <xf numFmtId="49" fontId="11" fillId="8" borderId="6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7" borderId="5" xfId="1" applyNumberFormat="1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center" vertical="center"/>
    </xf>
    <xf numFmtId="49" fontId="3" fillId="7" borderId="6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171" fontId="10" fillId="10" borderId="34" xfId="11" applyNumberFormat="1" applyFont="1" applyFill="1" applyBorder="1" applyAlignment="1">
      <alignment horizontal="center" wrapText="1"/>
    </xf>
    <xf numFmtId="171" fontId="10" fillId="10" borderId="33" xfId="11" applyNumberFormat="1" applyFont="1" applyFill="1" applyBorder="1" applyAlignment="1">
      <alignment horizontal="center" wrapText="1"/>
    </xf>
    <xf numFmtId="3" fontId="10" fillId="10" borderId="34" xfId="0" applyNumberFormat="1" applyFont="1" applyFill="1" applyBorder="1" applyAlignment="1">
      <alignment horizontal="center" vertical="center" wrapText="1"/>
    </xf>
    <xf numFmtId="3" fontId="10" fillId="10" borderId="33" xfId="0" applyNumberFormat="1" applyFont="1" applyFill="1" applyBorder="1" applyAlignment="1">
      <alignment horizontal="center" vertical="center" wrapText="1"/>
    </xf>
    <xf numFmtId="166" fontId="10" fillId="10" borderId="35" xfId="0" applyNumberFormat="1" applyFont="1" applyFill="1" applyBorder="1" applyAlignment="1">
      <alignment horizontal="center" vertical="center" wrapText="1"/>
    </xf>
    <xf numFmtId="171" fontId="10" fillId="10" borderId="34" xfId="11" applyNumberFormat="1" applyFont="1" applyFill="1" applyBorder="1" applyAlignment="1">
      <alignment horizontal="center" vertical="center" wrapText="1"/>
    </xf>
    <xf numFmtId="171" fontId="10" fillId="10" borderId="33" xfId="11" applyNumberFormat="1" applyFont="1" applyFill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 wrapText="1"/>
    </xf>
    <xf numFmtId="0" fontId="42" fillId="0" borderId="30" xfId="7" applyFont="1" applyBorder="1" applyAlignment="1">
      <alignment horizontal="center" vertical="center"/>
    </xf>
    <xf numFmtId="0" fontId="6" fillId="0" borderId="28" xfId="7" applyFont="1" applyBorder="1" applyAlignment="1">
      <alignment horizontal="center" vertical="center"/>
    </xf>
    <xf numFmtId="0" fontId="19" fillId="0" borderId="28" xfId="7" applyFont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0" fontId="18" fillId="0" borderId="0" xfId="5" applyFont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69" fillId="11" borderId="39" xfId="0" applyFont="1" applyFill="1" applyBorder="1" applyAlignment="1">
      <alignment horizontal="center" vertical="center" wrapText="1"/>
    </xf>
    <xf numFmtId="0" fontId="69" fillId="11" borderId="40" xfId="0" applyFont="1" applyFill="1" applyBorder="1" applyAlignment="1">
      <alignment horizontal="center" vertical="center" wrapText="1"/>
    </xf>
    <xf numFmtId="0" fontId="69" fillId="11" borderId="45" xfId="0" applyFont="1" applyFill="1" applyBorder="1" applyAlignment="1">
      <alignment horizontal="center" vertical="center"/>
    </xf>
    <xf numFmtId="0" fontId="69" fillId="11" borderId="41" xfId="0" applyFont="1" applyFill="1" applyBorder="1" applyAlignment="1">
      <alignment horizontal="center" vertical="center"/>
    </xf>
    <xf numFmtId="0" fontId="69" fillId="11" borderId="4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0" fillId="11" borderId="25" xfId="0" applyFont="1" applyFill="1" applyBorder="1" applyAlignment="1">
      <alignment horizontal="center" vertical="center" wrapText="1"/>
    </xf>
    <xf numFmtId="170" fontId="10" fillId="11" borderId="25" xfId="11" applyNumberFormat="1" applyFont="1" applyFill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9" fillId="0" borderId="0" xfId="7" applyFont="1" applyAlignment="1">
      <alignment horizontal="center"/>
    </xf>
    <xf numFmtId="0" fontId="19" fillId="10" borderId="26" xfId="6" applyFont="1" applyFill="1" applyBorder="1" applyAlignment="1">
      <alignment horizontal="left"/>
    </xf>
    <xf numFmtId="3" fontId="3" fillId="14" borderId="5" xfId="1" applyNumberFormat="1" applyFont="1" applyFill="1" applyBorder="1" applyAlignment="1">
      <alignment horizontal="center" vertical="center" wrapText="1"/>
    </xf>
    <xf numFmtId="3" fontId="3" fillId="14" borderId="6" xfId="1" applyNumberFormat="1" applyFont="1" applyFill="1" applyBorder="1" applyAlignment="1">
      <alignment horizontal="center" vertical="center" wrapText="1"/>
    </xf>
    <xf numFmtId="49" fontId="3" fillId="2" borderId="31" xfId="1" applyNumberFormat="1" applyFont="1" applyFill="1" applyBorder="1" applyAlignment="1">
      <alignment horizontal="center" vertical="center"/>
    </xf>
    <xf numFmtId="49" fontId="3" fillId="2" borderId="32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5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14" borderId="16" xfId="1" applyNumberFormat="1" applyFont="1" applyFill="1" applyBorder="1" applyAlignment="1">
      <alignment horizontal="center" vertical="center" wrapText="1"/>
    </xf>
    <xf numFmtId="3" fontId="3" fillId="14" borderId="17" xfId="1" applyNumberFormat="1" applyFont="1" applyFill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49" fontId="11" fillId="8" borderId="19" xfId="1" applyNumberFormat="1" applyFont="1" applyFill="1" applyBorder="1" applyAlignment="1">
      <alignment horizontal="center" vertical="center"/>
    </xf>
    <xf numFmtId="49" fontId="11" fillId="8" borderId="20" xfId="1" applyNumberFormat="1" applyFont="1" applyFill="1" applyBorder="1" applyAlignment="1">
      <alignment horizontal="center" vertical="center"/>
    </xf>
    <xf numFmtId="49" fontId="11" fillId="8" borderId="21" xfId="1" applyNumberFormat="1" applyFont="1" applyFill="1" applyBorder="1" applyAlignment="1">
      <alignment horizontal="center" vertical="center"/>
    </xf>
    <xf numFmtId="3" fontId="3" fillId="2" borderId="18" xfId="1" applyNumberFormat="1" applyFont="1" applyFill="1" applyBorder="1" applyAlignment="1">
      <alignment horizontal="center" vertical="center" wrapText="1"/>
    </xf>
    <xf numFmtId="3" fontId="3" fillId="17" borderId="16" xfId="1" applyNumberFormat="1" applyFont="1" applyFill="1" applyBorder="1" applyAlignment="1">
      <alignment horizontal="center" vertical="center" wrapText="1"/>
    </xf>
    <xf numFmtId="3" fontId="3" fillId="17" borderId="17" xfId="1" applyNumberFormat="1" applyFont="1" applyFill="1" applyBorder="1" applyAlignment="1">
      <alignment horizontal="center" vertical="center" wrapText="1"/>
    </xf>
    <xf numFmtId="3" fontId="3" fillId="14" borderId="1" xfId="1" applyNumberFormat="1" applyFont="1" applyFill="1" applyBorder="1" applyAlignment="1">
      <alignment horizontal="center" vertical="center" wrapText="1"/>
    </xf>
    <xf numFmtId="3" fontId="3" fillId="14" borderId="10" xfId="1" applyNumberFormat="1" applyFont="1" applyFill="1" applyBorder="1" applyAlignment="1">
      <alignment horizontal="center" vertical="center" wrapText="1"/>
    </xf>
  </cellXfs>
  <cellStyles count="14">
    <cellStyle name="Ezres" xfId="11" builtinId="3"/>
    <cellStyle name="Ezres 2" xfId="2" xr:uid="{00000000-0005-0000-0000-000001000000}"/>
    <cellStyle name="Ezres 2 2" xfId="3" xr:uid="{00000000-0005-0000-0000-000002000000}"/>
    <cellStyle name="Ezres 3" xfId="4" xr:uid="{00000000-0005-0000-0000-000003000000}"/>
    <cellStyle name="Ezres 4" xfId="12" xr:uid="{00000000-0005-0000-0000-000039000000}"/>
    <cellStyle name="Ezres 5" xfId="13" xr:uid="{00000000-0005-0000-0000-00003A000000}"/>
    <cellStyle name="Normál" xfId="0" builtinId="0"/>
    <cellStyle name="Normál 2" xfId="5" xr:uid="{00000000-0005-0000-0000-000005000000}"/>
    <cellStyle name="Normál 2 2" xfId="6" xr:uid="{00000000-0005-0000-0000-000006000000}"/>
    <cellStyle name="Normál 3" xfId="7" xr:uid="{00000000-0005-0000-0000-000007000000}"/>
    <cellStyle name="Normál 4" xfId="1" xr:uid="{00000000-0005-0000-0000-000008000000}"/>
    <cellStyle name="Százalék 2" xfId="8" xr:uid="{00000000-0005-0000-0000-000009000000}"/>
    <cellStyle name="Százalék 3" xfId="9" xr:uid="{00000000-0005-0000-0000-00000A000000}"/>
    <cellStyle name="TableStyleLight1" xfId="10" xr:uid="{00000000-0005-0000-0000-00000B000000}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El&#337;terjeszt&#233;sek\&#214;nkorm&#225;nyzat%20el&#337;terjeszt&#233;sei\2015%20&#233;v\Els&#337;%20f&#233;l&#233;v\20150226\Koltsegvetes%202015\V&#233;gleges%20anyagok\Ktgv_2015_2015_02_25_ja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R&#233;gi%20t&#225;bla\Ktgv_2015_elso_olvasat_2015_10_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Ktgv_2015_elso_olvasat_2015_10_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olosin\Documents\2019%20&#233;vi%20k&#246;lts&#233;gvet&#233;s%20tervez&#233;s\k&#246;nyvvizsg&#225;l&#243;nak\jav&#237;tott%20el&#337;terjeszt&#233;s%20teljes\Ktgv_2019_tablak_rendelet_mell&#233;klete_2018_v&#225;rhat&#243;_teljes&#237;t&#233;sekkel_k&#246;nyvvizsg_j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Óvodai étkeztetés 562912</v>
          </cell>
          <cell r="E1" t="str">
            <v>Óvodai nevelés 851011</v>
          </cell>
          <cell r="F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  <cell r="J1">
            <v>0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0</v>
          </cell>
        </row>
        <row r="36">
          <cell r="D36">
            <v>2312651</v>
          </cell>
        </row>
      </sheetData>
      <sheetData sheetId="7" refreshError="1"/>
      <sheetData sheetId="8" refreshError="1">
        <row r="24">
          <cell r="D24">
            <v>304858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">
          <cell r="J6">
            <v>4630</v>
          </cell>
          <cell r="K6">
            <v>1250</v>
          </cell>
        </row>
        <row r="7">
          <cell r="J7">
            <v>39854</v>
          </cell>
          <cell r="K7">
            <v>10760</v>
          </cell>
        </row>
        <row r="8">
          <cell r="J8">
            <v>787</v>
          </cell>
          <cell r="K8">
            <v>213</v>
          </cell>
        </row>
        <row r="9">
          <cell r="J9">
            <v>27874</v>
          </cell>
          <cell r="K9">
            <v>7526</v>
          </cell>
        </row>
        <row r="10">
          <cell r="J10">
            <v>25984</v>
          </cell>
          <cell r="K10">
            <v>7016</v>
          </cell>
        </row>
        <row r="11">
          <cell r="J11">
            <v>56032</v>
          </cell>
          <cell r="K11">
            <v>15129</v>
          </cell>
        </row>
        <row r="12">
          <cell r="J12">
            <v>3307</v>
          </cell>
          <cell r="K12">
            <v>893</v>
          </cell>
        </row>
        <row r="13">
          <cell r="J13">
            <v>5079</v>
          </cell>
          <cell r="K13">
            <v>1371</v>
          </cell>
        </row>
        <row r="14">
          <cell r="J14">
            <v>138</v>
          </cell>
          <cell r="K14">
            <v>37</v>
          </cell>
        </row>
        <row r="15">
          <cell r="J15">
            <v>13216</v>
          </cell>
          <cell r="K15">
            <v>3568</v>
          </cell>
        </row>
        <row r="16">
          <cell r="J16">
            <v>26</v>
          </cell>
          <cell r="K16">
            <v>7</v>
          </cell>
        </row>
        <row r="17">
          <cell r="J17">
            <v>46831</v>
          </cell>
          <cell r="K17">
            <v>12644</v>
          </cell>
        </row>
        <row r="18">
          <cell r="J18">
            <v>350</v>
          </cell>
          <cell r="K18">
            <v>95</v>
          </cell>
        </row>
        <row r="19">
          <cell r="J19">
            <v>11811</v>
          </cell>
          <cell r="K19">
            <v>3189</v>
          </cell>
        </row>
        <row r="22">
          <cell r="J22">
            <v>20079</v>
          </cell>
          <cell r="K22">
            <v>5421</v>
          </cell>
        </row>
        <row r="23">
          <cell r="J23">
            <v>300</v>
          </cell>
          <cell r="K23">
            <v>81</v>
          </cell>
        </row>
        <row r="24">
          <cell r="J24">
            <v>31024</v>
          </cell>
          <cell r="K24">
            <v>8376</v>
          </cell>
        </row>
        <row r="25">
          <cell r="J25">
            <v>11811</v>
          </cell>
          <cell r="K25">
            <v>3189</v>
          </cell>
        </row>
        <row r="26">
          <cell r="J26">
            <v>3544</v>
          </cell>
          <cell r="K26">
            <v>957</v>
          </cell>
        </row>
        <row r="27">
          <cell r="J27">
            <v>3937</v>
          </cell>
          <cell r="K27">
            <v>1063</v>
          </cell>
        </row>
        <row r="28">
          <cell r="J28">
            <v>3937</v>
          </cell>
          <cell r="K28">
            <v>1063</v>
          </cell>
        </row>
      </sheetData>
      <sheetData sheetId="22" refreshError="1">
        <row r="6">
          <cell r="J6">
            <v>46494</v>
          </cell>
          <cell r="K6">
            <v>12553</v>
          </cell>
        </row>
        <row r="7">
          <cell r="J7">
            <v>16882</v>
          </cell>
          <cell r="K7">
            <v>4558</v>
          </cell>
        </row>
        <row r="8">
          <cell r="J8">
            <v>25984</v>
          </cell>
          <cell r="K8">
            <v>7016</v>
          </cell>
        </row>
        <row r="12">
          <cell r="J12">
            <v>1295</v>
          </cell>
          <cell r="K12">
            <v>350</v>
          </cell>
        </row>
        <row r="13">
          <cell r="J13">
            <v>7874</v>
          </cell>
          <cell r="K13">
            <v>2126</v>
          </cell>
        </row>
        <row r="14">
          <cell r="J14">
            <v>8661</v>
          </cell>
          <cell r="K14">
            <v>2339</v>
          </cell>
        </row>
        <row r="15">
          <cell r="J15">
            <v>1969</v>
          </cell>
          <cell r="K15">
            <v>531</v>
          </cell>
        </row>
        <row r="16">
          <cell r="J16">
            <v>1181</v>
          </cell>
          <cell r="K16">
            <v>319</v>
          </cell>
        </row>
        <row r="17">
          <cell r="J17">
            <v>2835</v>
          </cell>
          <cell r="K17">
            <v>765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B154" t="str">
            <v>Felhalmozási kiadások összesen</v>
          </cell>
        </row>
        <row r="155"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B161" t="str">
            <v>1.1. Készletértékesítés bevétele</v>
          </cell>
        </row>
        <row r="162">
          <cell r="B162" t="str">
            <v>1.2. Szolgáltatások ellenértéke</v>
          </cell>
        </row>
        <row r="163">
          <cell r="B163" t="str">
            <v>1.3. Tulajdonosi bevételek</v>
          </cell>
        </row>
        <row r="164">
          <cell r="B164" t="str">
            <v>Egyéb bérleti díj</v>
          </cell>
        </row>
        <row r="165">
          <cell r="B165" t="str">
            <v>1.4. Ellátási díjak</v>
          </cell>
        </row>
        <row r="166">
          <cell r="B166" t="str">
            <v>1.5. Kiszámlázott általános forgalmi adó</v>
          </cell>
        </row>
        <row r="167">
          <cell r="B167" t="str">
            <v>1.6. Általános forgalmi adó visszatérítése</v>
          </cell>
        </row>
        <row r="168">
          <cell r="B168" t="str">
            <v>1.7. Kamatbevételek</v>
          </cell>
        </row>
        <row r="169"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B171" t="str">
            <v>3.1. Egyéb működési célú átvett pénzeszközök</v>
          </cell>
        </row>
      </sheetData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yenlegmutató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2E VÉA"/>
      <sheetName val="2F KVA"/>
      <sheetName val="3A PH"/>
      <sheetName val="3B PH fel"/>
      <sheetName val="4A Walla"/>
      <sheetName val="4B Nyitnikék"/>
      <sheetName val="4C Bóbita"/>
      <sheetName val="4D MMMH"/>
      <sheetName val="4E Könyvtár"/>
      <sheetName val="4F Segítő Kéz"/>
      <sheetName val="4G Szérüskert"/>
      <sheetName val="Walla"/>
      <sheetName val="4H VG bev kiad"/>
      <sheetName val="Könyvtár"/>
      <sheetName val="5 GSZNR fel"/>
      <sheetName val="6. létszámkeret"/>
      <sheetName val="Beruházás"/>
      <sheetName val="Felújítás"/>
      <sheetName val="7. projektek"/>
      <sheetName val="8. stab tv"/>
      <sheetName val="9. Uniós tám"/>
      <sheetName val="10. címrend"/>
      <sheetName val="ÖK kiad"/>
      <sheetName val="MMMH"/>
      <sheetName val="Nyitnikék"/>
      <sheetName val="Bóbita"/>
      <sheetName val="SKSZ"/>
      <sheetName val="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9">
          <cell r="F29">
            <v>88980</v>
          </cell>
        </row>
      </sheetData>
      <sheetData sheetId="10" refreshError="1"/>
      <sheetData sheetId="11" refreshError="1">
        <row r="45">
          <cell r="V45">
            <v>16546</v>
          </cell>
        </row>
        <row r="46">
          <cell r="V46">
            <v>16546</v>
          </cell>
        </row>
      </sheetData>
      <sheetData sheetId="12" refreshError="1"/>
      <sheetData sheetId="13" refreshError="1">
        <row r="42">
          <cell r="Q42">
            <v>1470</v>
          </cell>
        </row>
      </sheetData>
      <sheetData sheetId="14" refreshError="1">
        <row r="42">
          <cell r="Q42">
            <v>0</v>
          </cell>
        </row>
      </sheetData>
      <sheetData sheetId="15" refreshError="1">
        <row r="42">
          <cell r="Q42">
            <v>300</v>
          </cell>
        </row>
      </sheetData>
      <sheetData sheetId="16" refreshError="1">
        <row r="42">
          <cell r="Q42">
            <v>21114</v>
          </cell>
        </row>
      </sheetData>
      <sheetData sheetId="17" refreshError="1">
        <row r="42">
          <cell r="Q42">
            <v>771</v>
          </cell>
        </row>
      </sheetData>
      <sheetData sheetId="18" refreshError="1">
        <row r="42">
          <cell r="Q42">
            <v>250</v>
          </cell>
        </row>
      </sheetData>
      <sheetData sheetId="19" refreshError="1">
        <row r="42">
          <cell r="Q42">
            <v>2985</v>
          </cell>
        </row>
      </sheetData>
      <sheetData sheetId="20" refreshError="1"/>
      <sheetData sheetId="21" refreshError="1">
        <row r="42">
          <cell r="Q42">
            <v>14320</v>
          </cell>
        </row>
      </sheetData>
      <sheetData sheetId="22" refreshError="1"/>
      <sheetData sheetId="23" refreshError="1">
        <row r="13">
          <cell r="Q13">
            <v>1470</v>
          </cell>
        </row>
        <row r="41">
          <cell r="Q41">
            <v>300</v>
          </cell>
        </row>
        <row r="55">
          <cell r="Q55">
            <v>16758</v>
          </cell>
        </row>
        <row r="56">
          <cell r="Q56">
            <v>4356</v>
          </cell>
        </row>
        <row r="80">
          <cell r="Q80">
            <v>521</v>
          </cell>
        </row>
        <row r="91">
          <cell r="Q91">
            <v>250</v>
          </cell>
        </row>
        <row r="99">
          <cell r="Q99">
            <v>250</v>
          </cell>
        </row>
        <row r="123">
          <cell r="Q123">
            <v>2985</v>
          </cell>
        </row>
        <row r="144">
          <cell r="Q144">
            <v>3800</v>
          </cell>
        </row>
        <row r="155">
          <cell r="Q155">
            <v>1000</v>
          </cell>
        </row>
        <row r="160">
          <cell r="Q160">
            <v>4000</v>
          </cell>
        </row>
        <row r="170">
          <cell r="Q170">
            <v>5520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opLeftCell="A13" zoomScale="75" zoomScaleNormal="75" workbookViewId="0">
      <selection activeCell="F24" sqref="F24"/>
    </sheetView>
  </sheetViews>
  <sheetFormatPr defaultRowHeight="15" x14ac:dyDescent="0.25"/>
  <cols>
    <col min="1" max="1" width="80.7109375" customWidth="1"/>
    <col min="2" max="2" width="31.140625" customWidth="1"/>
  </cols>
  <sheetData>
    <row r="1" spans="1:2" ht="53.65" customHeight="1" x14ac:dyDescent="0.5">
      <c r="A1" s="987" t="s">
        <v>1031</v>
      </c>
      <c r="B1" s="987"/>
    </row>
    <row r="2" spans="1:2" ht="31.5" x14ac:dyDescent="0.5">
      <c r="A2" s="161" t="s">
        <v>588</v>
      </c>
      <c r="B2" s="162">
        <f>'0.Mérleg'!F9</f>
        <v>0.11331496015191078</v>
      </c>
    </row>
    <row r="3" spans="1:2" ht="63" x14ac:dyDescent="0.25">
      <c r="A3" s="396" t="s">
        <v>1310</v>
      </c>
      <c r="B3" s="397">
        <f>B2-'2D Céltartalék'!F34</f>
        <v>-171840.88668503985</v>
      </c>
    </row>
    <row r="4" spans="1:2" ht="31.5" x14ac:dyDescent="0.5">
      <c r="A4" s="163" t="s">
        <v>589</v>
      </c>
      <c r="B4" s="164">
        <f>'0.Mérleg'!L9</f>
        <v>0</v>
      </c>
    </row>
    <row r="5" spans="1:2" ht="63" customHeight="1" x14ac:dyDescent="0.5">
      <c r="A5" s="987" t="s">
        <v>1032</v>
      </c>
      <c r="B5" s="987"/>
    </row>
    <row r="6" spans="1:2" ht="31.5" x14ac:dyDescent="0.5">
      <c r="A6" s="165" t="s">
        <v>591</v>
      </c>
      <c r="B6" s="166">
        <f>'0.Mérleg'!F14</f>
        <v>902291.64999999991</v>
      </c>
    </row>
    <row r="7" spans="1:2" ht="31.5" x14ac:dyDescent="0.5">
      <c r="A7" s="167" t="s">
        <v>592</v>
      </c>
      <c r="B7" s="168">
        <f>'0.Mérleg'!L14</f>
        <v>0</v>
      </c>
    </row>
    <row r="8" spans="1:2" ht="60.75" customHeight="1" x14ac:dyDescent="0.5">
      <c r="A8" s="987" t="s">
        <v>1033</v>
      </c>
      <c r="B8" s="987"/>
    </row>
    <row r="9" spans="1:2" ht="31.5" x14ac:dyDescent="0.5">
      <c r="A9" s="165" t="s">
        <v>1029</v>
      </c>
      <c r="B9" s="166">
        <f>'0.Mérleg'!F16</f>
        <v>902291.76331496006</v>
      </c>
    </row>
    <row r="10" spans="1:2" ht="31.5" x14ac:dyDescent="0.5">
      <c r="A10" s="167" t="s">
        <v>1030</v>
      </c>
      <c r="B10" s="168">
        <f>'0.Mérleg'!L16</f>
        <v>0</v>
      </c>
    </row>
    <row r="11" spans="1:2" ht="53.65" customHeight="1" x14ac:dyDescent="0.5">
      <c r="A11" s="987" t="s">
        <v>1034</v>
      </c>
      <c r="B11" s="987"/>
    </row>
    <row r="12" spans="1:2" ht="39.75" customHeight="1" x14ac:dyDescent="0.5">
      <c r="A12" s="236" t="s">
        <v>1153</v>
      </c>
      <c r="B12" s="238">
        <f>'0.Mérleg'!F19</f>
        <v>1100000</v>
      </c>
    </row>
    <row r="13" spans="1:2" ht="42" customHeight="1" x14ac:dyDescent="0.5">
      <c r="A13" s="237" t="s">
        <v>1035</v>
      </c>
      <c r="B13" s="239">
        <f>'0.Mérleg'!F20</f>
        <v>0</v>
      </c>
    </row>
    <row r="14" spans="1:2" ht="41.25" customHeight="1" x14ac:dyDescent="0.5">
      <c r="A14" s="235" t="s">
        <v>1036</v>
      </c>
      <c r="B14" s="240">
        <f>B12+B13</f>
        <v>1100000</v>
      </c>
    </row>
    <row r="16" spans="1:2" ht="53.65" customHeight="1" x14ac:dyDescent="0.5">
      <c r="A16" s="987" t="s">
        <v>1305</v>
      </c>
      <c r="B16" s="987"/>
    </row>
    <row r="17" spans="1:6" ht="39.75" customHeight="1" x14ac:dyDescent="0.5">
      <c r="A17" s="235" t="s">
        <v>1306</v>
      </c>
      <c r="B17" s="240">
        <f>'0.Mérleg'!F23</f>
        <v>0</v>
      </c>
    </row>
    <row r="20" spans="1:6" s="94" customFormat="1" ht="69" customHeight="1" x14ac:dyDescent="0.25">
      <c r="A20" s="243" t="s">
        <v>1154</v>
      </c>
      <c r="B20" s="244">
        <f>IF('0.Mérleg'!F25-'0.Mérleg'!L25&gt;0,'0.Mérleg'!F25-'0.Mérleg'!L25,B37)</f>
        <v>0.23668503947556019</v>
      </c>
    </row>
    <row r="21" spans="1:6" ht="49.9" customHeight="1" x14ac:dyDescent="0.55000000000000004">
      <c r="B21" s="245">
        <f>'0.Mérleg'!F25-'0.Mérleg'!L25</f>
        <v>0.23668503947556019</v>
      </c>
    </row>
    <row r="22" spans="1:6" x14ac:dyDescent="0.25">
      <c r="F22">
        <v>138000</v>
      </c>
    </row>
    <row r="23" spans="1:6" x14ac:dyDescent="0.25">
      <c r="F23" s="841">
        <f>+B21+F22</f>
        <v>138000.23668503948</v>
      </c>
    </row>
    <row r="37" spans="2:2" x14ac:dyDescent="0.25">
      <c r="B37" t="s">
        <v>1143</v>
      </c>
    </row>
  </sheetData>
  <mergeCells count="5">
    <mergeCell ref="A1:B1"/>
    <mergeCell ref="A5:B5"/>
    <mergeCell ref="A8:B8"/>
    <mergeCell ref="A11:B11"/>
    <mergeCell ref="A16:B16"/>
  </mergeCells>
  <pageMargins left="0.7" right="0.7" top="0.75" bottom="0.75" header="0.3" footer="0.3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view="pageBreakPreview" zoomScale="75" zoomScaleNormal="100" zoomScaleSheetLayoutView="75" workbookViewId="0">
      <selection activeCell="L8" sqref="L8"/>
    </sheetView>
  </sheetViews>
  <sheetFormatPr defaultRowHeight="15" x14ac:dyDescent="0.25"/>
  <cols>
    <col min="1" max="1" width="5.7109375" customWidth="1"/>
    <col min="2" max="2" width="41" customWidth="1"/>
    <col min="3" max="6" width="11.7109375" customWidth="1"/>
    <col min="7" max="7" width="5.85546875" customWidth="1"/>
    <col min="8" max="8" width="46.85546875" customWidth="1"/>
    <col min="9" max="11" width="12.140625" customWidth="1"/>
    <col min="12" max="12" width="12.7109375" customWidth="1"/>
  </cols>
  <sheetData>
    <row r="1" spans="1:12" x14ac:dyDescent="0.25">
      <c r="J1" s="91"/>
      <c r="K1" s="91"/>
      <c r="L1" s="91" t="s">
        <v>302</v>
      </c>
    </row>
    <row r="2" spans="1:12" ht="60" x14ac:dyDescent="0.25">
      <c r="A2" s="120" t="s">
        <v>305</v>
      </c>
      <c r="B2" s="121" t="s">
        <v>470</v>
      </c>
      <c r="C2" s="394" t="s">
        <v>1461</v>
      </c>
      <c r="D2" s="122" t="s">
        <v>1527</v>
      </c>
      <c r="E2" s="394" t="s">
        <v>1496</v>
      </c>
      <c r="F2" s="692" t="s">
        <v>1499</v>
      </c>
      <c r="G2" s="120" t="s">
        <v>305</v>
      </c>
      <c r="H2" s="121" t="s">
        <v>586</v>
      </c>
      <c r="I2" s="394" t="s">
        <v>1461</v>
      </c>
      <c r="J2" s="394" t="s">
        <v>1527</v>
      </c>
      <c r="K2" s="394" t="s">
        <v>1496</v>
      </c>
      <c r="L2" s="777" t="s">
        <v>1499</v>
      </c>
    </row>
    <row r="3" spans="1:12" x14ac:dyDescent="0.25">
      <c r="A3" s="123" t="s">
        <v>309</v>
      </c>
      <c r="B3" s="124" t="s">
        <v>310</v>
      </c>
      <c r="C3" s="125">
        <f>SUM(C4:C7)</f>
        <v>3916065</v>
      </c>
      <c r="D3" s="125">
        <f t="shared" ref="D3" si="0">SUM(D4:D7)</f>
        <v>4223842</v>
      </c>
      <c r="E3" s="125">
        <f t="shared" ref="E3:F3" si="1">SUM(E4:E7)</f>
        <v>4385329</v>
      </c>
      <c r="F3" s="125">
        <f t="shared" si="1"/>
        <v>4177944.0810000002</v>
      </c>
      <c r="G3" s="123" t="s">
        <v>309</v>
      </c>
      <c r="H3" s="126" t="s">
        <v>587</v>
      </c>
      <c r="I3" s="127">
        <f>SUM(I4:I8)</f>
        <v>4122045.2</v>
      </c>
      <c r="J3" s="127" t="e">
        <f t="shared" ref="J3" si="2">SUM(J4:J8)</f>
        <v>#REF!</v>
      </c>
      <c r="K3" s="127">
        <f t="shared" ref="K3:L3" si="3">SUM(K4:K8)</f>
        <v>4378308</v>
      </c>
      <c r="L3" s="127">
        <f t="shared" si="3"/>
        <v>4177944.1943149604</v>
      </c>
    </row>
    <row r="4" spans="1:12" ht="30" x14ac:dyDescent="0.25">
      <c r="A4" s="128" t="s">
        <v>311</v>
      </c>
      <c r="B4" s="781" t="s">
        <v>312</v>
      </c>
      <c r="C4" s="130">
        <f>+'1A. Fő bev'!F5</f>
        <v>565149</v>
      </c>
      <c r="D4" s="130">
        <f>+'1A. Fő bev'!J5</f>
        <v>654738</v>
      </c>
      <c r="E4" s="130">
        <f>+'1A. Fő bev'!R5</f>
        <v>669516</v>
      </c>
      <c r="F4" s="130">
        <f>+'1A. Fő bev'!V5</f>
        <v>611832.08100000001</v>
      </c>
      <c r="G4" s="128" t="s">
        <v>311</v>
      </c>
      <c r="H4" s="131" t="s">
        <v>286</v>
      </c>
      <c r="I4" s="132">
        <f>+'1B. Fő kiad'!F5</f>
        <v>1516006</v>
      </c>
      <c r="J4" s="132">
        <f>+'1B. Fő kiad'!J5</f>
        <v>1557029</v>
      </c>
      <c r="K4" s="132">
        <f>+'1B. Fő kiad'!R5</f>
        <v>1369210</v>
      </c>
      <c r="L4" s="132">
        <f>+'1B. Fő kiad'!V5</f>
        <v>1583865.6</v>
      </c>
    </row>
    <row r="5" spans="1:12" ht="32.65" customHeight="1" x14ac:dyDescent="0.25">
      <c r="A5" s="128" t="s">
        <v>322</v>
      </c>
      <c r="B5" s="129" t="s">
        <v>488</v>
      </c>
      <c r="C5" s="130">
        <f>+'1A. Fő bev'!F10</f>
        <v>3107500</v>
      </c>
      <c r="D5" s="130">
        <f>+'1A. Fő bev'!J10</f>
        <v>3107500</v>
      </c>
      <c r="E5" s="130">
        <f>+'1A. Fő bev'!R10</f>
        <v>3295731</v>
      </c>
      <c r="F5" s="130">
        <f>+'1A. Fő bev'!V10</f>
        <v>3317500</v>
      </c>
      <c r="G5" s="128" t="s">
        <v>322</v>
      </c>
      <c r="H5" s="782" t="s">
        <v>335</v>
      </c>
      <c r="I5" s="132">
        <f>+'1B. Fő kiad'!F6</f>
        <v>313809</v>
      </c>
      <c r="J5" s="132">
        <f>+'1B. Fő kiad'!J6</f>
        <v>319589</v>
      </c>
      <c r="K5" s="132">
        <f>+'1B. Fő kiad'!R6</f>
        <v>262966</v>
      </c>
      <c r="L5" s="132">
        <f>+'1B. Fő kiad'!V6</f>
        <v>305671.864</v>
      </c>
    </row>
    <row r="6" spans="1:12" ht="17.649999999999999" customHeight="1" x14ac:dyDescent="0.25">
      <c r="A6" s="128" t="s">
        <v>315</v>
      </c>
      <c r="B6" s="129" t="s">
        <v>314</v>
      </c>
      <c r="C6" s="130">
        <f>+'1A. Fő bev'!F17</f>
        <v>243156</v>
      </c>
      <c r="D6" s="130">
        <f>+'1A. Fő bev'!J17</f>
        <v>453196</v>
      </c>
      <c r="E6" s="130">
        <f>+'1A. Fő bev'!R17</f>
        <v>419822</v>
      </c>
      <c r="F6" s="130">
        <f>+'1A. Fő bev'!V17</f>
        <v>248612</v>
      </c>
      <c r="G6" s="128" t="s">
        <v>315</v>
      </c>
      <c r="H6" s="131" t="s">
        <v>292</v>
      </c>
      <c r="I6" s="132">
        <f>+'1B. Fő kiad'!F7</f>
        <v>1454349.2</v>
      </c>
      <c r="J6" s="132">
        <f>+'1B. Fő kiad'!J7</f>
        <v>2147349</v>
      </c>
      <c r="K6" s="132">
        <f>+'1B. Fő kiad'!R7</f>
        <v>2335247</v>
      </c>
      <c r="L6" s="857">
        <f>+'1B. Fő kiad'!V7</f>
        <v>1446546.7303149605</v>
      </c>
    </row>
    <row r="7" spans="1:12" ht="17.649999999999999" customHeight="1" x14ac:dyDescent="0.25">
      <c r="A7" s="128" t="s">
        <v>336</v>
      </c>
      <c r="B7" s="129" t="s">
        <v>316</v>
      </c>
      <c r="C7" s="130">
        <f>+'1A. Fő bev'!F26</f>
        <v>260</v>
      </c>
      <c r="D7" s="130">
        <f>+'1A. Fő bev'!J26</f>
        <v>8408</v>
      </c>
      <c r="E7" s="130">
        <f>+'1A. Fő bev'!R26</f>
        <v>260</v>
      </c>
      <c r="F7" s="130">
        <f>+'1A. Fő bev'!V26</f>
        <v>0</v>
      </c>
      <c r="G7" s="128" t="s">
        <v>336</v>
      </c>
      <c r="H7" s="131" t="s">
        <v>337</v>
      </c>
      <c r="I7" s="132">
        <f>+'1B. Fő kiad'!F8</f>
        <v>30000</v>
      </c>
      <c r="J7" s="132">
        <f>+'1B. Fő kiad'!J8</f>
        <v>30223</v>
      </c>
      <c r="K7" s="132">
        <f>+'1B. Fő kiad'!R8</f>
        <v>11767</v>
      </c>
      <c r="L7" s="132">
        <f>+'1B. Fő kiad'!V8</f>
        <v>34000</v>
      </c>
    </row>
    <row r="8" spans="1:12" ht="17.649999999999999" customHeight="1" x14ac:dyDescent="0.25">
      <c r="A8" s="133"/>
      <c r="B8" s="133"/>
      <c r="C8" s="133"/>
      <c r="D8" s="133"/>
      <c r="E8" s="133"/>
      <c r="F8" s="133"/>
      <c r="G8" s="128" t="s">
        <v>338</v>
      </c>
      <c r="H8" s="131" t="s">
        <v>339</v>
      </c>
      <c r="I8" s="132">
        <f>+'1B. Fő kiad'!F9</f>
        <v>807881</v>
      </c>
      <c r="J8" s="132" t="e">
        <f>+'1B. Fő kiad'!J9</f>
        <v>#REF!</v>
      </c>
      <c r="K8" s="132">
        <f>+'1B. Fő kiad'!R9</f>
        <v>399118</v>
      </c>
      <c r="L8" s="857">
        <f>+'1B. Fő kiad'!V9</f>
        <v>807860</v>
      </c>
    </row>
    <row r="9" spans="1:12" ht="17.649999999999999" customHeight="1" x14ac:dyDescent="0.25">
      <c r="A9" s="134"/>
      <c r="B9" s="135" t="s">
        <v>588</v>
      </c>
      <c r="C9" s="135">
        <f>IF(C3-I3&lt;0,I3-C3,0)</f>
        <v>205980.20000000019</v>
      </c>
      <c r="D9" s="135" t="e">
        <f>IF(D3-J3&lt;0,J3-D3,0)</f>
        <v>#REF!</v>
      </c>
      <c r="E9" s="135">
        <f>IF(E3-K3&lt;0,K3-E3,0)</f>
        <v>0</v>
      </c>
      <c r="F9" s="135">
        <f>IF(F3-L3&lt;0,L3-F3,0)</f>
        <v>0.11331496015191078</v>
      </c>
      <c r="G9" s="136"/>
      <c r="H9" s="137" t="s">
        <v>589</v>
      </c>
      <c r="I9" s="137">
        <f>IF(C3-I3&gt;0,C3-I3,0)</f>
        <v>0</v>
      </c>
      <c r="J9" s="137" t="e">
        <f>IF(D3-J3&gt;0,D3-J3,0)</f>
        <v>#REF!</v>
      </c>
      <c r="K9" s="137">
        <f>IF(E3-K3&gt;0,E3-K3,0)</f>
        <v>7021</v>
      </c>
      <c r="L9" s="137">
        <f>IF(F3-L3&gt;0,F3-L3,0)</f>
        <v>0</v>
      </c>
    </row>
    <row r="10" spans="1:12" ht="17.649999999999999" customHeight="1" x14ac:dyDescent="0.25">
      <c r="A10" s="123" t="s">
        <v>318</v>
      </c>
      <c r="B10" s="124" t="s">
        <v>319</v>
      </c>
      <c r="C10" s="125">
        <f>SUM(C11:C13)</f>
        <v>391169</v>
      </c>
      <c r="D10" s="125">
        <f t="shared" ref="D10" si="4">SUM(D11:D13)</f>
        <v>591858</v>
      </c>
      <c r="E10" s="125">
        <f t="shared" ref="E10:F10" si="5">SUM(E11:E13)</f>
        <v>522058</v>
      </c>
      <c r="F10" s="125">
        <f t="shared" si="5"/>
        <v>494027</v>
      </c>
      <c r="G10" s="123" t="s">
        <v>318</v>
      </c>
      <c r="H10" s="126" t="s">
        <v>590</v>
      </c>
      <c r="I10" s="127">
        <f>SUM(I11:I13)</f>
        <v>1842758.24</v>
      </c>
      <c r="J10" s="127">
        <f t="shared" ref="J10" si="6">SUM(J11:J13)</f>
        <v>2016594.5</v>
      </c>
      <c r="K10" s="127">
        <f t="shared" ref="K10:L10" si="7">SUM(K11:K13)</f>
        <v>1779868</v>
      </c>
      <c r="L10" s="127">
        <f t="shared" si="7"/>
        <v>1396318.65</v>
      </c>
    </row>
    <row r="11" spans="1:12" ht="17.649999999999999" customHeight="1" x14ac:dyDescent="0.25">
      <c r="A11" s="128" t="s">
        <v>311</v>
      </c>
      <c r="B11" s="129" t="s">
        <v>320</v>
      </c>
      <c r="C11" s="130">
        <f>+'1A. Fő bev'!F30</f>
        <v>0</v>
      </c>
      <c r="D11" s="130">
        <f>+'1A. Fő bev'!J30</f>
        <v>14100</v>
      </c>
      <c r="E11" s="130">
        <f>+'1A. Fő bev'!R30</f>
        <v>21100</v>
      </c>
      <c r="F11" s="130">
        <f>+'1A. Fő bev'!V30</f>
        <v>200000</v>
      </c>
      <c r="G11" s="128" t="s">
        <v>311</v>
      </c>
      <c r="H11" s="131" t="s">
        <v>351</v>
      </c>
      <c r="I11" s="132">
        <f>+'1B. Fő kiad'!F16</f>
        <v>1547310.24</v>
      </c>
      <c r="J11" s="132">
        <f>+'1B. Fő kiad'!J16</f>
        <v>1765400.5</v>
      </c>
      <c r="K11" s="132">
        <f>+'1B. Fő kiad'!R16</f>
        <v>1581613</v>
      </c>
      <c r="L11" s="132">
        <f>+'1B. Fő kiad'!V16</f>
        <v>957880.65</v>
      </c>
    </row>
    <row r="12" spans="1:12" ht="17.649999999999999" customHeight="1" x14ac:dyDescent="0.25">
      <c r="A12" s="128" t="s">
        <v>322</v>
      </c>
      <c r="B12" s="129" t="s">
        <v>257</v>
      </c>
      <c r="C12" s="130">
        <f>+'1A. Fő bev'!F34</f>
        <v>385369</v>
      </c>
      <c r="D12" s="130">
        <f>+'1A. Fő bev'!J34</f>
        <v>495556</v>
      </c>
      <c r="E12" s="130">
        <f>+'1A. Fő bev'!R34</f>
        <v>498415</v>
      </c>
      <c r="F12" s="130">
        <f>+'1A. Fő bev'!V34</f>
        <v>243000</v>
      </c>
      <c r="G12" s="128" t="s">
        <v>322</v>
      </c>
      <c r="H12" s="131" t="s">
        <v>342</v>
      </c>
      <c r="I12" s="132">
        <f>+'1B. Fő kiad'!F17</f>
        <v>294748</v>
      </c>
      <c r="J12" s="132">
        <f>+'1B. Fő kiad'!J17</f>
        <v>247922</v>
      </c>
      <c r="K12" s="132">
        <f>+'1B. Fő kiad'!R17</f>
        <v>197683</v>
      </c>
      <c r="L12" s="132">
        <f>+'1B. Fő kiad'!V17</f>
        <v>437738</v>
      </c>
    </row>
    <row r="13" spans="1:12" ht="17.649999999999999" customHeight="1" x14ac:dyDescent="0.25">
      <c r="A13" s="128" t="s">
        <v>315</v>
      </c>
      <c r="B13" s="129" t="s">
        <v>325</v>
      </c>
      <c r="C13" s="130">
        <f>+'1A. Fő bev'!F39</f>
        <v>5800</v>
      </c>
      <c r="D13" s="130">
        <f>+'1A. Fő bev'!J39</f>
        <v>82202</v>
      </c>
      <c r="E13" s="130">
        <f>+'1A. Fő bev'!R39</f>
        <v>2543</v>
      </c>
      <c r="F13" s="130">
        <f>+'1A. Fő bev'!V39</f>
        <v>51027</v>
      </c>
      <c r="G13" s="128" t="s">
        <v>315</v>
      </c>
      <c r="H13" s="131" t="s">
        <v>343</v>
      </c>
      <c r="I13" s="132">
        <f>+'1B. Fő kiad'!F18</f>
        <v>700</v>
      </c>
      <c r="J13" s="132">
        <f>+'1B. Fő kiad'!J18</f>
        <v>3272</v>
      </c>
      <c r="K13" s="132">
        <f>+'1B. Fő kiad'!R18</f>
        <v>572</v>
      </c>
      <c r="L13" s="132">
        <f>+'1B. Fő kiad'!V18</f>
        <v>700</v>
      </c>
    </row>
    <row r="14" spans="1:12" ht="17.649999999999999" customHeight="1" x14ac:dyDescent="0.25">
      <c r="A14" s="134"/>
      <c r="B14" s="134" t="s">
        <v>591</v>
      </c>
      <c r="C14" s="135">
        <f>IF(C10-I10&lt;0,I10-C10,0)</f>
        <v>1451589.24</v>
      </c>
      <c r="D14" s="135">
        <f>IF(D10-J10&lt;0,J10-D10,0)</f>
        <v>1424736.5</v>
      </c>
      <c r="E14" s="135">
        <f>IF(E10-K10&lt;0,K10-E10,0)</f>
        <v>1257810</v>
      </c>
      <c r="F14" s="135">
        <f>IF(F10-L10&lt;0,L10-F10,0)</f>
        <v>902291.64999999991</v>
      </c>
      <c r="G14" s="138"/>
      <c r="H14" s="136" t="s">
        <v>592</v>
      </c>
      <c r="I14" s="137">
        <f>IF(C10-I10&gt;0,C10-I10,0)</f>
        <v>0</v>
      </c>
      <c r="J14" s="137">
        <f>IF(D10-J10&gt;0,D10-J10,0)</f>
        <v>0</v>
      </c>
      <c r="K14" s="137">
        <f>IF(E10-K10&gt;0,E10-K10,0)</f>
        <v>0</v>
      </c>
      <c r="L14" s="137">
        <f>IF(F10-L10&gt;0,F10-L10,0)</f>
        <v>0</v>
      </c>
    </row>
    <row r="15" spans="1:12" ht="17.649999999999999" customHeight="1" x14ac:dyDescent="0.25">
      <c r="A15" s="121"/>
      <c r="B15" s="139" t="s">
        <v>327</v>
      </c>
      <c r="C15" s="140">
        <f>C3+C10</f>
        <v>4307234</v>
      </c>
      <c r="D15" s="140">
        <f t="shared" ref="D15:E15" si="8">D3+D10</f>
        <v>4815700</v>
      </c>
      <c r="E15" s="140">
        <f t="shared" si="8"/>
        <v>4907387</v>
      </c>
      <c r="F15" s="140">
        <f t="shared" ref="F15" si="9">F3+F10</f>
        <v>4671971.0810000002</v>
      </c>
      <c r="G15" s="121"/>
      <c r="H15" s="139" t="s">
        <v>593</v>
      </c>
      <c r="I15" s="141">
        <f>I3+I10</f>
        <v>5964803.4400000004</v>
      </c>
      <c r="J15" s="141" t="e">
        <f t="shared" ref="J15:K15" si="10">J3+J10</f>
        <v>#REF!</v>
      </c>
      <c r="K15" s="141">
        <f t="shared" si="10"/>
        <v>6158176</v>
      </c>
      <c r="L15" s="141">
        <f t="shared" ref="L15" si="11">L3+L10</f>
        <v>5574262.8443149608</v>
      </c>
    </row>
    <row r="16" spans="1:12" ht="17.649999999999999" customHeight="1" x14ac:dyDescent="0.25">
      <c r="A16" s="142"/>
      <c r="B16" s="143" t="s">
        <v>594</v>
      </c>
      <c r="C16" s="143">
        <f>IF(I9+I14-C9-C14&lt;0,C9+C14-I9-I14,0)</f>
        <v>1657569.4400000002</v>
      </c>
      <c r="D16" s="143" t="e">
        <f>IF(J9+J14-D9-D14&lt;0,D9+D14-J9-J14,0)</f>
        <v>#REF!</v>
      </c>
      <c r="E16" s="143">
        <f>IF(K9+K14-E9-E14&lt;0,E9+E14-K9-K14,0)</f>
        <v>1250789</v>
      </c>
      <c r="F16" s="143">
        <f>IF(L9+L14-F9-F14&lt;0,F9+F14-L9-L14,0)</f>
        <v>902291.76331496006</v>
      </c>
      <c r="G16" s="144"/>
      <c r="H16" s="145" t="s">
        <v>595</v>
      </c>
      <c r="I16" s="143">
        <f>IF(I9+I14-C9-C14&gt;0,I9+I14-C9-C14,0)</f>
        <v>0</v>
      </c>
      <c r="J16" s="143" t="e">
        <f>IF(J9+J14-D9-D14&gt;0,J9+J14-D9-D14,0)</f>
        <v>#REF!</v>
      </c>
      <c r="K16" s="143">
        <f>IF(K9+K14-E9-E14&gt;0,K9+K14-E9-E14,0)</f>
        <v>0</v>
      </c>
      <c r="L16" s="143">
        <f>IF(L9+L14-F9-F14&gt;0,L9+L14-F9-F14,0)</f>
        <v>0</v>
      </c>
    </row>
    <row r="17" spans="1:12" ht="17.649999999999999" customHeight="1" x14ac:dyDescent="0.25">
      <c r="A17" s="123" t="s">
        <v>328</v>
      </c>
      <c r="B17" s="124" t="s">
        <v>329</v>
      </c>
      <c r="C17" s="125">
        <f>C18+C22</f>
        <v>2068000</v>
      </c>
      <c r="D17" s="125">
        <f>D18+D22</f>
        <v>2689212</v>
      </c>
      <c r="E17" s="125">
        <f>E18+E22</f>
        <v>2691661</v>
      </c>
      <c r="F17" s="125">
        <f>F18+F22</f>
        <v>1100000</v>
      </c>
      <c r="G17" s="123" t="s">
        <v>328</v>
      </c>
      <c r="H17" s="126" t="s">
        <v>596</v>
      </c>
      <c r="I17" s="127">
        <f>I18+I22</f>
        <v>410430</v>
      </c>
      <c r="J17" s="127">
        <f>J18+J22</f>
        <v>711873</v>
      </c>
      <c r="K17" s="127">
        <f>K18+K22</f>
        <v>311873</v>
      </c>
      <c r="L17" s="127">
        <f>L18+L22</f>
        <v>197708</v>
      </c>
    </row>
    <row r="18" spans="1:12" ht="17.649999999999999" customHeight="1" x14ac:dyDescent="0.25">
      <c r="A18" s="134"/>
      <c r="B18" s="135" t="s">
        <v>597</v>
      </c>
      <c r="C18" s="135">
        <f>C19+C20+C21</f>
        <v>1300000</v>
      </c>
      <c r="D18" s="135">
        <f>D19+D20+D21</f>
        <v>1689212</v>
      </c>
      <c r="E18" s="135">
        <f>E19+E20+E21</f>
        <v>1691661</v>
      </c>
      <c r="F18" s="135">
        <f>F19+F20+F21</f>
        <v>1100000</v>
      </c>
      <c r="G18" s="136"/>
      <c r="H18" s="137" t="s">
        <v>598</v>
      </c>
      <c r="I18" s="135">
        <f>I19+I20+I21</f>
        <v>410430</v>
      </c>
      <c r="J18" s="135">
        <f>J19+J20+J21</f>
        <v>711873</v>
      </c>
      <c r="K18" s="135">
        <f>K19+K20+K21</f>
        <v>311873</v>
      </c>
      <c r="L18" s="135">
        <f>L19+L20+L21</f>
        <v>197708</v>
      </c>
    </row>
    <row r="19" spans="1:12" ht="17.649999999999999" customHeight="1" x14ac:dyDescent="0.25">
      <c r="A19" s="146" t="s">
        <v>311</v>
      </c>
      <c r="B19" s="133" t="s">
        <v>368</v>
      </c>
      <c r="C19" s="130">
        <f>+'1A. Fő bev'!F54</f>
        <v>800000</v>
      </c>
      <c r="D19" s="130">
        <f>+'1A. Fő bev'!J54</f>
        <v>887769</v>
      </c>
      <c r="E19" s="130">
        <f>+'1A. Fő bev'!R54</f>
        <v>887768</v>
      </c>
      <c r="F19" s="130">
        <f>+'1A. Fő bev'!V54</f>
        <v>1100000</v>
      </c>
      <c r="G19" s="146" t="s">
        <v>311</v>
      </c>
      <c r="H19" s="147" t="s">
        <v>599</v>
      </c>
      <c r="I19" s="148"/>
      <c r="J19" s="148"/>
      <c r="K19" s="148"/>
      <c r="L19" s="148">
        <f>+'1B. Fő kiad'!V27</f>
        <v>180645</v>
      </c>
    </row>
    <row r="20" spans="1:12" ht="17.649999999999999" customHeight="1" x14ac:dyDescent="0.25">
      <c r="A20" s="146" t="s">
        <v>322</v>
      </c>
      <c r="B20" s="133" t="s">
        <v>670</v>
      </c>
      <c r="C20" s="130">
        <f>+'1A. Fő bev'!F56</f>
        <v>500000</v>
      </c>
      <c r="D20" s="130">
        <f>+'1A. Fő bev'!J56</f>
        <v>500000</v>
      </c>
      <c r="E20" s="130">
        <f>+'1A. Fő bev'!R56</f>
        <v>502450</v>
      </c>
      <c r="F20" s="130">
        <f>+'1A. Fő bev'!V56</f>
        <v>0</v>
      </c>
      <c r="G20" s="146" t="s">
        <v>322</v>
      </c>
      <c r="H20" s="147" t="s">
        <v>1694</v>
      </c>
      <c r="I20" s="148">
        <f>+'1B. Fő kiad'!F30</f>
        <v>400000</v>
      </c>
      <c r="J20" s="148">
        <f>+'1B. Fő kiad'!J30</f>
        <v>400000</v>
      </c>
      <c r="K20" s="148">
        <f>+'1B. Fő kiad'!R32</f>
        <v>0</v>
      </c>
      <c r="L20" s="148">
        <f>+'1B. Fő kiad'!V32</f>
        <v>0</v>
      </c>
    </row>
    <row r="21" spans="1:12" ht="17.649999999999999" customHeight="1" x14ac:dyDescent="0.25">
      <c r="A21" s="783" t="s">
        <v>315</v>
      </c>
      <c r="B21" s="784" t="s">
        <v>1528</v>
      </c>
      <c r="C21" s="785">
        <f>+'1A. Fő bev'!F53</f>
        <v>0</v>
      </c>
      <c r="D21" s="785">
        <f>+'1A. Fő bev'!J53</f>
        <v>301443</v>
      </c>
      <c r="E21" s="785">
        <f>+'1A. Fő bev'!R53</f>
        <v>301443</v>
      </c>
      <c r="F21" s="785">
        <f>+'1A. Fő bev'!V53</f>
        <v>0</v>
      </c>
      <c r="G21" s="783" t="s">
        <v>315</v>
      </c>
      <c r="H21" s="786" t="s">
        <v>1528</v>
      </c>
      <c r="I21" s="148">
        <f>+'1B. Fő kiad'!F29</f>
        <v>10430</v>
      </c>
      <c r="J21" s="148">
        <f>+'1B. Fő kiad'!J29</f>
        <v>311873</v>
      </c>
      <c r="K21" s="148">
        <f>+'1B. Fő kiad'!R29</f>
        <v>311873</v>
      </c>
      <c r="L21" s="787">
        <f>+'1B. Fő kiad'!V29</f>
        <v>17063</v>
      </c>
    </row>
    <row r="22" spans="1:12" ht="17.649999999999999" customHeight="1" x14ac:dyDescent="0.25">
      <c r="A22" s="134"/>
      <c r="B22" s="135" t="s">
        <v>601</v>
      </c>
      <c r="C22" s="135">
        <f>C23+C24</f>
        <v>768000</v>
      </c>
      <c r="D22" s="135">
        <f t="shared" ref="D22:E22" si="12">D23+D24</f>
        <v>1000000</v>
      </c>
      <c r="E22" s="135">
        <f t="shared" si="12"/>
        <v>1000000</v>
      </c>
      <c r="F22" s="135">
        <f t="shared" ref="F22" si="13">F23+F24</f>
        <v>0</v>
      </c>
      <c r="G22" s="136"/>
      <c r="H22" s="137" t="s">
        <v>602</v>
      </c>
      <c r="I22" s="137">
        <f>I23</f>
        <v>0</v>
      </c>
      <c r="J22" s="137">
        <f t="shared" ref="J22:L22" si="14">J23</f>
        <v>0</v>
      </c>
      <c r="K22" s="137">
        <f t="shared" si="14"/>
        <v>0</v>
      </c>
      <c r="L22" s="137">
        <f t="shared" si="14"/>
        <v>0</v>
      </c>
    </row>
    <row r="23" spans="1:12" ht="17.649999999999999" customHeight="1" x14ac:dyDescent="0.25">
      <c r="A23" s="146" t="s">
        <v>311</v>
      </c>
      <c r="B23" s="133" t="s">
        <v>330</v>
      </c>
      <c r="C23" s="130">
        <f>+'1A. Fő bev'!F48</f>
        <v>768000</v>
      </c>
      <c r="D23" s="130">
        <f>+'1A. Fő bev'!J48</f>
        <v>1000000</v>
      </c>
      <c r="E23" s="130">
        <f>+'1A. Fő bev'!R48</f>
        <v>1000000</v>
      </c>
      <c r="F23" s="130">
        <f>+'1A. Fő bev'!V48</f>
        <v>0</v>
      </c>
      <c r="G23" s="146" t="s">
        <v>311</v>
      </c>
      <c r="H23" s="147" t="s">
        <v>599</v>
      </c>
      <c r="I23" s="148">
        <v>0</v>
      </c>
      <c r="J23" s="132">
        <v>0</v>
      </c>
      <c r="K23" s="132">
        <v>0</v>
      </c>
      <c r="L23" s="132">
        <v>0</v>
      </c>
    </row>
    <row r="24" spans="1:12" ht="17.649999999999999" customHeight="1" x14ac:dyDescent="0.25">
      <c r="A24" s="146" t="s">
        <v>322</v>
      </c>
      <c r="B24" s="133" t="s">
        <v>548</v>
      </c>
      <c r="C24" s="130">
        <f>+'1A. Fő bev'!F57</f>
        <v>0</v>
      </c>
      <c r="D24" s="130">
        <f>+'1A. Fő bev'!N57</f>
        <v>0</v>
      </c>
      <c r="E24" s="130">
        <f>+'1A. Fő bev'!R57</f>
        <v>0</v>
      </c>
      <c r="F24" s="130">
        <f>+'1A. Fő bev'!V57</f>
        <v>0</v>
      </c>
      <c r="G24" s="146" t="s">
        <v>322</v>
      </c>
      <c r="H24" s="147" t="s">
        <v>600</v>
      </c>
      <c r="I24" s="148">
        <v>0</v>
      </c>
      <c r="J24" s="132">
        <v>0</v>
      </c>
      <c r="K24" s="132">
        <v>0</v>
      </c>
      <c r="L24" s="132">
        <v>0</v>
      </c>
    </row>
    <row r="25" spans="1:12" ht="17.649999999999999" customHeight="1" x14ac:dyDescent="0.25">
      <c r="A25" s="149"/>
      <c r="B25" s="150" t="s">
        <v>333</v>
      </c>
      <c r="C25" s="151">
        <f>C15+C17</f>
        <v>6375234</v>
      </c>
      <c r="D25" s="151">
        <f>D15+D17</f>
        <v>7504912</v>
      </c>
      <c r="E25" s="151">
        <f>E15+E17</f>
        <v>7599048</v>
      </c>
      <c r="F25" s="151">
        <f>F15+F17</f>
        <v>5771971.0810000002</v>
      </c>
      <c r="G25" s="149"/>
      <c r="H25" s="150" t="s">
        <v>344</v>
      </c>
      <c r="I25" s="152">
        <f>I15+I17</f>
        <v>6375233.4400000004</v>
      </c>
      <c r="J25" s="152" t="e">
        <f>J15+J17+1</f>
        <v>#REF!</v>
      </c>
      <c r="K25" s="152">
        <f>K15+K17</f>
        <v>6470049</v>
      </c>
      <c r="L25" s="152">
        <f>L15+L17</f>
        <v>5771970.8443149608</v>
      </c>
    </row>
    <row r="26" spans="1:12" ht="17.649999999999999" customHeight="1" x14ac:dyDescent="0.25">
      <c r="A26" s="115"/>
      <c r="B26" s="116"/>
      <c r="C26" s="117"/>
      <c r="D26" s="117"/>
      <c r="E26" s="117"/>
      <c r="F26" s="117"/>
      <c r="G26" s="115"/>
      <c r="H26" s="118"/>
      <c r="I26" s="119"/>
      <c r="J26" s="110"/>
      <c r="K26" s="395"/>
      <c r="L26" s="395"/>
    </row>
    <row r="27" spans="1:12" ht="17.649999999999999" customHeight="1" x14ac:dyDescent="0.25">
      <c r="A27" s="33"/>
      <c r="B27" s="34"/>
      <c r="C27" s="35"/>
      <c r="D27" s="35"/>
      <c r="E27" s="35"/>
      <c r="F27" s="35"/>
      <c r="G27" s="36"/>
      <c r="H27" s="92"/>
      <c r="I27" s="104"/>
      <c r="J27" s="111"/>
      <c r="K27" s="111"/>
      <c r="L27" s="111"/>
    </row>
    <row r="28" spans="1:12" ht="17.649999999999999" customHeight="1" x14ac:dyDescent="0.25">
      <c r="A28" s="36"/>
      <c r="B28" s="37"/>
      <c r="C28" s="45"/>
      <c r="D28" s="45"/>
      <c r="E28" s="45"/>
      <c r="F28" s="45"/>
      <c r="G28" s="36"/>
      <c r="H28" s="103"/>
      <c r="I28" s="46"/>
      <c r="J28" s="110"/>
      <c r="K28" s="110"/>
      <c r="L28" s="110"/>
    </row>
    <row r="29" spans="1:12" ht="17.649999999999999" customHeight="1" x14ac:dyDescent="0.25">
      <c r="A29" s="36"/>
      <c r="B29" s="37"/>
      <c r="C29" s="45"/>
      <c r="D29" s="45"/>
      <c r="E29" s="45"/>
      <c r="F29" s="45"/>
      <c r="G29" s="36"/>
      <c r="H29" s="103"/>
      <c r="I29" s="46"/>
      <c r="J29" s="110"/>
      <c r="K29" s="110"/>
      <c r="L29" s="110"/>
    </row>
    <row r="30" spans="1:12" ht="17.649999999999999" customHeight="1" x14ac:dyDescent="0.25">
      <c r="A30" s="36"/>
      <c r="B30" s="37"/>
      <c r="C30" s="45"/>
      <c r="D30" s="45"/>
      <c r="E30" s="45"/>
      <c r="F30" s="45"/>
      <c r="G30" s="36"/>
      <c r="H30" s="103"/>
      <c r="I30" s="46"/>
      <c r="J30" s="110"/>
      <c r="K30" s="110"/>
      <c r="L30" s="110"/>
    </row>
    <row r="31" spans="1:12" ht="17.649999999999999" customHeight="1" x14ac:dyDescent="0.25">
      <c r="A31" s="36"/>
      <c r="B31" s="37"/>
      <c r="C31" s="45"/>
      <c r="D31" s="45"/>
      <c r="E31" s="45"/>
      <c r="F31" s="45"/>
      <c r="G31" s="36"/>
      <c r="H31" s="105"/>
      <c r="I31" s="46"/>
      <c r="J31" s="110"/>
      <c r="K31" s="110"/>
      <c r="L31" s="110"/>
    </row>
    <row r="32" spans="1:12" ht="17.649999999999999" customHeight="1" x14ac:dyDescent="0.25">
      <c r="A32" s="36"/>
      <c r="B32" s="37"/>
      <c r="C32" s="45"/>
      <c r="D32" s="45"/>
      <c r="E32" s="45"/>
      <c r="F32" s="45"/>
      <c r="G32" s="36"/>
      <c r="H32" s="105"/>
      <c r="I32" s="46"/>
      <c r="J32" s="110"/>
      <c r="K32" s="110"/>
      <c r="L32" s="110"/>
    </row>
    <row r="33" spans="1:12" ht="17.649999999999999" customHeight="1" x14ac:dyDescent="0.25">
      <c r="A33" s="36"/>
      <c r="B33" s="37"/>
      <c r="C33" s="45"/>
      <c r="D33" s="45"/>
      <c r="E33" s="45"/>
      <c r="F33" s="45"/>
      <c r="G33" s="36"/>
      <c r="H33" s="105"/>
      <c r="I33" s="46"/>
      <c r="J33" s="110"/>
      <c r="K33" s="110"/>
      <c r="L33" s="110"/>
    </row>
    <row r="34" spans="1:12" ht="17.649999999999999" customHeight="1" x14ac:dyDescent="0.25">
      <c r="A34" s="36"/>
      <c r="B34" s="37"/>
      <c r="C34" s="45"/>
      <c r="D34" s="45"/>
      <c r="E34" s="45"/>
      <c r="F34" s="45"/>
      <c r="G34" s="36"/>
      <c r="H34" s="103"/>
      <c r="I34" s="46"/>
      <c r="J34" s="110"/>
      <c r="K34" s="110"/>
      <c r="L34" s="110"/>
    </row>
    <row r="35" spans="1:12" ht="17.649999999999999" customHeight="1" x14ac:dyDescent="0.25">
      <c r="A35" s="36"/>
      <c r="B35" s="37"/>
      <c r="C35" s="45"/>
      <c r="D35" s="45"/>
      <c r="E35" s="45"/>
      <c r="F35" s="45"/>
      <c r="G35" s="36"/>
      <c r="H35" s="103"/>
      <c r="I35" s="46"/>
      <c r="J35" s="110"/>
      <c r="K35" s="110"/>
      <c r="L35" s="110"/>
    </row>
    <row r="36" spans="1:12" ht="17.649999999999999" customHeight="1" x14ac:dyDescent="0.25">
      <c r="A36" s="33"/>
      <c r="B36" s="34"/>
      <c r="C36" s="35"/>
      <c r="D36" s="35"/>
      <c r="E36" s="35"/>
      <c r="F36" s="35"/>
      <c r="G36" s="36"/>
      <c r="H36" s="103"/>
      <c r="I36" s="46"/>
      <c r="J36" s="110"/>
      <c r="K36" s="110"/>
      <c r="L36" s="110"/>
    </row>
    <row r="37" spans="1:12" ht="17.649999999999999" customHeight="1" x14ac:dyDescent="0.25">
      <c r="A37" s="36"/>
      <c r="B37" s="37"/>
      <c r="C37" s="45"/>
      <c r="D37" s="45"/>
      <c r="E37" s="45"/>
      <c r="F37" s="45"/>
      <c r="G37" s="36"/>
      <c r="H37" s="103"/>
      <c r="I37" s="46"/>
      <c r="J37" s="110"/>
      <c r="K37" s="110"/>
      <c r="L37" s="110"/>
    </row>
    <row r="38" spans="1:12" ht="17.649999999999999" customHeight="1" x14ac:dyDescent="0.25">
      <c r="A38" s="36"/>
      <c r="B38" s="37"/>
      <c r="C38" s="45"/>
      <c r="D38" s="45"/>
      <c r="E38" s="45"/>
      <c r="F38" s="45"/>
      <c r="G38" s="36"/>
      <c r="H38" s="103"/>
      <c r="I38" s="46"/>
      <c r="J38" s="110"/>
      <c r="K38" s="110"/>
      <c r="L38" s="110"/>
    </row>
    <row r="39" spans="1:12" ht="17.649999999999999" customHeight="1" x14ac:dyDescent="0.25">
      <c r="G39" s="36"/>
      <c r="H39" s="103"/>
      <c r="I39" s="46"/>
      <c r="J39" s="110"/>
      <c r="K39" s="110"/>
      <c r="L39" s="110"/>
    </row>
    <row r="40" spans="1:12" ht="17.649999999999999" customHeight="1" x14ac:dyDescent="0.25">
      <c r="G40" s="36"/>
      <c r="H40" s="103"/>
      <c r="I40" s="46"/>
      <c r="J40" s="110"/>
      <c r="K40" s="110"/>
      <c r="L40" s="110"/>
    </row>
    <row r="41" spans="1:12" ht="17.649999999999999" customHeight="1" x14ac:dyDescent="0.25">
      <c r="A41" s="36"/>
      <c r="B41" s="39"/>
      <c r="C41" s="38"/>
      <c r="D41" s="38"/>
      <c r="E41" s="38"/>
      <c r="F41" s="38"/>
      <c r="G41" s="36"/>
      <c r="H41" s="103"/>
      <c r="I41" s="46"/>
      <c r="J41" s="110"/>
      <c r="K41" s="110"/>
      <c r="L41" s="110"/>
    </row>
    <row r="42" spans="1:12" ht="17.649999999999999" customHeight="1" x14ac:dyDescent="0.25">
      <c r="A42" s="36"/>
      <c r="B42" s="39"/>
      <c r="C42" s="38"/>
      <c r="D42" s="38"/>
      <c r="E42" s="38"/>
      <c r="F42" s="38"/>
      <c r="G42" s="36"/>
      <c r="H42" s="103"/>
      <c r="I42" s="46"/>
      <c r="J42" s="110"/>
      <c r="K42" s="110"/>
      <c r="L42" s="110"/>
    </row>
    <row r="43" spans="1:12" ht="17.649999999999999" customHeight="1" x14ac:dyDescent="0.25">
      <c r="A43" s="36"/>
      <c r="B43" s="39"/>
      <c r="C43" s="38"/>
      <c r="D43" s="38"/>
      <c r="E43" s="38"/>
      <c r="F43" s="38"/>
      <c r="G43" s="36"/>
      <c r="H43" s="92"/>
      <c r="I43" s="93"/>
      <c r="J43" s="112"/>
      <c r="K43" s="112"/>
      <c r="L43" s="112"/>
    </row>
    <row r="44" spans="1:12" ht="17.649999999999999" customHeight="1" x14ac:dyDescent="0.25">
      <c r="G44" s="36"/>
      <c r="H44" s="103"/>
      <c r="I44" s="46"/>
      <c r="J44" s="110"/>
      <c r="K44" s="110"/>
      <c r="L44" s="110"/>
    </row>
    <row r="45" spans="1:12" ht="17.649999999999999" customHeight="1" x14ac:dyDescent="0.25">
      <c r="A45" s="36"/>
      <c r="B45" s="39"/>
      <c r="C45" s="38"/>
      <c r="D45" s="38"/>
      <c r="E45" s="38"/>
      <c r="F45" s="38"/>
      <c r="G45" s="36"/>
      <c r="H45" s="103"/>
      <c r="I45" s="46"/>
      <c r="J45" s="110"/>
      <c r="K45" s="110"/>
      <c r="L45" s="110"/>
    </row>
    <row r="46" spans="1:12" ht="17.649999999999999" customHeight="1" x14ac:dyDescent="0.25">
      <c r="A46" s="36"/>
      <c r="B46" s="39"/>
      <c r="C46" s="38"/>
      <c r="D46" s="109"/>
      <c r="E46" s="109"/>
      <c r="F46" s="109"/>
    </row>
    <row r="47" spans="1:12" ht="17.649999999999999" customHeight="1" x14ac:dyDescent="0.25">
      <c r="A47" s="36"/>
      <c r="B47" s="39"/>
      <c r="C47" s="38"/>
      <c r="D47" s="109"/>
      <c r="E47" s="109"/>
      <c r="F47" s="109"/>
    </row>
    <row r="48" spans="1:12" ht="17.649999999999999" customHeight="1" x14ac:dyDescent="0.25">
      <c r="A48" s="36"/>
      <c r="B48" s="39"/>
      <c r="C48" s="38"/>
      <c r="D48" s="109"/>
      <c r="E48" s="109"/>
      <c r="F48" s="109"/>
    </row>
    <row r="49" spans="1:12" ht="17.649999999999999" customHeight="1" x14ac:dyDescent="0.25"/>
    <row r="50" spans="1:12" ht="17.649999999999999" customHeight="1" x14ac:dyDescent="0.25">
      <c r="A50" s="36"/>
      <c r="B50" s="39"/>
      <c r="C50" s="38"/>
      <c r="D50" s="38"/>
      <c r="E50" s="38"/>
      <c r="F50" s="38"/>
      <c r="G50" s="36"/>
      <c r="H50" s="92"/>
      <c r="I50" s="93"/>
      <c r="J50" s="112"/>
      <c r="K50" s="112"/>
      <c r="L50" s="112"/>
    </row>
    <row r="51" spans="1:12" ht="17.649999999999999" customHeight="1" x14ac:dyDescent="0.25">
      <c r="A51" s="36"/>
      <c r="B51" s="39"/>
      <c r="C51" s="38"/>
      <c r="D51" s="38"/>
      <c r="E51" s="38"/>
      <c r="F51" s="38"/>
      <c r="G51" s="36"/>
      <c r="H51" s="92"/>
      <c r="I51" s="93"/>
      <c r="J51" s="112"/>
      <c r="K51" s="112"/>
      <c r="L51" s="112"/>
    </row>
    <row r="52" spans="1:12" ht="17.649999999999999" customHeight="1" x14ac:dyDescent="0.25">
      <c r="G52" s="36"/>
      <c r="H52" s="92"/>
      <c r="I52" s="93"/>
      <c r="J52" s="112"/>
      <c r="K52" s="112"/>
      <c r="L52" s="112"/>
    </row>
    <row r="53" spans="1:12" ht="17.649999999999999" customHeight="1" x14ac:dyDescent="0.25">
      <c r="G53" s="36"/>
      <c r="H53" s="92"/>
      <c r="I53" s="93"/>
      <c r="J53" s="112"/>
      <c r="K53" s="112"/>
      <c r="L53" s="112"/>
    </row>
    <row r="54" spans="1:12" ht="17.649999999999999" customHeight="1" x14ac:dyDescent="0.25">
      <c r="G54" s="36"/>
      <c r="H54" s="103"/>
      <c r="I54" s="46"/>
      <c r="J54" s="110"/>
      <c r="K54" s="110"/>
      <c r="L54" s="110"/>
    </row>
    <row r="55" spans="1:12" ht="17.649999999999999" customHeight="1" x14ac:dyDescent="0.25">
      <c r="A55" s="36"/>
      <c r="B55" s="39"/>
      <c r="C55" s="38"/>
      <c r="D55" s="38"/>
      <c r="E55" s="38"/>
      <c r="F55" s="38"/>
      <c r="G55" s="36"/>
      <c r="H55" s="103"/>
      <c r="I55" s="46"/>
      <c r="J55" s="110"/>
      <c r="K55" s="110"/>
      <c r="L55" s="110"/>
    </row>
    <row r="56" spans="1:12" ht="17.649999999999999" customHeight="1" x14ac:dyDescent="0.25">
      <c r="A56" s="36"/>
      <c r="B56" s="95"/>
      <c r="C56" s="38"/>
      <c r="D56" s="38"/>
      <c r="E56" s="38"/>
      <c r="F56" s="38"/>
      <c r="G56" s="36"/>
      <c r="H56" s="92"/>
      <c r="I56" s="93"/>
      <c r="J56" s="112"/>
      <c r="K56" s="112"/>
      <c r="L56" s="112"/>
    </row>
    <row r="57" spans="1:12" ht="17.649999999999999" customHeight="1" x14ac:dyDescent="0.25">
      <c r="A57" s="36"/>
      <c r="B57" s="95"/>
      <c r="C57" s="38"/>
      <c r="D57" s="38"/>
      <c r="E57" s="38"/>
      <c r="F57" s="38"/>
      <c r="G57" s="36"/>
      <c r="H57" s="103"/>
      <c r="I57" s="46"/>
      <c r="J57" s="110"/>
      <c r="K57" s="110"/>
      <c r="L57" s="110"/>
    </row>
    <row r="58" spans="1:12" ht="17.649999999999999" customHeight="1" x14ac:dyDescent="0.25">
      <c r="A58" s="36"/>
      <c r="B58" s="39"/>
      <c r="C58" s="38"/>
      <c r="D58" s="38"/>
      <c r="E58" s="38"/>
      <c r="F58" s="38"/>
      <c r="G58" s="36"/>
      <c r="H58" s="103"/>
      <c r="I58" s="46"/>
      <c r="J58" s="110"/>
      <c r="K58" s="110"/>
      <c r="L58" s="110"/>
    </row>
    <row r="59" spans="1:12" ht="17.649999999999999" customHeight="1" x14ac:dyDescent="0.25">
      <c r="A59" s="36"/>
      <c r="B59" s="39"/>
      <c r="C59" s="38"/>
      <c r="D59" s="38"/>
      <c r="E59" s="38"/>
      <c r="F59" s="38"/>
      <c r="G59" s="36"/>
      <c r="H59" s="92"/>
      <c r="I59" s="93"/>
      <c r="J59" s="112"/>
      <c r="K59" s="112"/>
      <c r="L59" s="112"/>
    </row>
    <row r="60" spans="1:12" ht="17.649999999999999" customHeight="1" x14ac:dyDescent="0.25">
      <c r="A60" s="36"/>
      <c r="B60" s="39"/>
      <c r="C60" s="38"/>
      <c r="D60" s="109"/>
      <c r="E60" s="109"/>
      <c r="F60" s="109"/>
    </row>
    <row r="61" spans="1:12" ht="17.649999999999999" customHeight="1" x14ac:dyDescent="0.25">
      <c r="A61" s="36"/>
      <c r="B61" s="39"/>
      <c r="C61" s="38"/>
      <c r="D61" s="109"/>
      <c r="E61" s="109"/>
      <c r="F61" s="109"/>
    </row>
    <row r="62" spans="1:12" ht="17.649999999999999" customHeight="1" x14ac:dyDescent="0.25"/>
    <row r="63" spans="1:12" ht="17.649999999999999" customHeight="1" x14ac:dyDescent="0.25">
      <c r="A63" s="36"/>
      <c r="B63" s="39"/>
      <c r="C63" s="38"/>
      <c r="D63" s="38"/>
      <c r="E63" s="38"/>
      <c r="F63" s="38"/>
      <c r="G63" s="36"/>
      <c r="H63" s="106"/>
      <c r="I63" s="107"/>
      <c r="J63" s="113"/>
      <c r="K63" s="113"/>
      <c r="L63" s="113"/>
    </row>
    <row r="64" spans="1:12" ht="17.649999999999999" customHeight="1" x14ac:dyDescent="0.25">
      <c r="A64" s="36"/>
      <c r="B64" s="39"/>
      <c r="C64" s="38"/>
      <c r="D64" s="38"/>
      <c r="E64" s="38"/>
      <c r="F64" s="38"/>
      <c r="G64" s="36"/>
      <c r="H64" s="103"/>
      <c r="I64" s="108"/>
      <c r="J64" s="114"/>
      <c r="K64" s="114"/>
      <c r="L64" s="114"/>
    </row>
    <row r="65" spans="7:12" ht="17.649999999999999" customHeight="1" x14ac:dyDescent="0.25">
      <c r="G65" s="36"/>
      <c r="H65" s="103"/>
      <c r="I65" s="108"/>
      <c r="J65" s="114"/>
      <c r="K65" s="114"/>
      <c r="L65" s="114"/>
    </row>
    <row r="66" spans="7:12" ht="17.649999999999999" customHeight="1" x14ac:dyDescent="0.25">
      <c r="G66" s="36"/>
      <c r="H66" s="106"/>
      <c r="I66" s="107"/>
      <c r="J66" s="113"/>
      <c r="K66" s="113"/>
      <c r="L66" s="113"/>
    </row>
    <row r="67" spans="7:12" ht="17.649999999999999" customHeight="1" x14ac:dyDescent="0.25">
      <c r="G67" s="36"/>
      <c r="H67" s="106"/>
      <c r="I67" s="107"/>
      <c r="J67" s="113"/>
      <c r="K67" s="113"/>
      <c r="L67" s="113"/>
    </row>
    <row r="68" spans="7:12" ht="17.649999999999999" customHeight="1" x14ac:dyDescent="0.25">
      <c r="G68" s="36"/>
      <c r="H68" s="106"/>
      <c r="I68" s="107"/>
      <c r="J68" s="113"/>
      <c r="K68" s="113"/>
      <c r="L68" s="113"/>
    </row>
    <row r="69" spans="7:12" ht="17.649999999999999" customHeight="1" x14ac:dyDescent="0.25">
      <c r="G69" s="36"/>
      <c r="H69" s="106"/>
      <c r="I69" s="107"/>
      <c r="J69" s="113"/>
      <c r="K69" s="113"/>
      <c r="L69" s="113"/>
    </row>
    <row r="70" spans="7:12" ht="17.649999999999999" customHeight="1" x14ac:dyDescent="0.25">
      <c r="G70" s="36"/>
      <c r="H70" s="106"/>
      <c r="I70" s="107"/>
      <c r="J70" s="113"/>
      <c r="K70" s="113"/>
      <c r="L70" s="113"/>
    </row>
    <row r="71" spans="7:12" ht="17.649999999999999" customHeight="1" x14ac:dyDescent="0.25"/>
    <row r="72" spans="7:12" ht="17.649999999999999" customHeight="1" x14ac:dyDescent="0.25">
      <c r="G72" s="36"/>
      <c r="H72" s="106"/>
      <c r="I72" s="107"/>
      <c r="J72" s="113"/>
      <c r="K72" s="113"/>
      <c r="L72" s="113"/>
    </row>
    <row r="73" spans="7:12" ht="17.649999999999999" customHeight="1" x14ac:dyDescent="0.25">
      <c r="G73" s="36"/>
      <c r="H73" s="106"/>
      <c r="I73" s="107"/>
      <c r="J73" s="113"/>
      <c r="K73" s="113"/>
      <c r="L73" s="113"/>
    </row>
    <row r="74" spans="7:12" ht="17.649999999999999" customHeight="1" x14ac:dyDescent="0.25"/>
  </sheetData>
  <printOptions horizontalCentered="1"/>
  <pageMargins left="0.47244094488188981" right="0.43307086614173229" top="0.74803149606299213" bottom="0.74803149606299213" header="0.31496062992125984" footer="0.31496062992125984"/>
  <pageSetup paperSize="9" scale="70" orientation="landscape" r:id="rId1"/>
  <headerFooter>
    <oddHeader>&amp;C&amp;"-,Félkövér"&amp;16Törökbálint Város Önkormányzat költségvetési mérlege 2019. 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61"/>
  <sheetViews>
    <sheetView view="pageBreakPreview" zoomScaleNormal="100" zoomScaleSheetLayoutView="100" workbookViewId="0">
      <selection activeCell="AE7" sqref="AE7"/>
    </sheetView>
  </sheetViews>
  <sheetFormatPr defaultColWidth="9.140625" defaultRowHeight="15" x14ac:dyDescent="0.25"/>
  <cols>
    <col min="1" max="1" width="5.7109375" style="247" customWidth="1"/>
    <col min="2" max="2" width="42.28515625" style="283" customWidth="1"/>
    <col min="3" max="3" width="9.85546875" style="283" hidden="1" customWidth="1"/>
    <col min="4" max="4" width="10.140625" style="283" hidden="1" customWidth="1"/>
    <col min="5" max="5" width="10.7109375" style="283" hidden="1" customWidth="1"/>
    <col min="6" max="6" width="9.7109375" style="283" hidden="1" customWidth="1"/>
    <col min="7" max="7" width="9.85546875" style="283" hidden="1" customWidth="1"/>
    <col min="8" max="8" width="9.85546875" style="518" hidden="1" customWidth="1"/>
    <col min="9" max="9" width="10" style="518" hidden="1" customWidth="1"/>
    <col min="10" max="10" width="9.85546875" style="518" hidden="1" customWidth="1"/>
    <col min="11" max="11" width="10.85546875" style="283" hidden="1" customWidth="1"/>
    <col min="12" max="12" width="10.140625" style="283" hidden="1" customWidth="1"/>
    <col min="13" max="13" width="9.7109375" style="283" hidden="1" customWidth="1"/>
    <col min="14" max="14" width="9.85546875" style="283" hidden="1" customWidth="1"/>
    <col min="15" max="15" width="10.28515625" style="283" hidden="1" customWidth="1"/>
    <col min="16" max="16" width="10.85546875" style="283" hidden="1" customWidth="1"/>
    <col min="17" max="17" width="9.7109375" style="283" hidden="1" customWidth="1"/>
    <col min="18" max="18" width="9.85546875" style="283" hidden="1" customWidth="1"/>
    <col min="19" max="19" width="10.140625" style="283" customWidth="1"/>
    <col min="20" max="20" width="10.28515625" style="283" customWidth="1"/>
    <col min="21" max="21" width="9.7109375" style="283" customWidth="1"/>
    <col min="22" max="22" width="10.28515625" style="283" customWidth="1"/>
    <col min="23" max="23" width="10.140625" style="283" hidden="1" customWidth="1"/>
    <col min="24" max="24" width="10.28515625" style="283" hidden="1" customWidth="1"/>
    <col min="25" max="25" width="9.7109375" style="283" hidden="1" customWidth="1"/>
    <col min="26" max="26" width="10.28515625" style="283" hidden="1" customWidth="1"/>
    <col min="27" max="27" width="10.140625" style="283" customWidth="1"/>
    <col min="28" max="28" width="10.28515625" style="283" customWidth="1"/>
    <col min="29" max="29" width="9.7109375" style="283" customWidth="1"/>
    <col min="30" max="30" width="10.28515625" style="283" customWidth="1"/>
    <col min="31" max="31" width="10.140625" style="283" customWidth="1"/>
    <col min="32" max="32" width="10.28515625" style="283" customWidth="1"/>
    <col min="33" max="33" width="9.7109375" style="283" customWidth="1"/>
    <col min="34" max="34" width="10.28515625" style="283" customWidth="1"/>
    <col min="35" max="16384" width="9.140625" style="283"/>
  </cols>
  <sheetData>
    <row r="1" spans="1:35" x14ac:dyDescent="0.25">
      <c r="F1" s="531"/>
      <c r="N1" s="423"/>
      <c r="R1" s="423"/>
      <c r="V1" s="423"/>
      <c r="Z1" s="423"/>
      <c r="AD1" s="423"/>
      <c r="AH1" s="423" t="s">
        <v>302</v>
      </c>
    </row>
    <row r="2" spans="1:35" ht="30.4" customHeight="1" x14ac:dyDescent="0.25">
      <c r="A2" s="991" t="s">
        <v>305</v>
      </c>
      <c r="B2" s="991" t="s">
        <v>470</v>
      </c>
      <c r="C2" s="988" t="s">
        <v>1503</v>
      </c>
      <c r="D2" s="989"/>
      <c r="E2" s="989"/>
      <c r="F2" s="990"/>
      <c r="G2" s="988" t="s">
        <v>1504</v>
      </c>
      <c r="H2" s="989"/>
      <c r="I2" s="989"/>
      <c r="J2" s="990"/>
      <c r="K2" s="988" t="s">
        <v>1505</v>
      </c>
      <c r="L2" s="989"/>
      <c r="M2" s="989"/>
      <c r="N2" s="990"/>
      <c r="O2" s="988" t="s">
        <v>1496</v>
      </c>
      <c r="P2" s="989"/>
      <c r="Q2" s="989"/>
      <c r="R2" s="990"/>
      <c r="S2" s="988" t="s">
        <v>1499</v>
      </c>
      <c r="T2" s="989"/>
      <c r="U2" s="989"/>
      <c r="V2" s="990"/>
      <c r="W2" s="988" t="s">
        <v>1713</v>
      </c>
      <c r="X2" s="989"/>
      <c r="Y2" s="989"/>
      <c r="Z2" s="990"/>
      <c r="AA2" s="988" t="s">
        <v>1727</v>
      </c>
      <c r="AB2" s="989"/>
      <c r="AC2" s="989"/>
      <c r="AD2" s="990"/>
      <c r="AE2" s="988" t="s">
        <v>1741</v>
      </c>
      <c r="AF2" s="989"/>
      <c r="AG2" s="989"/>
      <c r="AH2" s="990"/>
    </row>
    <row r="3" spans="1:35" ht="45" x14ac:dyDescent="0.25">
      <c r="A3" s="991"/>
      <c r="B3" s="991"/>
      <c r="C3" s="520" t="s">
        <v>1313</v>
      </c>
      <c r="D3" s="520" t="s">
        <v>1314</v>
      </c>
      <c r="E3" s="520" t="s">
        <v>1315</v>
      </c>
      <c r="F3" s="520" t="s">
        <v>553</v>
      </c>
      <c r="G3" s="520" t="s">
        <v>1313</v>
      </c>
      <c r="H3" s="526" t="s">
        <v>1314</v>
      </c>
      <c r="I3" s="526" t="s">
        <v>1315</v>
      </c>
      <c r="J3" s="526" t="s">
        <v>553</v>
      </c>
      <c r="K3" s="520" t="s">
        <v>1313</v>
      </c>
      <c r="L3" s="526" t="s">
        <v>1314</v>
      </c>
      <c r="M3" s="526" t="s">
        <v>1315</v>
      </c>
      <c r="N3" s="526" t="s">
        <v>553</v>
      </c>
      <c r="O3" s="644" t="s">
        <v>1313</v>
      </c>
      <c r="P3" s="526" t="s">
        <v>1314</v>
      </c>
      <c r="Q3" s="526" t="s">
        <v>1315</v>
      </c>
      <c r="R3" s="526" t="s">
        <v>553</v>
      </c>
      <c r="S3" s="644" t="s">
        <v>1313</v>
      </c>
      <c r="T3" s="526" t="s">
        <v>1314</v>
      </c>
      <c r="U3" s="526" t="s">
        <v>1315</v>
      </c>
      <c r="V3" s="526" t="s">
        <v>553</v>
      </c>
      <c r="W3" s="856" t="s">
        <v>1313</v>
      </c>
      <c r="X3" s="526" t="s">
        <v>1314</v>
      </c>
      <c r="Y3" s="526" t="s">
        <v>1315</v>
      </c>
      <c r="Z3" s="526" t="s">
        <v>553</v>
      </c>
      <c r="AA3" s="878" t="s">
        <v>1313</v>
      </c>
      <c r="AB3" s="526" t="s">
        <v>1314</v>
      </c>
      <c r="AC3" s="526" t="s">
        <v>1315</v>
      </c>
      <c r="AD3" s="526" t="s">
        <v>553</v>
      </c>
      <c r="AE3" s="896" t="s">
        <v>1313</v>
      </c>
      <c r="AF3" s="526" t="s">
        <v>1314</v>
      </c>
      <c r="AG3" s="526" t="s">
        <v>1315</v>
      </c>
      <c r="AH3" s="526" t="s">
        <v>553</v>
      </c>
    </row>
    <row r="4" spans="1:35" x14ac:dyDescent="0.25">
      <c r="A4" s="557" t="s">
        <v>309</v>
      </c>
      <c r="B4" s="558" t="s">
        <v>310</v>
      </c>
      <c r="C4" s="559">
        <f>C5+C10+C17+C26</f>
        <v>3840915</v>
      </c>
      <c r="D4" s="559">
        <f>D5+D10+D17+D26</f>
        <v>75150</v>
      </c>
      <c r="E4" s="559">
        <f>E5+E10+E17+E26</f>
        <v>0</v>
      </c>
      <c r="F4" s="559">
        <f>SUM(C4:E4)</f>
        <v>3916065</v>
      </c>
      <c r="G4" s="559">
        <f>G5+G10+G17+G26</f>
        <v>4012985</v>
      </c>
      <c r="H4" s="572">
        <f>H5+H10+H17+H26</f>
        <v>210857</v>
      </c>
      <c r="I4" s="572">
        <f>I5+I10+I17+I26</f>
        <v>0</v>
      </c>
      <c r="J4" s="572">
        <f>SUM(G4:I4)</f>
        <v>4223842</v>
      </c>
      <c r="K4" s="559">
        <f>K5+K10+K17+K26</f>
        <v>3883961</v>
      </c>
      <c r="L4" s="572">
        <f>L5+L10+L17+L26</f>
        <v>225405</v>
      </c>
      <c r="M4" s="572" t="e">
        <f>M5+M10+M17+M26</f>
        <v>#REF!</v>
      </c>
      <c r="N4" s="572" t="e">
        <f>SUM(K4:M4)</f>
        <v>#REF!</v>
      </c>
      <c r="O4" s="559">
        <f>O5+O10+O17+O26</f>
        <v>4373129</v>
      </c>
      <c r="P4" s="572">
        <f>P5+P10+P17+P26</f>
        <v>12200</v>
      </c>
      <c r="Q4" s="572">
        <f>Q5+Q10+Q17+Q26</f>
        <v>0</v>
      </c>
      <c r="R4" s="572">
        <f>SUM(O4:Q4)</f>
        <v>4385329</v>
      </c>
      <c r="S4" s="559">
        <f>S5+S10+S17+S26</f>
        <v>4128707.0810000002</v>
      </c>
      <c r="T4" s="572">
        <f>T5+T10+T17+T26</f>
        <v>49237</v>
      </c>
      <c r="U4" s="572">
        <f>U5+U10+U17+U26</f>
        <v>0</v>
      </c>
      <c r="V4" s="572">
        <f>SUM(S4:U4)</f>
        <v>4177944.0810000002</v>
      </c>
      <c r="W4" s="559">
        <f>W5+W10+W17+W26</f>
        <v>3974719.8339999998</v>
      </c>
      <c r="X4" s="572">
        <f>X5+X10+X17+X26</f>
        <v>213452</v>
      </c>
      <c r="Y4" s="572">
        <f>Y5+Y10+Y17+Y26</f>
        <v>0</v>
      </c>
      <c r="Z4" s="572">
        <f>SUM(W4:Y4)</f>
        <v>4188171.8339999998</v>
      </c>
      <c r="AA4" s="559">
        <f>AA5+AA10+AA17+AA26</f>
        <v>4145745</v>
      </c>
      <c r="AB4" s="572">
        <f>AB5+AB10+AB17+AB26</f>
        <v>49237</v>
      </c>
      <c r="AC4" s="572">
        <f>AC5+AC10+AC17+AC26</f>
        <v>0</v>
      </c>
      <c r="AD4" s="572">
        <f>SUM(AA4:AC4)</f>
        <v>4194982</v>
      </c>
      <c r="AE4" s="559">
        <f>AE5+AE10+AE17+AE26</f>
        <v>4462737</v>
      </c>
      <c r="AF4" s="572">
        <f>AF5+AF10+AF17+AF26</f>
        <v>52475</v>
      </c>
      <c r="AG4" s="572">
        <f>AG5+AG10+AG17+AG26</f>
        <v>0</v>
      </c>
      <c r="AH4" s="572">
        <f>SUM(AE4:AG4)</f>
        <v>4515212</v>
      </c>
      <c r="AI4" s="530"/>
    </row>
    <row r="5" spans="1:35" ht="30" x14ac:dyDescent="0.25">
      <c r="A5" s="560" t="s">
        <v>311</v>
      </c>
      <c r="B5" s="561" t="s">
        <v>312</v>
      </c>
      <c r="C5" s="562">
        <f t="shared" ref="C5:E5" si="0">SUM(C6:C9)</f>
        <v>552349</v>
      </c>
      <c r="D5" s="562">
        <f t="shared" si="0"/>
        <v>12800</v>
      </c>
      <c r="E5" s="562">
        <f t="shared" si="0"/>
        <v>0</v>
      </c>
      <c r="F5" s="562">
        <f t="shared" ref="F5:F60" si="1">SUM(C5:E5)</f>
        <v>565149</v>
      </c>
      <c r="G5" s="562">
        <f t="shared" ref="G5:I5" si="2">SUM(G6:G9)</f>
        <v>641938</v>
      </c>
      <c r="H5" s="573">
        <f t="shared" si="2"/>
        <v>12800</v>
      </c>
      <c r="I5" s="573">
        <f t="shared" si="2"/>
        <v>0</v>
      </c>
      <c r="J5" s="573">
        <f t="shared" ref="J5:J60" si="3">SUM(G5:I5)</f>
        <v>654738</v>
      </c>
      <c r="K5" s="562">
        <f t="shared" ref="K5:M5" si="4">SUM(K6:K9)</f>
        <v>554473</v>
      </c>
      <c r="L5" s="573">
        <f t="shared" si="4"/>
        <v>57430</v>
      </c>
      <c r="M5" s="573">
        <f t="shared" si="4"/>
        <v>0</v>
      </c>
      <c r="N5" s="573">
        <f t="shared" ref="N5:N60" si="5">SUM(K5:M5)</f>
        <v>611903</v>
      </c>
      <c r="O5" s="562">
        <f t="shared" ref="O5:Q5" si="6">SUM(O6:O9)</f>
        <v>657316</v>
      </c>
      <c r="P5" s="573">
        <f t="shared" si="6"/>
        <v>12200</v>
      </c>
      <c r="Q5" s="573">
        <f t="shared" si="6"/>
        <v>0</v>
      </c>
      <c r="R5" s="573">
        <f t="shared" ref="R5:R60" si="7">SUM(O5:Q5)</f>
        <v>669516</v>
      </c>
      <c r="S5" s="562">
        <f t="shared" ref="S5:U5" si="8">SUM(S6:S9)</f>
        <v>599232.08100000001</v>
      </c>
      <c r="T5" s="573">
        <f t="shared" si="8"/>
        <v>12600</v>
      </c>
      <c r="U5" s="573">
        <f t="shared" si="8"/>
        <v>0</v>
      </c>
      <c r="V5" s="573">
        <f t="shared" ref="V5:V60" si="9">SUM(S5:U5)</f>
        <v>611832.08100000001</v>
      </c>
      <c r="W5" s="562">
        <f t="shared" ref="W5:Y5" si="10">SUM(W6:W9)</f>
        <v>609459.83400000003</v>
      </c>
      <c r="X5" s="573">
        <f t="shared" si="10"/>
        <v>12600</v>
      </c>
      <c r="Y5" s="573">
        <f t="shared" si="10"/>
        <v>0</v>
      </c>
      <c r="Z5" s="573">
        <f t="shared" ref="Z5:Z43" si="11">SUM(W5:Y5)</f>
        <v>622059.83400000003</v>
      </c>
      <c r="AA5" s="562">
        <f t="shared" ref="AA5:AC5" si="12">SUM(AA6:AA9)</f>
        <v>616270</v>
      </c>
      <c r="AB5" s="573">
        <f t="shared" si="12"/>
        <v>12600</v>
      </c>
      <c r="AC5" s="573">
        <f t="shared" si="12"/>
        <v>0</v>
      </c>
      <c r="AD5" s="573">
        <f t="shared" ref="AD5:AD43" si="13">SUM(AA5:AC5)</f>
        <v>628870</v>
      </c>
      <c r="AE5" s="562">
        <f t="shared" ref="AE5:AG5" si="14">SUM(AE6:AE9)</f>
        <v>696762</v>
      </c>
      <c r="AF5" s="573">
        <f t="shared" si="14"/>
        <v>12600</v>
      </c>
      <c r="AG5" s="573">
        <f t="shared" si="14"/>
        <v>0</v>
      </c>
      <c r="AH5" s="573">
        <f t="shared" ref="AH5:AH43" si="15">SUM(AE5:AG5)</f>
        <v>709362</v>
      </c>
      <c r="AI5" s="530"/>
    </row>
    <row r="6" spans="1:35" s="96" customFormat="1" x14ac:dyDescent="0.25">
      <c r="A6" s="522"/>
      <c r="B6" s="356" t="s">
        <v>471</v>
      </c>
      <c r="C6" s="357">
        <f>'2A Önk bev'!C7</f>
        <v>511956</v>
      </c>
      <c r="D6" s="357">
        <f>'2A Önk bev'!D7</f>
        <v>12200</v>
      </c>
      <c r="E6" s="357">
        <f>'2A Önk bev'!E7</f>
        <v>0</v>
      </c>
      <c r="F6" s="357">
        <f t="shared" si="1"/>
        <v>524156</v>
      </c>
      <c r="G6" s="357">
        <f>'2A Önk bev'!G7</f>
        <v>581906</v>
      </c>
      <c r="H6" s="491">
        <f>'2A Önk bev'!H7</f>
        <v>12200</v>
      </c>
      <c r="I6" s="491">
        <f>'2A Önk bev'!I7</f>
        <v>0</v>
      </c>
      <c r="J6" s="491">
        <f t="shared" si="3"/>
        <v>594106</v>
      </c>
      <c r="K6" s="357">
        <f>'2A Önk bev'!K7</f>
        <v>514080</v>
      </c>
      <c r="L6" s="491">
        <f>'2A Önk bev'!L7</f>
        <v>14932</v>
      </c>
      <c r="M6" s="491">
        <f>'2A Önk bev'!M7</f>
        <v>0</v>
      </c>
      <c r="N6" s="491">
        <f t="shared" si="5"/>
        <v>529012</v>
      </c>
      <c r="O6" s="357">
        <f>'2A Önk bev'!O7</f>
        <v>599837</v>
      </c>
      <c r="P6" s="491">
        <f>'2A Önk bev'!P7</f>
        <v>12200</v>
      </c>
      <c r="Q6" s="491">
        <f>'2A Önk bev'!Q7</f>
        <v>0</v>
      </c>
      <c r="R6" s="491">
        <f t="shared" si="7"/>
        <v>612037</v>
      </c>
      <c r="S6" s="937">
        <f>'2A Önk bev'!S7</f>
        <v>599232.08100000001</v>
      </c>
      <c r="T6" s="970">
        <f>'2A Önk bev'!T7</f>
        <v>12600</v>
      </c>
      <c r="U6" s="970">
        <f>'2A Önk bev'!U7</f>
        <v>0</v>
      </c>
      <c r="V6" s="970">
        <f t="shared" si="9"/>
        <v>611832.08100000001</v>
      </c>
      <c r="W6" s="357">
        <f>'2A Önk bev'!W7+'3A PH'!W9</f>
        <v>609459.83400000003</v>
      </c>
      <c r="X6" s="491">
        <f>'2A Önk bev'!X7</f>
        <v>12600</v>
      </c>
      <c r="Y6" s="491">
        <f>'2A Önk bev'!Y7</f>
        <v>0</v>
      </c>
      <c r="Z6" s="491">
        <f t="shared" si="11"/>
        <v>622059.83400000003</v>
      </c>
      <c r="AA6" s="357">
        <f>'2A Önk bev'!AA7+'3A PH'!AA9</f>
        <v>615859</v>
      </c>
      <c r="AB6" s="491">
        <f>'2A Önk bev'!AB7</f>
        <v>12600</v>
      </c>
      <c r="AC6" s="491">
        <f>'2A Önk bev'!AC7</f>
        <v>0</v>
      </c>
      <c r="AD6" s="491">
        <f t="shared" si="13"/>
        <v>628459</v>
      </c>
      <c r="AE6" s="937">
        <f>'2A Önk bev'!AE7</f>
        <v>640600</v>
      </c>
      <c r="AF6" s="970">
        <f>'2A Önk bev'!AF7</f>
        <v>12600</v>
      </c>
      <c r="AG6" s="970">
        <f>'2A Önk bev'!AG7</f>
        <v>0</v>
      </c>
      <c r="AH6" s="970">
        <f t="shared" si="15"/>
        <v>653200</v>
      </c>
      <c r="AI6" s="530"/>
    </row>
    <row r="7" spans="1:35" x14ac:dyDescent="0.25">
      <c r="A7" s="522"/>
      <c r="B7" s="356" t="s">
        <v>479</v>
      </c>
      <c r="C7" s="357">
        <f>'2A Önk bev'!C16</f>
        <v>0</v>
      </c>
      <c r="D7" s="357">
        <f>'2A Önk bev'!D16</f>
        <v>0</v>
      </c>
      <c r="E7" s="357">
        <f>'2A Önk bev'!E16</f>
        <v>0</v>
      </c>
      <c r="F7" s="357">
        <f t="shared" si="1"/>
        <v>0</v>
      </c>
      <c r="G7" s="357">
        <f>'2A Önk bev'!G16</f>
        <v>14810</v>
      </c>
      <c r="H7" s="491">
        <f>'2A Önk bev'!H16</f>
        <v>0</v>
      </c>
      <c r="I7" s="491">
        <f>'2A Önk bev'!I16</f>
        <v>0</v>
      </c>
      <c r="J7" s="491">
        <f t="shared" si="3"/>
        <v>14810</v>
      </c>
      <c r="K7" s="357">
        <f>'2A Önk bev'!K16</f>
        <v>0</v>
      </c>
      <c r="L7" s="491">
        <f>'2A Önk bev'!L16</f>
        <v>41898</v>
      </c>
      <c r="M7" s="491">
        <f>'2A Önk bev'!M16</f>
        <v>0</v>
      </c>
      <c r="N7" s="491">
        <f t="shared" si="5"/>
        <v>41898</v>
      </c>
      <c r="O7" s="357">
        <f>'2A Önk bev'!O16</f>
        <v>14810</v>
      </c>
      <c r="P7" s="491">
        <f>'2A Önk bev'!P16</f>
        <v>0</v>
      </c>
      <c r="Q7" s="491">
        <f>'2A Önk bev'!Q16</f>
        <v>0</v>
      </c>
      <c r="R7" s="491">
        <f t="shared" si="7"/>
        <v>14810</v>
      </c>
      <c r="S7" s="937">
        <f>'2A Önk bev'!S16</f>
        <v>0</v>
      </c>
      <c r="T7" s="970">
        <f>'2A Önk bev'!T16</f>
        <v>0</v>
      </c>
      <c r="U7" s="970">
        <f>'2A Önk bev'!U16</f>
        <v>0</v>
      </c>
      <c r="V7" s="970">
        <f t="shared" si="9"/>
        <v>0</v>
      </c>
      <c r="W7" s="357">
        <f>'2A Önk bev'!W16</f>
        <v>0</v>
      </c>
      <c r="X7" s="491">
        <f>'2A Önk bev'!X16</f>
        <v>0</v>
      </c>
      <c r="Y7" s="491">
        <f>'2A Önk bev'!Y16</f>
        <v>0</v>
      </c>
      <c r="Z7" s="491">
        <f t="shared" si="11"/>
        <v>0</v>
      </c>
      <c r="AA7" s="357">
        <f>'2A Önk bev'!AA16</f>
        <v>0</v>
      </c>
      <c r="AB7" s="491">
        <f>'2A Önk bev'!AB16</f>
        <v>0</v>
      </c>
      <c r="AC7" s="491">
        <f>'2A Önk bev'!AC16</f>
        <v>0</v>
      </c>
      <c r="AD7" s="491">
        <f t="shared" si="13"/>
        <v>0</v>
      </c>
      <c r="AE7" s="937">
        <f>'2A Önk bev'!AE16</f>
        <v>0</v>
      </c>
      <c r="AF7" s="970">
        <f>'2A Önk bev'!AF16</f>
        <v>0</v>
      </c>
      <c r="AG7" s="970">
        <f>'2A Önk bev'!AG16</f>
        <v>0</v>
      </c>
      <c r="AH7" s="970">
        <f t="shared" si="15"/>
        <v>0</v>
      </c>
    </row>
    <row r="8" spans="1:35" ht="30" x14ac:dyDescent="0.25">
      <c r="A8" s="522"/>
      <c r="B8" s="356" t="s">
        <v>480</v>
      </c>
      <c r="C8" s="357">
        <f>'2A Önk bev'!C17</f>
        <v>0</v>
      </c>
      <c r="D8" s="357">
        <f>'2A Önk bev'!D17</f>
        <v>0</v>
      </c>
      <c r="E8" s="357">
        <f>'2A Önk bev'!E17</f>
        <v>0</v>
      </c>
      <c r="F8" s="357">
        <f t="shared" si="1"/>
        <v>0</v>
      </c>
      <c r="G8" s="357">
        <f>'2A Önk bev'!G17</f>
        <v>0</v>
      </c>
      <c r="H8" s="491">
        <f>'2A Önk bev'!H17</f>
        <v>0</v>
      </c>
      <c r="I8" s="491">
        <f>'2A Önk bev'!I17</f>
        <v>0</v>
      </c>
      <c r="J8" s="491">
        <f t="shared" si="3"/>
        <v>0</v>
      </c>
      <c r="K8" s="357">
        <f>'2A Önk bev'!K17</f>
        <v>0</v>
      </c>
      <c r="L8" s="491">
        <f>'2A Önk bev'!L17</f>
        <v>0</v>
      </c>
      <c r="M8" s="491">
        <f>'2A Önk bev'!M17</f>
        <v>0</v>
      </c>
      <c r="N8" s="491">
        <f t="shared" si="5"/>
        <v>0</v>
      </c>
      <c r="O8" s="357">
        <f>'2A Önk bev'!O17</f>
        <v>0</v>
      </c>
      <c r="P8" s="491">
        <f>'2A Önk bev'!P17</f>
        <v>0</v>
      </c>
      <c r="Q8" s="491">
        <f>'2A Önk bev'!Q17</f>
        <v>0</v>
      </c>
      <c r="R8" s="491">
        <f t="shared" si="7"/>
        <v>0</v>
      </c>
      <c r="S8" s="937">
        <f>'2A Önk bev'!S17</f>
        <v>0</v>
      </c>
      <c r="T8" s="970">
        <f>'2A Önk bev'!T17</f>
        <v>0</v>
      </c>
      <c r="U8" s="970">
        <f>'2A Önk bev'!U17</f>
        <v>0</v>
      </c>
      <c r="V8" s="970">
        <f t="shared" si="9"/>
        <v>0</v>
      </c>
      <c r="W8" s="357">
        <f>'2A Önk bev'!W17</f>
        <v>0</v>
      </c>
      <c r="X8" s="491">
        <f>'2A Önk bev'!X17</f>
        <v>0</v>
      </c>
      <c r="Y8" s="491">
        <f>'2A Önk bev'!Y17</f>
        <v>0</v>
      </c>
      <c r="Z8" s="491">
        <f t="shared" si="11"/>
        <v>0</v>
      </c>
      <c r="AA8" s="357">
        <f>'2A Önk bev'!AA17</f>
        <v>0</v>
      </c>
      <c r="AB8" s="491">
        <f>'2A Önk bev'!AB17</f>
        <v>0</v>
      </c>
      <c r="AC8" s="491">
        <f>'2A Önk bev'!AC17</f>
        <v>0</v>
      </c>
      <c r="AD8" s="491">
        <f t="shared" si="13"/>
        <v>0</v>
      </c>
      <c r="AE8" s="937">
        <f>'2A Önk bev'!AE17</f>
        <v>0</v>
      </c>
      <c r="AF8" s="970">
        <f>'2A Önk bev'!AF17</f>
        <v>0</v>
      </c>
      <c r="AG8" s="970">
        <f>'2A Önk bev'!AG17</f>
        <v>0</v>
      </c>
      <c r="AH8" s="970">
        <f t="shared" si="15"/>
        <v>0</v>
      </c>
    </row>
    <row r="9" spans="1:35" ht="30" x14ac:dyDescent="0.25">
      <c r="A9" s="522"/>
      <c r="B9" s="356" t="s">
        <v>481</v>
      </c>
      <c r="C9" s="357">
        <f>'2A Önk bev'!C18</f>
        <v>40393</v>
      </c>
      <c r="D9" s="357">
        <f>'2A Önk bev'!D18</f>
        <v>600</v>
      </c>
      <c r="E9" s="357">
        <f>'2A Önk bev'!E18</f>
        <v>0</v>
      </c>
      <c r="F9" s="357">
        <f t="shared" si="1"/>
        <v>40993</v>
      </c>
      <c r="G9" s="357">
        <f>'2A Önk bev'!G18+'3A PH'!J9</f>
        <v>45222</v>
      </c>
      <c r="H9" s="491">
        <f>'2A Önk bev'!H18</f>
        <v>600</v>
      </c>
      <c r="I9" s="491">
        <f>'2A Önk bev'!I18</f>
        <v>0</v>
      </c>
      <c r="J9" s="491">
        <f t="shared" si="3"/>
        <v>45822</v>
      </c>
      <c r="K9" s="357">
        <f>'2A Önk bev'!K18</f>
        <v>40393</v>
      </c>
      <c r="L9" s="491">
        <f>'2A Önk bev'!L18</f>
        <v>600</v>
      </c>
      <c r="M9" s="491">
        <f>'2A Önk bev'!M18</f>
        <v>0</v>
      </c>
      <c r="N9" s="491">
        <f t="shared" si="5"/>
        <v>40993</v>
      </c>
      <c r="O9" s="357">
        <f>'2A Önk bev'!O18</f>
        <v>42669</v>
      </c>
      <c r="P9" s="491">
        <f>'2A Önk bev'!P18</f>
        <v>0</v>
      </c>
      <c r="Q9" s="491">
        <f>'2A Önk bev'!Q18</f>
        <v>0</v>
      </c>
      <c r="R9" s="491">
        <f t="shared" si="7"/>
        <v>42669</v>
      </c>
      <c r="S9" s="937">
        <f>'2A Önk bev'!S18</f>
        <v>0</v>
      </c>
      <c r="T9" s="970">
        <f>'2A Önk bev'!T18</f>
        <v>0</v>
      </c>
      <c r="U9" s="970">
        <f>'2A Önk bev'!U18</f>
        <v>0</v>
      </c>
      <c r="V9" s="970">
        <f t="shared" si="9"/>
        <v>0</v>
      </c>
      <c r="W9" s="357">
        <f>'2A Önk bev'!W18</f>
        <v>0</v>
      </c>
      <c r="X9" s="491">
        <f>'2A Önk bev'!X18</f>
        <v>0</v>
      </c>
      <c r="Y9" s="491">
        <f>'2A Önk bev'!Y18</f>
        <v>0</v>
      </c>
      <c r="Z9" s="491">
        <f t="shared" si="11"/>
        <v>0</v>
      </c>
      <c r="AA9" s="357">
        <f>'2A Önk bev'!AA18</f>
        <v>411</v>
      </c>
      <c r="AB9" s="491">
        <f>'2A Önk bev'!AB18</f>
        <v>0</v>
      </c>
      <c r="AC9" s="491">
        <f>'2A Önk bev'!AC18</f>
        <v>0</v>
      </c>
      <c r="AD9" s="491">
        <f t="shared" si="13"/>
        <v>411</v>
      </c>
      <c r="AE9" s="937">
        <f>'2A Önk bev'!AE18++'3A PH'!AE9</f>
        <v>56162</v>
      </c>
      <c r="AF9" s="970">
        <f>'2A Önk bev'!AF18</f>
        <v>0</v>
      </c>
      <c r="AG9" s="970">
        <f>'2A Önk bev'!AG18</f>
        <v>0</v>
      </c>
      <c r="AH9" s="970">
        <f t="shared" si="15"/>
        <v>56162</v>
      </c>
      <c r="AI9" s="530"/>
    </row>
    <row r="10" spans="1:35" x14ac:dyDescent="0.25">
      <c r="A10" s="560" t="s">
        <v>322</v>
      </c>
      <c r="B10" s="561" t="s">
        <v>488</v>
      </c>
      <c r="C10" s="562">
        <f t="shared" ref="C10:E10" si="16">SUM(C11:C14)</f>
        <v>3107500</v>
      </c>
      <c r="D10" s="562">
        <f t="shared" si="16"/>
        <v>0</v>
      </c>
      <c r="E10" s="562">
        <f t="shared" si="16"/>
        <v>0</v>
      </c>
      <c r="F10" s="562">
        <f t="shared" si="1"/>
        <v>3107500</v>
      </c>
      <c r="G10" s="562">
        <f t="shared" ref="G10:I10" si="17">SUM(G11:G14)</f>
        <v>3107500</v>
      </c>
      <c r="H10" s="573">
        <f t="shared" si="17"/>
        <v>0</v>
      </c>
      <c r="I10" s="573">
        <f t="shared" si="17"/>
        <v>0</v>
      </c>
      <c r="J10" s="573">
        <f t="shared" si="3"/>
        <v>3107500</v>
      </c>
      <c r="K10" s="562">
        <f t="shared" ref="K10:M10" si="18">SUM(K11:K14)</f>
        <v>3125500</v>
      </c>
      <c r="L10" s="573">
        <f t="shared" si="18"/>
        <v>0</v>
      </c>
      <c r="M10" s="573">
        <f t="shared" si="18"/>
        <v>0</v>
      </c>
      <c r="N10" s="573">
        <f t="shared" si="5"/>
        <v>3125500</v>
      </c>
      <c r="O10" s="562">
        <f t="shared" ref="O10:Q10" si="19">SUM(O11:O14)</f>
        <v>3295731</v>
      </c>
      <c r="P10" s="573">
        <f t="shared" si="19"/>
        <v>0</v>
      </c>
      <c r="Q10" s="573">
        <f t="shared" si="19"/>
        <v>0</v>
      </c>
      <c r="R10" s="573">
        <f t="shared" si="7"/>
        <v>3295731</v>
      </c>
      <c r="S10" s="562">
        <f t="shared" ref="S10:U10" si="20">SUM(S11:S14)</f>
        <v>3317500</v>
      </c>
      <c r="T10" s="573">
        <f t="shared" si="20"/>
        <v>0</v>
      </c>
      <c r="U10" s="573">
        <f t="shared" si="20"/>
        <v>0</v>
      </c>
      <c r="V10" s="573">
        <f t="shared" si="9"/>
        <v>3317500</v>
      </c>
      <c r="W10" s="562">
        <f t="shared" ref="W10:Y10" si="21">SUM(W11:W14)</f>
        <v>3317500</v>
      </c>
      <c r="X10" s="573">
        <f t="shared" si="21"/>
        <v>0</v>
      </c>
      <c r="Y10" s="573">
        <f t="shared" si="21"/>
        <v>0</v>
      </c>
      <c r="Z10" s="573">
        <f t="shared" si="11"/>
        <v>3317500</v>
      </c>
      <c r="AA10" s="562">
        <f t="shared" ref="AA10:AC10" si="22">SUM(AA11:AA14)</f>
        <v>3317500</v>
      </c>
      <c r="AB10" s="573">
        <f t="shared" si="22"/>
        <v>0</v>
      </c>
      <c r="AC10" s="573">
        <f t="shared" si="22"/>
        <v>0</v>
      </c>
      <c r="AD10" s="573">
        <f t="shared" si="13"/>
        <v>3317500</v>
      </c>
      <c r="AE10" s="562">
        <f t="shared" ref="AE10:AG10" si="23">SUM(AE11:AE14)</f>
        <v>3547500</v>
      </c>
      <c r="AF10" s="573">
        <f t="shared" si="23"/>
        <v>0</v>
      </c>
      <c r="AG10" s="573">
        <f t="shared" si="23"/>
        <v>0</v>
      </c>
      <c r="AH10" s="573">
        <f t="shared" si="15"/>
        <v>3547500</v>
      </c>
      <c r="AI10" s="530"/>
    </row>
    <row r="11" spans="1:35" x14ac:dyDescent="0.25">
      <c r="A11" s="522"/>
      <c r="B11" s="356" t="s">
        <v>489</v>
      </c>
      <c r="C11" s="357">
        <f>'2A Önk bev'!C26</f>
        <v>1220000</v>
      </c>
      <c r="D11" s="357">
        <f>'2A Önk bev'!D26</f>
        <v>0</v>
      </c>
      <c r="E11" s="357">
        <f>'2A Önk bev'!E26</f>
        <v>0</v>
      </c>
      <c r="F11" s="357">
        <f t="shared" si="1"/>
        <v>1220000</v>
      </c>
      <c r="G11" s="357">
        <f>'2A Önk bev'!G26</f>
        <v>1070000</v>
      </c>
      <c r="H11" s="491">
        <f>'2A Önk bev'!H26</f>
        <v>0</v>
      </c>
      <c r="I11" s="491">
        <f>'2A Önk bev'!I26</f>
        <v>0</v>
      </c>
      <c r="J11" s="491">
        <f t="shared" si="3"/>
        <v>1070000</v>
      </c>
      <c r="K11" s="357">
        <f>'2A Önk bev'!K26</f>
        <v>1010000</v>
      </c>
      <c r="L11" s="491">
        <f>'2A Önk bev'!L26</f>
        <v>0</v>
      </c>
      <c r="M11" s="491">
        <f>'2A Önk bev'!M26</f>
        <v>0</v>
      </c>
      <c r="N11" s="491">
        <f t="shared" si="5"/>
        <v>1010000</v>
      </c>
      <c r="O11" s="357">
        <f>'2A Önk bev'!O26</f>
        <v>1060379</v>
      </c>
      <c r="P11" s="491">
        <f>'2A Önk bev'!P26</f>
        <v>0</v>
      </c>
      <c r="Q11" s="491">
        <f>'2A Önk bev'!Q26</f>
        <v>0</v>
      </c>
      <c r="R11" s="491">
        <f t="shared" si="7"/>
        <v>1060379</v>
      </c>
      <c r="S11" s="937">
        <f>'2A Önk bev'!S26</f>
        <v>1040000</v>
      </c>
      <c r="T11" s="970">
        <f>'2A Önk bev'!T26</f>
        <v>0</v>
      </c>
      <c r="U11" s="970">
        <f>'2A Önk bev'!U26</f>
        <v>0</v>
      </c>
      <c r="V11" s="970">
        <f t="shared" si="9"/>
        <v>1040000</v>
      </c>
      <c r="W11" s="357">
        <f>'2A Önk bev'!W26</f>
        <v>1040000</v>
      </c>
      <c r="X11" s="491">
        <f>'2A Önk bev'!X26</f>
        <v>0</v>
      </c>
      <c r="Y11" s="491">
        <f>'2A Önk bev'!Y26</f>
        <v>0</v>
      </c>
      <c r="Z11" s="491">
        <f t="shared" si="11"/>
        <v>1040000</v>
      </c>
      <c r="AA11" s="357">
        <f>'2A Önk bev'!AA26</f>
        <v>1040000</v>
      </c>
      <c r="AB11" s="491">
        <f>'2A Önk bev'!AB26</f>
        <v>0</v>
      </c>
      <c r="AC11" s="491">
        <f>'2A Önk bev'!AC26</f>
        <v>0</v>
      </c>
      <c r="AD11" s="491">
        <f t="shared" si="13"/>
        <v>1040000</v>
      </c>
      <c r="AE11" s="937">
        <f>'2A Önk bev'!AE26</f>
        <v>1040000</v>
      </c>
      <c r="AF11" s="970">
        <f>'2A Önk bev'!AF26</f>
        <v>0</v>
      </c>
      <c r="AG11" s="970">
        <f>'2A Önk bev'!AG26</f>
        <v>0</v>
      </c>
      <c r="AH11" s="970">
        <f t="shared" si="15"/>
        <v>1040000</v>
      </c>
    </row>
    <row r="12" spans="1:35" x14ac:dyDescent="0.25">
      <c r="A12" s="522"/>
      <c r="B12" s="356" t="s">
        <v>492</v>
      </c>
      <c r="C12" s="357">
        <f>'2A Önk bev'!C29</f>
        <v>1864000</v>
      </c>
      <c r="D12" s="357">
        <f>'2A Önk bev'!D29</f>
        <v>0</v>
      </c>
      <c r="E12" s="357">
        <f>'2A Önk bev'!E29</f>
        <v>0</v>
      </c>
      <c r="F12" s="357">
        <f t="shared" si="1"/>
        <v>1864000</v>
      </c>
      <c r="G12" s="357">
        <f>'2A Önk bev'!G29</f>
        <v>2014000</v>
      </c>
      <c r="H12" s="491">
        <f>'2A Önk bev'!H29</f>
        <v>0</v>
      </c>
      <c r="I12" s="491">
        <f>'2A Önk bev'!I29</f>
        <v>0</v>
      </c>
      <c r="J12" s="491">
        <f t="shared" si="3"/>
        <v>2014000</v>
      </c>
      <c r="K12" s="357">
        <f>'2A Önk bev'!K29</f>
        <v>2097000</v>
      </c>
      <c r="L12" s="491">
        <f>'2A Önk bev'!L29</f>
        <v>0</v>
      </c>
      <c r="M12" s="491">
        <f>'2A Önk bev'!M29</f>
        <v>0</v>
      </c>
      <c r="N12" s="491">
        <f t="shared" si="5"/>
        <v>2097000</v>
      </c>
      <c r="O12" s="357">
        <f>'2A Önk bev'!O29</f>
        <v>2208831</v>
      </c>
      <c r="P12" s="491">
        <f>'2A Önk bev'!P29</f>
        <v>0</v>
      </c>
      <c r="Q12" s="491">
        <f>'2A Önk bev'!Q29</f>
        <v>0</v>
      </c>
      <c r="R12" s="491">
        <f t="shared" si="7"/>
        <v>2208831</v>
      </c>
      <c r="S12" s="937">
        <f>'2A Önk bev'!S29</f>
        <v>2250000</v>
      </c>
      <c r="T12" s="970">
        <f>'2A Önk bev'!T29</f>
        <v>0</v>
      </c>
      <c r="U12" s="970">
        <f>'2A Önk bev'!U29</f>
        <v>0</v>
      </c>
      <c r="V12" s="970">
        <f t="shared" si="9"/>
        <v>2250000</v>
      </c>
      <c r="W12" s="357">
        <f>'2A Önk bev'!W29</f>
        <v>2250000</v>
      </c>
      <c r="X12" s="491">
        <f>'2A Önk bev'!X29</f>
        <v>0</v>
      </c>
      <c r="Y12" s="491">
        <f>'2A Önk bev'!Y29</f>
        <v>0</v>
      </c>
      <c r="Z12" s="491">
        <f t="shared" si="11"/>
        <v>2250000</v>
      </c>
      <c r="AA12" s="357">
        <f>'2A Önk bev'!AA29</f>
        <v>2250000</v>
      </c>
      <c r="AB12" s="491">
        <f>'2A Önk bev'!AB29</f>
        <v>0</v>
      </c>
      <c r="AC12" s="491">
        <f>'2A Önk bev'!AC29</f>
        <v>0</v>
      </c>
      <c r="AD12" s="491">
        <f t="shared" si="13"/>
        <v>2250000</v>
      </c>
      <c r="AE12" s="937">
        <f>'2A Önk bev'!AE29</f>
        <v>2480000</v>
      </c>
      <c r="AF12" s="970">
        <f>'2A Önk bev'!AF29</f>
        <v>0</v>
      </c>
      <c r="AG12" s="970">
        <f>'2A Önk bev'!AG29</f>
        <v>0</v>
      </c>
      <c r="AH12" s="970">
        <f t="shared" si="15"/>
        <v>2480000</v>
      </c>
    </row>
    <row r="13" spans="1:35" x14ac:dyDescent="0.25">
      <c r="A13" s="522"/>
      <c r="B13" s="356" t="s">
        <v>495</v>
      </c>
      <c r="C13" s="357">
        <f>'2A Önk bev'!C32</f>
        <v>10500</v>
      </c>
      <c r="D13" s="357">
        <f>'2A Önk bev'!D32</f>
        <v>0</v>
      </c>
      <c r="E13" s="357">
        <f>'2A Önk bev'!E32</f>
        <v>0</v>
      </c>
      <c r="F13" s="357">
        <f t="shared" si="1"/>
        <v>10500</v>
      </c>
      <c r="G13" s="357">
        <f>'2A Önk bev'!G32</f>
        <v>10500</v>
      </c>
      <c r="H13" s="491">
        <f>'2A Önk bev'!H32</f>
        <v>0</v>
      </c>
      <c r="I13" s="491">
        <f>'2A Önk bev'!I32</f>
        <v>0</v>
      </c>
      <c r="J13" s="491">
        <f t="shared" si="3"/>
        <v>10500</v>
      </c>
      <c r="K13" s="357">
        <f>'2A Önk bev'!K32</f>
        <v>5500</v>
      </c>
      <c r="L13" s="491">
        <f>'2A Önk bev'!L32</f>
        <v>0</v>
      </c>
      <c r="M13" s="491">
        <f>'2A Önk bev'!M32</f>
        <v>0</v>
      </c>
      <c r="N13" s="491">
        <f t="shared" si="5"/>
        <v>5500</v>
      </c>
      <c r="O13" s="357">
        <f>'2A Önk bev'!O32</f>
        <v>7963</v>
      </c>
      <c r="P13" s="491">
        <f>'2A Önk bev'!P32</f>
        <v>0</v>
      </c>
      <c r="Q13" s="491">
        <f>'2A Önk bev'!Q32</f>
        <v>0</v>
      </c>
      <c r="R13" s="491">
        <f t="shared" si="7"/>
        <v>7963</v>
      </c>
      <c r="S13" s="937">
        <f>'2A Önk bev'!S32</f>
        <v>10500</v>
      </c>
      <c r="T13" s="970">
        <f>'2A Önk bev'!T32</f>
        <v>0</v>
      </c>
      <c r="U13" s="970">
        <f>'2A Önk bev'!U32</f>
        <v>0</v>
      </c>
      <c r="V13" s="970">
        <f t="shared" si="9"/>
        <v>10500</v>
      </c>
      <c r="W13" s="357">
        <f>'2A Önk bev'!W32</f>
        <v>10500</v>
      </c>
      <c r="X13" s="491">
        <f>'2A Önk bev'!X32</f>
        <v>0</v>
      </c>
      <c r="Y13" s="491">
        <f>'2A Önk bev'!Y32</f>
        <v>0</v>
      </c>
      <c r="Z13" s="491">
        <f t="shared" si="11"/>
        <v>10500</v>
      </c>
      <c r="AA13" s="357">
        <f>'2A Önk bev'!AA32</f>
        <v>10500</v>
      </c>
      <c r="AB13" s="491">
        <f>'2A Önk bev'!AB32</f>
        <v>0</v>
      </c>
      <c r="AC13" s="491">
        <f>'2A Önk bev'!AC32</f>
        <v>0</v>
      </c>
      <c r="AD13" s="491">
        <f t="shared" si="13"/>
        <v>10500</v>
      </c>
      <c r="AE13" s="937">
        <f>'2A Önk bev'!AE32</f>
        <v>10500</v>
      </c>
      <c r="AF13" s="970">
        <f>'2A Önk bev'!AF32</f>
        <v>0</v>
      </c>
      <c r="AG13" s="970">
        <f>'2A Önk bev'!AG32</f>
        <v>0</v>
      </c>
      <c r="AH13" s="970">
        <f t="shared" si="15"/>
        <v>10500</v>
      </c>
    </row>
    <row r="14" spans="1:35" x14ac:dyDescent="0.25">
      <c r="A14" s="522"/>
      <c r="B14" s="356" t="s">
        <v>499</v>
      </c>
      <c r="C14" s="357">
        <f t="shared" ref="C14:E14" si="24">C15+C16</f>
        <v>13000</v>
      </c>
      <c r="D14" s="357">
        <f t="shared" si="24"/>
        <v>0</v>
      </c>
      <c r="E14" s="357">
        <f t="shared" si="24"/>
        <v>0</v>
      </c>
      <c r="F14" s="357">
        <f t="shared" si="1"/>
        <v>13000</v>
      </c>
      <c r="G14" s="357">
        <f t="shared" ref="G14:I14" si="25">G15+G16</f>
        <v>13000</v>
      </c>
      <c r="H14" s="491">
        <f t="shared" si="25"/>
        <v>0</v>
      </c>
      <c r="I14" s="491">
        <f t="shared" si="25"/>
        <v>0</v>
      </c>
      <c r="J14" s="491">
        <f t="shared" si="3"/>
        <v>13000</v>
      </c>
      <c r="K14" s="357">
        <f t="shared" ref="K14:M14" si="26">K15+K16</f>
        <v>13000</v>
      </c>
      <c r="L14" s="491">
        <f t="shared" si="26"/>
        <v>0</v>
      </c>
      <c r="M14" s="491">
        <f t="shared" si="26"/>
        <v>0</v>
      </c>
      <c r="N14" s="491">
        <f t="shared" si="5"/>
        <v>13000</v>
      </c>
      <c r="O14" s="357">
        <f t="shared" ref="O14:Q14" si="27">O15+O16</f>
        <v>18558</v>
      </c>
      <c r="P14" s="491">
        <f t="shared" si="27"/>
        <v>0</v>
      </c>
      <c r="Q14" s="491">
        <f t="shared" si="27"/>
        <v>0</v>
      </c>
      <c r="R14" s="491">
        <f t="shared" si="7"/>
        <v>18558</v>
      </c>
      <c r="S14" s="937">
        <f t="shared" ref="S14:U14" si="28">S15+S16</f>
        <v>17000</v>
      </c>
      <c r="T14" s="970">
        <f t="shared" si="28"/>
        <v>0</v>
      </c>
      <c r="U14" s="970">
        <f t="shared" si="28"/>
        <v>0</v>
      </c>
      <c r="V14" s="970">
        <f t="shared" si="9"/>
        <v>17000</v>
      </c>
      <c r="W14" s="357">
        <f t="shared" ref="W14:Y14" si="29">W15+W16</f>
        <v>17000</v>
      </c>
      <c r="X14" s="491">
        <f t="shared" si="29"/>
        <v>0</v>
      </c>
      <c r="Y14" s="491">
        <f t="shared" si="29"/>
        <v>0</v>
      </c>
      <c r="Z14" s="491">
        <f t="shared" si="11"/>
        <v>17000</v>
      </c>
      <c r="AA14" s="357">
        <f t="shared" ref="AA14:AC14" si="30">AA15+AA16</f>
        <v>17000</v>
      </c>
      <c r="AB14" s="491">
        <f t="shared" si="30"/>
        <v>0</v>
      </c>
      <c r="AC14" s="491">
        <f t="shared" si="30"/>
        <v>0</v>
      </c>
      <c r="AD14" s="491">
        <f t="shared" si="13"/>
        <v>17000</v>
      </c>
      <c r="AE14" s="937">
        <f t="shared" ref="AE14:AG14" si="31">AE15+AE16</f>
        <v>17000</v>
      </c>
      <c r="AF14" s="970">
        <f t="shared" si="31"/>
        <v>0</v>
      </c>
      <c r="AG14" s="970">
        <f t="shared" si="31"/>
        <v>0</v>
      </c>
      <c r="AH14" s="970">
        <f t="shared" si="15"/>
        <v>17000</v>
      </c>
    </row>
    <row r="15" spans="1:35" x14ac:dyDescent="0.25">
      <c r="A15" s="522"/>
      <c r="B15" s="356" t="s">
        <v>500</v>
      </c>
      <c r="C15" s="357">
        <f>'2A Önk bev'!C37+'3A PH'!C12</f>
        <v>3000</v>
      </c>
      <c r="D15" s="357">
        <f>'2A Önk bev'!D37+'3A PH'!D12</f>
        <v>0</v>
      </c>
      <c r="E15" s="357">
        <f>'2A Önk bev'!E37+'3A PH'!E12</f>
        <v>0</v>
      </c>
      <c r="F15" s="357">
        <f t="shared" si="1"/>
        <v>3000</v>
      </c>
      <c r="G15" s="357">
        <f>'2A Önk bev'!G37+'3A PH'!G12</f>
        <v>3000</v>
      </c>
      <c r="H15" s="491">
        <f>'2A Önk bev'!H37+'3A PH'!H12</f>
        <v>0</v>
      </c>
      <c r="I15" s="491">
        <f>'2A Önk bev'!I37+'3A PH'!I12</f>
        <v>0</v>
      </c>
      <c r="J15" s="491">
        <f t="shared" si="3"/>
        <v>3000</v>
      </c>
      <c r="K15" s="357">
        <f>'2A Önk bev'!K37+'3A PH'!K12</f>
        <v>3000</v>
      </c>
      <c r="L15" s="491">
        <f>'2A Önk bev'!L37+'3A PH'!L12</f>
        <v>0</v>
      </c>
      <c r="M15" s="491">
        <f>'2A Önk bev'!M37+'3A PH'!M12</f>
        <v>0</v>
      </c>
      <c r="N15" s="491">
        <f t="shared" si="5"/>
        <v>3000</v>
      </c>
      <c r="O15" s="357">
        <f>'2A Önk bev'!O37+'3A PH'!O12</f>
        <v>7175</v>
      </c>
      <c r="P15" s="491">
        <f>'2A Önk bev'!P37+'3A PH'!P12</f>
        <v>0</v>
      </c>
      <c r="Q15" s="491">
        <f>'2A Önk bev'!Q37+'3A PH'!Q12</f>
        <v>0</v>
      </c>
      <c r="R15" s="491">
        <f t="shared" si="7"/>
        <v>7175</v>
      </c>
      <c r="S15" s="937">
        <f>'2A Önk bev'!S37+'3A PH'!S12</f>
        <v>7000</v>
      </c>
      <c r="T15" s="970">
        <f>'2A Önk bev'!T37+'3A PH'!T12</f>
        <v>0</v>
      </c>
      <c r="U15" s="970">
        <f>'2A Önk bev'!U37+'3A PH'!U12</f>
        <v>0</v>
      </c>
      <c r="V15" s="970">
        <f t="shared" si="9"/>
        <v>7000</v>
      </c>
      <c r="W15" s="357">
        <f>'2A Önk bev'!W37+'3A PH'!W12</f>
        <v>7000</v>
      </c>
      <c r="X15" s="491">
        <f>'2A Önk bev'!X37+'3A PH'!X12</f>
        <v>0</v>
      </c>
      <c r="Y15" s="491">
        <f>'2A Önk bev'!Y37+'3A PH'!Y12</f>
        <v>0</v>
      </c>
      <c r="Z15" s="491">
        <f t="shared" si="11"/>
        <v>7000</v>
      </c>
      <c r="AA15" s="357">
        <f>'2A Önk bev'!AA37+'3A PH'!AA12</f>
        <v>7000</v>
      </c>
      <c r="AB15" s="491">
        <f>'2A Önk bev'!AB37+'3A PH'!AB12</f>
        <v>0</v>
      </c>
      <c r="AC15" s="491">
        <f>'2A Önk bev'!AC37+'3A PH'!AC12</f>
        <v>0</v>
      </c>
      <c r="AD15" s="491">
        <f t="shared" si="13"/>
        <v>7000</v>
      </c>
      <c r="AE15" s="937">
        <f>'2A Önk bev'!AE37+'3A PH'!AE12</f>
        <v>7000</v>
      </c>
      <c r="AF15" s="970">
        <f>'2A Önk bev'!AF37+'3A PH'!AF12</f>
        <v>0</v>
      </c>
      <c r="AG15" s="970">
        <f>'2A Önk bev'!AG37+'3A PH'!AG12</f>
        <v>0</v>
      </c>
      <c r="AH15" s="970">
        <f t="shared" si="15"/>
        <v>7000</v>
      </c>
    </row>
    <row r="16" spans="1:35" x14ac:dyDescent="0.25">
      <c r="A16" s="522"/>
      <c r="B16" s="356" t="s">
        <v>669</v>
      </c>
      <c r="C16" s="357">
        <f>'2A Önk bev'!C38+'2A Önk bev'!C39+'2A Önk bev'!C40</f>
        <v>10000</v>
      </c>
      <c r="D16" s="357">
        <f>'2A Önk bev'!D38+'2A Önk bev'!D39+'2A Önk bev'!D40</f>
        <v>0</v>
      </c>
      <c r="E16" s="357">
        <f>'2A Önk bev'!E38+'2A Önk bev'!E39+'2A Önk bev'!E40</f>
        <v>0</v>
      </c>
      <c r="F16" s="357">
        <f t="shared" si="1"/>
        <v>10000</v>
      </c>
      <c r="G16" s="357">
        <f>'2A Önk bev'!G38+'2A Önk bev'!G39+'2A Önk bev'!G40</f>
        <v>10000</v>
      </c>
      <c r="H16" s="491">
        <f>'2A Önk bev'!H38+'2A Önk bev'!H39+'2A Önk bev'!H40</f>
        <v>0</v>
      </c>
      <c r="I16" s="491">
        <f>'2A Önk bev'!I38+'2A Önk bev'!I39+'2A Önk bev'!I40</f>
        <v>0</v>
      </c>
      <c r="J16" s="491">
        <f t="shared" si="3"/>
        <v>10000</v>
      </c>
      <c r="K16" s="357">
        <f>'2A Önk bev'!K38+'2A Önk bev'!K39+'2A Önk bev'!K40</f>
        <v>10000</v>
      </c>
      <c r="L16" s="491">
        <f>'2A Önk bev'!L38+'2A Önk bev'!L39+'2A Önk bev'!L40</f>
        <v>0</v>
      </c>
      <c r="M16" s="491">
        <f>'2A Önk bev'!M38+'2A Önk bev'!M39+'2A Önk bev'!M40</f>
        <v>0</v>
      </c>
      <c r="N16" s="491">
        <f t="shared" si="5"/>
        <v>10000</v>
      </c>
      <c r="O16" s="357">
        <f>'2A Önk bev'!O38+'2A Önk bev'!O39+'2A Önk bev'!O40</f>
        <v>11383</v>
      </c>
      <c r="P16" s="491">
        <f>'2A Önk bev'!P38+'2A Önk bev'!P39+'2A Önk bev'!P40</f>
        <v>0</v>
      </c>
      <c r="Q16" s="491">
        <f>'2A Önk bev'!Q38+'2A Önk bev'!Q39+'2A Önk bev'!Q40</f>
        <v>0</v>
      </c>
      <c r="R16" s="491">
        <f t="shared" si="7"/>
        <v>11383</v>
      </c>
      <c r="S16" s="937">
        <f>'2A Önk bev'!S38+'2A Önk bev'!S39+'2A Önk bev'!S40</f>
        <v>10000</v>
      </c>
      <c r="T16" s="970">
        <f>'2A Önk bev'!T38+'2A Önk bev'!T39+'2A Önk bev'!T40</f>
        <v>0</v>
      </c>
      <c r="U16" s="970">
        <f>'2A Önk bev'!U38+'2A Önk bev'!U39+'2A Önk bev'!U40</f>
        <v>0</v>
      </c>
      <c r="V16" s="970">
        <f t="shared" si="9"/>
        <v>10000</v>
      </c>
      <c r="W16" s="357">
        <f>'2A Önk bev'!W38+'2A Önk bev'!W39+'2A Önk bev'!W40</f>
        <v>10000</v>
      </c>
      <c r="X16" s="491">
        <f>'2A Önk bev'!X38+'2A Önk bev'!X39+'2A Önk bev'!X40</f>
        <v>0</v>
      </c>
      <c r="Y16" s="491">
        <f>'2A Önk bev'!Y38+'2A Önk bev'!Y39+'2A Önk bev'!Y40</f>
        <v>0</v>
      </c>
      <c r="Z16" s="491">
        <f t="shared" si="11"/>
        <v>10000</v>
      </c>
      <c r="AA16" s="357">
        <f>'2A Önk bev'!AA38+'2A Önk bev'!AA39+'2A Önk bev'!AA40</f>
        <v>10000</v>
      </c>
      <c r="AB16" s="491">
        <f>'2A Önk bev'!AB38+'2A Önk bev'!AB39+'2A Önk bev'!AB40</f>
        <v>0</v>
      </c>
      <c r="AC16" s="491">
        <f>'2A Önk bev'!AC38+'2A Önk bev'!AC39+'2A Önk bev'!AC40</f>
        <v>0</v>
      </c>
      <c r="AD16" s="491">
        <f t="shared" si="13"/>
        <v>10000</v>
      </c>
      <c r="AE16" s="937">
        <f>'2A Önk bev'!AE38+'2A Önk bev'!AE39+'2A Önk bev'!AE40</f>
        <v>10000</v>
      </c>
      <c r="AF16" s="970">
        <f>'2A Önk bev'!AF38+'2A Önk bev'!AF39+'2A Önk bev'!AF40</f>
        <v>0</v>
      </c>
      <c r="AG16" s="970">
        <f>'2A Önk bev'!AG38+'2A Önk bev'!AG39+'2A Önk bev'!AG40</f>
        <v>0</v>
      </c>
      <c r="AH16" s="970">
        <f t="shared" si="15"/>
        <v>10000</v>
      </c>
    </row>
    <row r="17" spans="1:37" x14ac:dyDescent="0.25">
      <c r="A17" s="560" t="s">
        <v>315</v>
      </c>
      <c r="B17" s="561" t="s">
        <v>314</v>
      </c>
      <c r="C17" s="562">
        <f t="shared" ref="C17:E17" si="32">SUM(C18:C25)</f>
        <v>181066</v>
      </c>
      <c r="D17" s="562">
        <f t="shared" si="32"/>
        <v>62090</v>
      </c>
      <c r="E17" s="562">
        <f t="shared" si="32"/>
        <v>0</v>
      </c>
      <c r="F17" s="562">
        <f t="shared" si="1"/>
        <v>243156</v>
      </c>
      <c r="G17" s="562">
        <f t="shared" ref="G17:I17" si="33">SUM(G18:G25)</f>
        <v>263547</v>
      </c>
      <c r="H17" s="573">
        <f t="shared" si="33"/>
        <v>189649</v>
      </c>
      <c r="I17" s="573">
        <f t="shared" si="33"/>
        <v>0</v>
      </c>
      <c r="J17" s="573">
        <f t="shared" si="3"/>
        <v>453196</v>
      </c>
      <c r="K17" s="562">
        <f t="shared" ref="K17:M17" si="34">SUM(K18:K25)</f>
        <v>203988</v>
      </c>
      <c r="L17" s="573">
        <f t="shared" si="34"/>
        <v>59543</v>
      </c>
      <c r="M17" s="573" t="e">
        <f t="shared" si="34"/>
        <v>#REF!</v>
      </c>
      <c r="N17" s="573" t="e">
        <f t="shared" si="5"/>
        <v>#REF!</v>
      </c>
      <c r="O17" s="562">
        <f t="shared" ref="O17:Q17" si="35">SUM(O18:O25)</f>
        <v>419822</v>
      </c>
      <c r="P17" s="573">
        <f t="shared" si="35"/>
        <v>0</v>
      </c>
      <c r="Q17" s="573">
        <f t="shared" si="35"/>
        <v>0</v>
      </c>
      <c r="R17" s="573">
        <f t="shared" si="7"/>
        <v>419822</v>
      </c>
      <c r="S17" s="562">
        <f t="shared" ref="S17:U17" si="36">SUM(S18:S25)</f>
        <v>211975</v>
      </c>
      <c r="T17" s="573">
        <f t="shared" si="36"/>
        <v>36637</v>
      </c>
      <c r="U17" s="573">
        <f t="shared" si="36"/>
        <v>0</v>
      </c>
      <c r="V17" s="573">
        <f t="shared" si="9"/>
        <v>248612</v>
      </c>
      <c r="W17" s="562">
        <f t="shared" ref="W17:Y17" si="37">SUM(W18:W25)</f>
        <v>47760</v>
      </c>
      <c r="X17" s="573">
        <f t="shared" si="37"/>
        <v>200852</v>
      </c>
      <c r="Y17" s="573">
        <f t="shared" si="37"/>
        <v>0</v>
      </c>
      <c r="Z17" s="573">
        <f t="shared" si="11"/>
        <v>248612</v>
      </c>
      <c r="AA17" s="562">
        <f t="shared" ref="AA17:AC17" si="38">SUM(AA18:AA25)</f>
        <v>211975</v>
      </c>
      <c r="AB17" s="573">
        <f t="shared" si="38"/>
        <v>36637</v>
      </c>
      <c r="AC17" s="573">
        <f t="shared" si="38"/>
        <v>0</v>
      </c>
      <c r="AD17" s="573">
        <f t="shared" si="13"/>
        <v>248612</v>
      </c>
      <c r="AE17" s="562">
        <f t="shared" ref="AE17:AG17" si="39">SUM(AE18:AE25)</f>
        <v>218475</v>
      </c>
      <c r="AF17" s="573">
        <f t="shared" si="39"/>
        <v>39875</v>
      </c>
      <c r="AG17" s="573">
        <f t="shared" si="39"/>
        <v>0</v>
      </c>
      <c r="AH17" s="573">
        <f t="shared" si="15"/>
        <v>258350</v>
      </c>
      <c r="AI17" s="530"/>
    </row>
    <row r="18" spans="1:37" x14ac:dyDescent="0.25">
      <c r="A18" s="522"/>
      <c r="B18" s="356" t="s">
        <v>504</v>
      </c>
      <c r="C18" s="357">
        <f>'2A Önk bev'!C42+'3A PH'!C15+'4H VG bev kiad'!C12+'4A Walla'!C12+'4B Nyitnikék'!C12+'4C Bóbita'!C12+'4D MMMH'!C12+'4E Könyvtár'!C12+'4F Segítő Kéz'!C12</f>
        <v>4000</v>
      </c>
      <c r="D18" s="357">
        <f>'2A Önk bev'!D42+'3A PH'!D15+'4H VG bev kiad'!D12+'4A Walla'!D12+'4B Nyitnikék'!D12+'4C Bóbita'!D12+'4D MMMH'!D12+'4E Könyvtár'!D12+'4F Segítő Kéz'!D12</f>
        <v>0</v>
      </c>
      <c r="E18" s="357">
        <f>'2A Önk bev'!E42+'3A PH'!E15</f>
        <v>0</v>
      </c>
      <c r="F18" s="357">
        <f t="shared" si="1"/>
        <v>4000</v>
      </c>
      <c r="G18" s="357">
        <f>'2A Önk bev'!G42+'3A PH'!G15+'4H VG bev kiad'!F12+'4A Walla'!F12+'4B Nyitnikék'!F12+'4C Bóbita'!F12+'4D MMMH'!F12+'4E Könyvtár'!F12+'4F Segítő Kéz'!F12</f>
        <v>4000</v>
      </c>
      <c r="H18" s="491">
        <f>'2A Önk bev'!H42+'3A PH'!H15+'4H VG bev kiad'!G12+'4A Walla'!G12+'4B Nyitnikék'!G12+'4C Bóbita'!G12+'4D MMMH'!G12+'4E Könyvtár'!G12+'4F Segítő Kéz'!G12</f>
        <v>0</v>
      </c>
      <c r="I18" s="491">
        <f>'2A Önk bev'!I42+'3A PH'!I15</f>
        <v>0</v>
      </c>
      <c r="J18" s="491">
        <f t="shared" si="3"/>
        <v>4000</v>
      </c>
      <c r="K18" s="357">
        <f>'2A Önk bev'!K42+'3A PH'!K15+'4H VG bev kiad'!I12+'4A Walla'!I12+'4B Nyitnikék'!I12+'4C Bóbita'!I12+'4D MMMH'!I12+'4E Könyvtár'!I12+'4F Segítő Kéz'!I12</f>
        <v>4000</v>
      </c>
      <c r="L18" s="491">
        <f>'2A Önk bev'!L42+'3A PH'!L15+'4H VG bev kiad'!J12+'4A Walla'!J12+'4B Nyitnikék'!J12+'4C Bóbita'!J12+'4D MMMH'!J12+'4E Könyvtár'!J12+'4F Segítő Kéz'!J12</f>
        <v>0</v>
      </c>
      <c r="M18" s="491" t="e">
        <f>'2A Önk bev'!M42+'3A PH'!M15+'4H VG bev kiad'!#REF!+'4A Walla'!#REF!+'4B Nyitnikék'!#REF!+'4C Bóbita'!#REF!+'4D MMMH'!#REF!+'4E Könyvtár'!#REF!+'4F Segítő Kéz'!#REF!</f>
        <v>#REF!</v>
      </c>
      <c r="N18" s="491" t="e">
        <f t="shared" si="5"/>
        <v>#REF!</v>
      </c>
      <c r="O18" s="357">
        <f>'2A Önk bev'!O42+'3A PH'!O15+'4H VG bev kiad'!L12+'4A Walla'!L12+'4B Nyitnikék'!L12+'4C Bóbita'!L12+'4D MMMH'!L12+'4E Könyvtár'!L12+'4F Segítő Kéz'!L12</f>
        <v>5994</v>
      </c>
      <c r="P18" s="491">
        <f>'2A Önk bev'!P42+'3A PH'!P15+'4H VG bev kiad'!M12+'4A Walla'!M12+'4B Nyitnikék'!M12+'4C Bóbita'!M12+'4D MMMH'!M12+'4E Könyvtár'!M12+'4F Segítő Kéz'!M12</f>
        <v>0</v>
      </c>
      <c r="Q18" s="491">
        <f>'2A Önk bev'!Q42+'3A PH'!Q15</f>
        <v>0</v>
      </c>
      <c r="R18" s="491">
        <f t="shared" si="7"/>
        <v>5994</v>
      </c>
      <c r="S18" s="937">
        <f>'2A Önk bev'!S42+'3A PH'!S15+'4H VG bev kiad'!O12+'4A Walla'!O12+'4B Nyitnikék'!O12+'4C Bóbita'!O12+'4D MMMH'!O12+'4E Könyvtár'!O12+'4F Segítő Kéz'!O12</f>
        <v>0</v>
      </c>
      <c r="T18" s="970">
        <f>'2A Önk bev'!T42+'3A PH'!T15+'4H VG bev kiad'!P12+'4A Walla'!P12+'4B Nyitnikék'!P12+'4C Bóbita'!P12+'4D MMMH'!P12+'4E Könyvtár'!P12+'4F Segítő Kéz'!P12</f>
        <v>0</v>
      </c>
      <c r="U18" s="970">
        <f>'2A Önk bev'!U42+'3A PH'!U15</f>
        <v>0</v>
      </c>
      <c r="V18" s="970">
        <f t="shared" si="9"/>
        <v>0</v>
      </c>
      <c r="W18" s="357">
        <f>'2A Önk bev'!W42+'3A PH'!W15+'4H VG bev kiad'!S12+'4A Walla'!S12+'4B Nyitnikék'!S12+'4C Bóbita'!S12+'4D MMMH'!S12+'4E Könyvtár'!S12+'4F Segítő Kéz'!S12</f>
        <v>0</v>
      </c>
      <c r="X18" s="491">
        <f>'2A Önk bev'!X42+'3A PH'!X15+'4H VG bev kiad'!T12+'4A Walla'!T12+'4B Nyitnikék'!T12+'4C Bóbita'!T12+'4D MMMH'!T12+'4E Könyvtár'!T12+'4F Segítő Kéz'!T12</f>
        <v>0</v>
      </c>
      <c r="Y18" s="491">
        <f>'2A Önk bev'!Y42+'3A PH'!Y15</f>
        <v>0</v>
      </c>
      <c r="Z18" s="491">
        <f t="shared" si="11"/>
        <v>0</v>
      </c>
      <c r="AA18" s="357">
        <f>'2A Önk bev'!AA42+'3A PH'!AA15+'4H VG bev kiad'!W12+'4A Walla'!W12+'4B Nyitnikék'!W12+'4C Bóbita'!W12+'4D MMMH'!W12+'4E Könyvtár'!W12+'4F Segítő Kéz'!W12</f>
        <v>0</v>
      </c>
      <c r="AB18" s="491">
        <f>'2A Önk bev'!AB42+'3A PH'!AB15+'4H VG bev kiad'!X12+'4A Walla'!X12+'4B Nyitnikék'!X12+'4C Bóbita'!X12+'4D MMMH'!X12+'4E Könyvtár'!X12+'4F Segítő Kéz'!X12</f>
        <v>0</v>
      </c>
      <c r="AC18" s="491">
        <f>'2A Önk bev'!AC42+'3A PH'!AC15</f>
        <v>0</v>
      </c>
      <c r="AD18" s="491">
        <f t="shared" si="13"/>
        <v>0</v>
      </c>
      <c r="AE18" s="937">
        <f>'2A Önk bev'!AE42+'3A PH'!AE15+'4H VG bev kiad'!X12+'4A Walla'!X12+'4B Nyitnikék'!X12+'4C Bóbita'!X12+'4D MMMH'!X12+'4E Könyvtár'!X12+'4F Segítő Kéz'!X12</f>
        <v>0</v>
      </c>
      <c r="AF18" s="970">
        <f>'2A Önk bev'!AF42+'3A PH'!AF15+'4H VG bev kiad'!Y12+'4A Walla'!Y12+'4B Nyitnikék'!Y12+'4C Bóbita'!Y12+'4D MMMH'!Y12+'4E Könyvtár'!Y12+'4F Segítő Kéz'!Y12</f>
        <v>0</v>
      </c>
      <c r="AG18" s="970">
        <f>'2A Önk bev'!AG42+'3A PH'!AG15</f>
        <v>0</v>
      </c>
      <c r="AH18" s="970">
        <f t="shared" si="15"/>
        <v>0</v>
      </c>
    </row>
    <row r="19" spans="1:37" x14ac:dyDescent="0.25">
      <c r="A19" s="522"/>
      <c r="B19" s="356" t="s">
        <v>505</v>
      </c>
      <c r="C19" s="357">
        <f>'2A Önk bev'!C43+'3A PH'!C16+'4H VG bev kiad'!C13+'4A Walla'!C13+'4B Nyitnikék'!C13+'4C Bóbita'!C13+'4D MMMH'!C13+'4E Könyvtár'!C13+'4F Segítő Kéz'!C13</f>
        <v>49998</v>
      </c>
      <c r="D19" s="357">
        <f>'2A Önk bev'!D43+'3A PH'!D16+'4H VG bev kiad'!D13+'4A Walla'!D13+'4B Nyitnikék'!D13+'4C Bóbita'!D13+'4D MMMH'!D13+'4E Könyvtár'!D13+'4F Segítő Kéz'!D13</f>
        <v>0</v>
      </c>
      <c r="E19" s="357">
        <f>'2A Önk bev'!E43+'3A PH'!E16</f>
        <v>0</v>
      </c>
      <c r="F19" s="357">
        <f t="shared" si="1"/>
        <v>49998</v>
      </c>
      <c r="G19" s="357">
        <f>'2A Önk bev'!G43+'3A PH'!G16+'4H VG bev kiad'!F13+'4A Walla'!F13+'4B Nyitnikék'!F13+'4C Bóbita'!F13+'4D MMMH'!F13+'4E Könyvtár'!F13+'4F Segítő Kéz'!F13</f>
        <v>96226</v>
      </c>
      <c r="H19" s="491">
        <f>'2A Önk bev'!H43+'3A PH'!H16+'4H VG bev kiad'!G13+'4A Walla'!G13+'4B Nyitnikék'!G13+'4C Bóbita'!G13+'4D MMMH'!G13+'4E Könyvtár'!G13+'4F Segítő Kéz'!G13</f>
        <v>0</v>
      </c>
      <c r="I19" s="491">
        <f>'2A Önk bev'!I43+'3A PH'!I16</f>
        <v>0</v>
      </c>
      <c r="J19" s="491">
        <f t="shared" si="3"/>
        <v>96226</v>
      </c>
      <c r="K19" s="357">
        <f>'2A Önk bev'!K43+'3A PH'!K16+'4H VG bev kiad'!I13+'4A Walla'!I13+'4B Nyitnikék'!I13+'4C Bóbita'!I13+'4D MMMH'!I13+'4E Könyvtár'!I13+'4F Segítő Kéz'!I13</f>
        <v>50090</v>
      </c>
      <c r="L19" s="491">
        <f>'2A Önk bev'!L43+'3A PH'!L16+'4H VG bev kiad'!J13+'4A Walla'!J13+'4B Nyitnikék'!J13+'4C Bóbita'!J13+'4D MMMH'!J13+'4E Könyvtár'!J13+'4F Segítő Kéz'!J13</f>
        <v>0</v>
      </c>
      <c r="M19" s="491" t="e">
        <f>'2A Önk bev'!M43+'3A PH'!M16+'4H VG bev kiad'!#REF!+'4A Walla'!#REF!+'4B Nyitnikék'!#REF!+'4C Bóbita'!#REF!+'4D MMMH'!#REF!+'4E Könyvtár'!#REF!+'4F Segítő Kéz'!#REF!</f>
        <v>#REF!</v>
      </c>
      <c r="N19" s="491" t="e">
        <f t="shared" si="5"/>
        <v>#REF!</v>
      </c>
      <c r="O19" s="357">
        <f>'2A Önk bev'!O43+'3A PH'!O16+'4H VG bev kiad'!L13+'4A Walla'!L13+'4B Nyitnikék'!L13+'4C Bóbita'!L13+'4D MMMH'!L13+'4E Könyvtár'!L13+'4F Segítő Kéz'!L13</f>
        <v>80313</v>
      </c>
      <c r="P19" s="491">
        <f>'2A Önk bev'!P43+'3A PH'!P16+'4H VG bev kiad'!M13+'4A Walla'!M13+'4B Nyitnikék'!M13+'4C Bóbita'!M13+'4D MMMH'!M13+'4E Könyvtár'!M13+'4F Segítő Kéz'!M13</f>
        <v>0</v>
      </c>
      <c r="Q19" s="491">
        <f>'2A Önk bev'!Q43+'3A PH'!Q16</f>
        <v>0</v>
      </c>
      <c r="R19" s="491">
        <f t="shared" si="7"/>
        <v>80313</v>
      </c>
      <c r="S19" s="937">
        <f>'2A Önk bev'!S43+'3A PH'!S16+'4H VG bev kiad'!O13+'4A Walla'!O13+'4B Nyitnikék'!O13+'4C Bóbita'!O13+'4D MMMH'!O13+'4E Könyvtár'!O13+'4F Segítő Kéz'!O13</f>
        <v>73830</v>
      </c>
      <c r="T19" s="970">
        <f>'2A Önk bev'!T43+'3A PH'!T16+'4H VG bev kiad'!P13+'4A Walla'!P13+'4B Nyitnikék'!P13+'4C Bóbita'!P13+'4D MMMH'!P13+'4E Könyvtár'!P13+'4F Segítő Kéz'!P13</f>
        <v>0</v>
      </c>
      <c r="U19" s="970">
        <f>'2A Önk bev'!U43+'3A PH'!U16</f>
        <v>0</v>
      </c>
      <c r="V19" s="970">
        <f t="shared" si="9"/>
        <v>73830</v>
      </c>
      <c r="W19" s="357">
        <f>'2A Önk bev'!W43+'3A PH'!W16+'4H VG bev kiad'!S13+'4A Walla'!S13+'4B Nyitnikék'!S13+'4C Bóbita'!S13+'4D MMMH'!S13+'4E Könyvtár'!S13+'4F Segítő Kéz'!S13</f>
        <v>25490</v>
      </c>
      <c r="X19" s="491">
        <f>'2A Önk bev'!X43+'3A PH'!X16+'4H VG bev kiad'!T13+'4A Walla'!T13+'4B Nyitnikék'!T13+'4C Bóbita'!T13+'4D MMMH'!T13+'4E Könyvtár'!T13+'4F Segítő Kéz'!T13</f>
        <v>48340</v>
      </c>
      <c r="Y19" s="491">
        <f>'2A Önk bev'!Y43+'3A PH'!Y16</f>
        <v>0</v>
      </c>
      <c r="Z19" s="491">
        <f t="shared" si="11"/>
        <v>73830</v>
      </c>
      <c r="AA19" s="357">
        <f>'2A Önk bev'!AA43+'3A PH'!AA16+'4H VG bev kiad'!U13+'4A Walla'!U13+'4B Nyitnikék'!U13+'4C Bóbita'!U13+'4D MMMH'!U13+'4E Könyvtár'!U13+'4F Segítő Kéz'!U13</f>
        <v>73830</v>
      </c>
      <c r="AB19" s="491">
        <f>'2A Önk bev'!AB43+'3A PH'!AB16+'4H VG bev kiad'!V13+'4A Walla'!V13+'4B Nyitnikék'!V13+'4C Bóbita'!V13+'4D MMMH'!V13+'4E Könyvtár'!V13+'4F Segítő Kéz'!V13</f>
        <v>0</v>
      </c>
      <c r="AC19" s="491">
        <f>'2A Önk bev'!AC43+'3A PH'!AC16</f>
        <v>0</v>
      </c>
      <c r="AD19" s="491">
        <f t="shared" si="13"/>
        <v>73830</v>
      </c>
      <c r="AE19" s="937">
        <f>'2A Önk bev'!AE43+'3A PH'!AE16+'4H VG bev kiad'!X13+'4A Walla'!X13+'4B Nyitnikék'!X13+'4C Bóbita'!X13+'4D MMMH'!X13+'4E Könyvtár'!X13+'4F Segítő Kéz'!X13</f>
        <v>73830</v>
      </c>
      <c r="AF19" s="970">
        <f>'2A Önk bev'!AF43+'3A PH'!AF16+'4H VG bev kiad'!Y13+'4A Walla'!Y13+'4B Nyitnikék'!Y13+'4C Bóbita'!Y13+'4D MMMH'!Y13+'4E Könyvtár'!Y13+'4F Segítő Kéz'!Y13</f>
        <v>3238</v>
      </c>
      <c r="AG19" s="970">
        <f>'2A Önk bev'!AG43+'3A PH'!AG16</f>
        <v>0</v>
      </c>
      <c r="AH19" s="970">
        <f t="shared" si="15"/>
        <v>77068</v>
      </c>
      <c r="AI19" s="530"/>
    </row>
    <row r="20" spans="1:37" x14ac:dyDescent="0.25">
      <c r="A20" s="522"/>
      <c r="B20" s="356" t="s">
        <v>508</v>
      </c>
      <c r="C20" s="357">
        <f>'2A Önk bev'!C46+'3A PH'!C17+'4H VG bev kiad'!C14+'4A Walla'!C14+'4B Nyitnikék'!C14+'4C Bóbita'!C14+'4D MMMH'!C14+'4E Könyvtár'!C14+'4F Segítő Kéz'!C14</f>
        <v>8674</v>
      </c>
      <c r="D20" s="357">
        <f>'2A Önk bev'!D46+'3A PH'!D17+'4H VG bev kiad'!D14+'4A Walla'!D14+'4B Nyitnikék'!D14+'4C Bóbita'!D14+'4D MMMH'!D14+'4E Könyvtár'!D14+'4F Segítő Kéz'!D14</f>
        <v>48890</v>
      </c>
      <c r="E20" s="357">
        <f>'2A Önk bev'!E46+'3A PH'!E17</f>
        <v>0</v>
      </c>
      <c r="F20" s="357">
        <f t="shared" si="1"/>
        <v>57564</v>
      </c>
      <c r="G20" s="357">
        <f>'2A Önk bev'!G46+'3A PH'!G17+'4H VG bev kiad'!F14+'4A Walla'!F14+'4B Nyitnikék'!F14+'4C Bóbita'!F14+'4D MMMH'!F14+'4E Könyvtár'!F14+'4F Segítő Kéz'!F14</f>
        <v>8674</v>
      </c>
      <c r="H20" s="491">
        <f>'2A Önk bev'!H46+'3A PH'!H17+'4H VG bev kiad'!G14+'4A Walla'!G14+'4B Nyitnikék'!G14+'4C Bóbita'!G14+'4D MMMH'!G14+'4E Könyvtár'!G14+'4F Segítő Kéz'!G14</f>
        <v>48890</v>
      </c>
      <c r="I20" s="491">
        <f>'2A Önk bev'!I46+'3A PH'!I17</f>
        <v>0</v>
      </c>
      <c r="J20" s="491">
        <f t="shared" si="3"/>
        <v>57564</v>
      </c>
      <c r="K20" s="357">
        <f>'2A Önk bev'!K46+'3A PH'!K17+'4H VG bev kiad'!I14+'4A Walla'!I14+'4B Nyitnikék'!I14+'4C Bóbita'!I14+'4D MMMH'!I14+'4E Könyvtár'!I14+'4F Segítő Kéz'!I14</f>
        <v>8673</v>
      </c>
      <c r="L20" s="491">
        <f>'2A Önk bev'!L46+'3A PH'!L17+'4H VG bev kiad'!J14+'4A Walla'!J14+'4B Nyitnikék'!J14+'4C Bóbita'!J14+'4D MMMH'!J14+'4E Könyvtár'!J14+'4F Segítő Kéz'!J14</f>
        <v>46884</v>
      </c>
      <c r="M20" s="491" t="e">
        <f>'2A Önk bev'!M46+'3A PH'!M17+'4H VG bev kiad'!#REF!+'4A Walla'!#REF!+'4B Nyitnikék'!#REF!+'4C Bóbita'!#REF!+'4D MMMH'!#REF!+'4E Könyvtár'!#REF!+'4F Segítő Kéz'!#REF!</f>
        <v>#REF!</v>
      </c>
      <c r="N20" s="491" t="e">
        <f t="shared" si="5"/>
        <v>#REF!</v>
      </c>
      <c r="O20" s="357">
        <f>'2A Önk bev'!O46+'3A PH'!O17+'4H VG bev kiad'!L14+'4A Walla'!L14+'4B Nyitnikék'!L14+'4C Bóbita'!L14+'4D MMMH'!L14+'4E Könyvtár'!L14+'4F Segítő Kéz'!L14</f>
        <v>17078</v>
      </c>
      <c r="P20" s="491">
        <f>'2A Önk bev'!P46+'3A PH'!P17+'4H VG bev kiad'!M14+'4A Walla'!M14+'4B Nyitnikék'!M14+'4C Bóbita'!M14+'4D MMMH'!M14+'4E Könyvtár'!M14+'4F Segítő Kéz'!M14</f>
        <v>0</v>
      </c>
      <c r="Q20" s="491">
        <f>'2A Önk bev'!Q46+'3A PH'!Q17</f>
        <v>0</v>
      </c>
      <c r="R20" s="491">
        <f t="shared" si="7"/>
        <v>17078</v>
      </c>
      <c r="S20" s="937">
        <f>'2A Önk bev'!S46+'3A PH'!S17+'4H VG bev kiad'!O14+'4A Walla'!O14+'4B Nyitnikék'!O14+'4C Bóbita'!O14+'4D MMMH'!O14+'4E Könyvtár'!O14+'4F Segítő Kéz'!O14</f>
        <v>8000</v>
      </c>
      <c r="T20" s="970">
        <f>'2A Önk bev'!T46+'3A PH'!T17+'4H VG bev kiad'!P14+'4A Walla'!P14+'4B Nyitnikék'!P14+'4C Bóbita'!P14+'4D MMMH'!P14+'4E Könyvtár'!P14+'4F Segítő Kéz'!P14</f>
        <v>28848</v>
      </c>
      <c r="U20" s="970">
        <f>'2A Önk bev'!U46+'3A PH'!U17</f>
        <v>0</v>
      </c>
      <c r="V20" s="970">
        <f t="shared" si="9"/>
        <v>36848</v>
      </c>
      <c r="W20" s="357">
        <f>'2A Önk bev'!W46+'3A PH'!W17+'4H VG bev kiad'!S14+'4A Walla'!S14+'4B Nyitnikék'!S14+'4C Bóbita'!S14+'4D MMMH'!S14+'4E Könyvtár'!S14+'4F Segítő Kéz'!S14</f>
        <v>8000</v>
      </c>
      <c r="X20" s="491">
        <f>'2A Önk bev'!X46+'3A PH'!X17+'4H VG bev kiad'!T14+'4A Walla'!T14+'4B Nyitnikék'!T14+'4C Bóbita'!T14+'4D MMMH'!T14+'4E Könyvtár'!T14+'4F Segítő Kéz'!T14</f>
        <v>28848</v>
      </c>
      <c r="Y20" s="491">
        <f>'2A Önk bev'!Y46+'3A PH'!Y17</f>
        <v>0</v>
      </c>
      <c r="Z20" s="491">
        <f t="shared" si="11"/>
        <v>36848</v>
      </c>
      <c r="AA20" s="357">
        <f>'2A Önk bev'!AA46+'3A PH'!AA17+'4H VG bev kiad'!U14+'4A Walla'!U14+'4B Nyitnikék'!U14+'4C Bóbita'!U14+'4D MMMH'!U14+'4E Könyvtár'!U14+'4F Segítő Kéz'!U14</f>
        <v>8000</v>
      </c>
      <c r="AB20" s="491">
        <f>'2A Önk bev'!AB46+'3A PH'!AB17+'4H VG bev kiad'!V14+'4A Walla'!V14+'4B Nyitnikék'!V14+'4C Bóbita'!V14+'4D MMMH'!V14+'4E Könyvtár'!V14+'4F Segítő Kéz'!V14</f>
        <v>28848</v>
      </c>
      <c r="AC20" s="491">
        <f>'2A Önk bev'!AC46+'3A PH'!AC17</f>
        <v>0</v>
      </c>
      <c r="AD20" s="491">
        <f t="shared" si="13"/>
        <v>36848</v>
      </c>
      <c r="AE20" s="937">
        <f>'2A Önk bev'!AE46+'3A PH'!AE17+'4H VG bev kiad'!X14+'4A Walla'!X14+'4B Nyitnikék'!X14+'4C Bóbita'!X14+'4D MMMH'!X14+'4E Könyvtár'!X14+'4F Segítő Kéz'!X14</f>
        <v>8000</v>
      </c>
      <c r="AF20" s="970">
        <f>'2A Önk bev'!AF46+'3A PH'!AF17+'4H VG bev kiad'!Y14+'4A Walla'!Y14+'4B Nyitnikék'!Y14+'4C Bóbita'!Y14+'4D MMMH'!Y14+'4E Könyvtár'!Y14+'4F Segítő Kéz'!Y14</f>
        <v>28848</v>
      </c>
      <c r="AG20" s="970">
        <f>'2A Önk bev'!AG46+'3A PH'!AG17</f>
        <v>0</v>
      </c>
      <c r="AH20" s="970">
        <f t="shared" si="15"/>
        <v>36848</v>
      </c>
      <c r="AI20" s="530"/>
    </row>
    <row r="21" spans="1:37" x14ac:dyDescent="0.25">
      <c r="A21" s="522"/>
      <c r="B21" s="356" t="s">
        <v>511</v>
      </c>
      <c r="C21" s="357">
        <f>'2A Önk bev'!C50+'3A PH'!C18+'4H VG bev kiad'!C15+'4A Walla'!C15+'4B Nyitnikék'!C15+'4C Bóbita'!C15+'4D MMMH'!C15+'4E Könyvtár'!C15+'4F Segítő Kéz'!C15+'4G Szérüskert'!C15</f>
        <v>73800</v>
      </c>
      <c r="D21" s="357">
        <f>'2A Önk bev'!D50+'3A PH'!D18+'4H VG bev kiad'!D15+'4A Walla'!D15+'4B Nyitnikék'!D15+'4C Bóbita'!D15+'4D MMMH'!D15+'4E Könyvtár'!D15+'4F Segítő Kéz'!D15+'4G Szérüskert'!D15</f>
        <v>0</v>
      </c>
      <c r="E21" s="357">
        <f>'2A Önk bev'!E50+'3A PH'!E18</f>
        <v>0</v>
      </c>
      <c r="F21" s="357">
        <f t="shared" si="1"/>
        <v>73800</v>
      </c>
      <c r="G21" s="357">
        <f>'2A Önk bev'!G50+'3A PH'!G18+'4H VG bev kiad'!F15+'4A Walla'!F15+'4B Nyitnikék'!F15+'4C Bóbita'!F15+'4D MMMH'!F15+'4E Könyvtár'!F15+'4F Segítő Kéz'!F15+'4G Szérüskert'!F15</f>
        <v>73800</v>
      </c>
      <c r="H21" s="491">
        <f>'2A Önk bev'!H50+'3A PH'!H18+'4H VG bev kiad'!G15+'4A Walla'!G15+'4B Nyitnikék'!G15+'4C Bóbita'!G15+'4D MMMH'!G15+'4E Könyvtár'!G15+'4F Segítő Kéz'!G15+'4G Szérüskert'!G15</f>
        <v>0</v>
      </c>
      <c r="I21" s="491">
        <f>'2A Önk bev'!I50+'3A PH'!I18</f>
        <v>0</v>
      </c>
      <c r="J21" s="491">
        <f t="shared" si="3"/>
        <v>73800</v>
      </c>
      <c r="K21" s="357">
        <f>'2A Önk bev'!K50+'3A PH'!K18+'4H VG bev kiad'!I15+'4A Walla'!I15+'4B Nyitnikék'!I15+'4C Bóbita'!I15+'4D MMMH'!I15+'4E Könyvtár'!I15+'4F Segítő Kéz'!I15+'4G Szérüskert'!I15</f>
        <v>73060</v>
      </c>
      <c r="L21" s="491">
        <f>'2A Önk bev'!L50+'3A PH'!L18+'4H VG bev kiad'!J15+'4A Walla'!J15+'4B Nyitnikék'!J15+'4C Bóbita'!J15+'4D MMMH'!J15+'4E Könyvtár'!J15+'4F Segítő Kéz'!J15+'4G Szérüskert'!J15</f>
        <v>0</v>
      </c>
      <c r="M21" s="491" t="e">
        <f>'2A Önk bev'!M50+'3A PH'!M18+'4H VG bev kiad'!#REF!+'4A Walla'!#REF!+'4B Nyitnikék'!#REF!+'4C Bóbita'!#REF!+'4D MMMH'!#REF!+'4E Könyvtár'!#REF!+'4F Segítő Kéz'!#REF!+'4G Szérüskert'!#REF!</f>
        <v>#REF!</v>
      </c>
      <c r="N21" s="491" t="e">
        <f t="shared" si="5"/>
        <v>#REF!</v>
      </c>
      <c r="O21" s="357">
        <f>'2A Önk bev'!O50+'3A PH'!O18+'4H VG bev kiad'!L15+'4A Walla'!L15+'4B Nyitnikék'!L15+'4C Bóbita'!L15+'4D MMMH'!L15+'4E Könyvtár'!L15+'4F Segítő Kéz'!L15+'4G Szérüskert'!L15</f>
        <v>87304</v>
      </c>
      <c r="P21" s="491">
        <f>'2A Önk bev'!P50+'3A PH'!P18+'4H VG bev kiad'!M15+'4A Walla'!M15+'4B Nyitnikék'!M15+'4C Bóbita'!M15+'4D MMMH'!M15+'4E Könyvtár'!M15+'4F Segítő Kéz'!M15+'4G Szérüskert'!M15</f>
        <v>0</v>
      </c>
      <c r="Q21" s="491">
        <f>'2A Önk bev'!Q50+'3A PH'!Q18</f>
        <v>0</v>
      </c>
      <c r="R21" s="491">
        <f t="shared" si="7"/>
        <v>87304</v>
      </c>
      <c r="S21" s="937">
        <f>'2A Önk bev'!S50+'3A PH'!S18+'4H VG bev kiad'!O15+'4A Walla'!O15+'4B Nyitnikék'!O15+'4C Bóbita'!O15+'4D MMMH'!O15+'4E Könyvtár'!O15+'4F Segítő Kéz'!O15+'4G Szérüskert'!O15</f>
        <v>83590</v>
      </c>
      <c r="T21" s="970">
        <f>'2A Önk bev'!T50+'3A PH'!T18+'4H VG bev kiad'!P15+'4A Walla'!P15+'4B Nyitnikék'!P15+'4C Bóbita'!P15+'4D MMMH'!P15+'4E Könyvtár'!P15+'4F Segítő Kéz'!P15+'4G Szérüskert'!P15</f>
        <v>0</v>
      </c>
      <c r="U21" s="970">
        <f>'2A Önk bev'!U50+'3A PH'!U18</f>
        <v>0</v>
      </c>
      <c r="V21" s="970">
        <f t="shared" si="9"/>
        <v>83590</v>
      </c>
      <c r="W21" s="357">
        <f>'2A Önk bev'!W50+'3A PH'!W18+'4H VG bev kiad'!S15+'4A Walla'!S15+'4B Nyitnikék'!S15+'4C Bóbita'!S15+'4D MMMH'!S15+'4E Könyvtár'!S15+'4F Segítő Kéz'!S15+'4G Szérüskert'!S15</f>
        <v>0</v>
      </c>
      <c r="X21" s="491">
        <f>'2A Önk bev'!X50+'3A PH'!X18+'4H VG bev kiad'!T15+'4A Walla'!T15+'4B Nyitnikék'!T15+'4C Bóbita'!T15+'4D MMMH'!T15+'4E Könyvtár'!T15+'4F Segítő Kéz'!T15+'4G Szérüskert'!T15</f>
        <v>83590</v>
      </c>
      <c r="Y21" s="491">
        <f>'2A Önk bev'!Y50+'3A PH'!Y18</f>
        <v>0</v>
      </c>
      <c r="Z21" s="491">
        <f t="shared" si="11"/>
        <v>83590</v>
      </c>
      <c r="AA21" s="357">
        <f>'2A Önk bev'!AA50+'3A PH'!AA18+'4H VG bev kiad'!W15+'4A Walla'!W15+'4B Nyitnikék'!W15+'4C Bóbita'!W15+'4D MMMH'!W15+'4E Könyvtár'!W15+'4F Segítő Kéz'!W15+'4G Szérüskert'!W15</f>
        <v>83590</v>
      </c>
      <c r="AB21" s="491">
        <f>'2A Önk bev'!AB50+'3A PH'!AB18+'4H VG bev kiad'!V15+'4A Walla'!V15+'4B Nyitnikék'!V15+'4C Bóbita'!V15+'4D MMMH'!V15+'4E Könyvtár'!V15+'4F Segítő Kéz'!V15+'4G Szérüskert'!V15</f>
        <v>0</v>
      </c>
      <c r="AC21" s="491">
        <f>'2A Önk bev'!AC50+'3A PH'!AC18</f>
        <v>0</v>
      </c>
      <c r="AD21" s="491">
        <f t="shared" si="13"/>
        <v>83590</v>
      </c>
      <c r="AE21" s="937">
        <f>'2A Önk bev'!AE50+'3A PH'!AE18+'4H VG bev kiad'!X15+'4A Walla'!X15+'4B Nyitnikék'!X15+'4C Bóbita'!X15+'4D MMMH'!X15+'4E Könyvtár'!X15+'4F Segítő Kéz'!X15+'4G Szérüskert'!X15</f>
        <v>85558</v>
      </c>
      <c r="AF21" s="970">
        <f>'2A Önk bev'!AF50+'3A PH'!AF18+'4H VG bev kiad'!Y15+'4A Walla'!Y15+'4B Nyitnikék'!Y15+'4C Bóbita'!Y15+'4D MMMH'!Y15+'4E Könyvtár'!Y15+'4F Segítő Kéz'!Y15+'4G Szérüskert'!Y15</f>
        <v>0</v>
      </c>
      <c r="AG21" s="970">
        <f>'2A Önk bev'!AG50+'3A PH'!AG18</f>
        <v>0</v>
      </c>
      <c r="AH21" s="970">
        <f t="shared" si="15"/>
        <v>85558</v>
      </c>
      <c r="AI21" s="530"/>
      <c r="AK21" s="530"/>
    </row>
    <row r="22" spans="1:37" x14ac:dyDescent="0.25">
      <c r="A22" s="522"/>
      <c r="B22" s="356" t="s">
        <v>512</v>
      </c>
      <c r="C22" s="357">
        <f>'2A Önk bev'!C51+'3A PH'!C19+'4H VG bev kiad'!C16+'4A Walla'!C16+'4B Nyitnikék'!C16+'4C Bóbita'!C16+'4D MMMH'!C16+'4E Könyvtár'!C16+'4F Segítő Kéz'!C16+'4G Szérüskert'!C16</f>
        <v>30103</v>
      </c>
      <c r="D22" s="357">
        <f>'2A Önk bev'!D51+'3A PH'!D19+'4H VG bev kiad'!D16+'4A Walla'!D16+'4B Nyitnikék'!D16+'4C Bóbita'!D16+'4D MMMH'!D16+'4E Könyvtár'!D16+'4F Segítő Kéz'!D16+'4G Szérüskert'!D16</f>
        <v>13200</v>
      </c>
      <c r="E22" s="357">
        <f>'2A Önk bev'!E51+'3A PH'!E19</f>
        <v>0</v>
      </c>
      <c r="F22" s="357">
        <f t="shared" si="1"/>
        <v>43303</v>
      </c>
      <c r="G22" s="357">
        <f>'2A Önk bev'!G51+'3A PH'!G19+'4H VG bev kiad'!F16+'4A Walla'!F16+'4B Nyitnikék'!F16+'4C Bóbita'!F16+'4D MMMH'!F16+'4E Könyvtár'!F16+'4F Segítő Kéz'!F16+'4G Szérüskert'!F16</f>
        <v>42585</v>
      </c>
      <c r="H22" s="491">
        <f>'2A Önk bev'!H51+'3A PH'!H19+'4H VG bev kiad'!G16+'4A Walla'!G16+'4B Nyitnikék'!G16+'4C Bóbita'!G16+'4D MMMH'!G16+'4E Könyvtár'!G16+'4F Segítő Kéz'!G16+'4G Szérüskert'!G16</f>
        <v>140759</v>
      </c>
      <c r="I22" s="491">
        <f>'2A Önk bev'!I51+'3A PH'!I19</f>
        <v>0</v>
      </c>
      <c r="J22" s="491">
        <f t="shared" si="3"/>
        <v>183344</v>
      </c>
      <c r="K22" s="357">
        <f>'2A Önk bev'!K51+'3A PH'!K19+'4H VG bev kiad'!I16+'4A Walla'!I16+'4B Nyitnikék'!I16+'4C Bóbita'!I16+'4D MMMH'!I16+'4E Könyvtár'!I16+'4F Segítő Kéz'!I16+'4G Szérüskert'!I16</f>
        <v>29903</v>
      </c>
      <c r="L22" s="491">
        <f>'2A Önk bev'!L51+'3A PH'!L19+'4H VG bev kiad'!J16+'4A Walla'!J16+'4B Nyitnikék'!J16+'4C Bóbita'!J16+'4D MMMH'!J16+'4E Könyvtár'!J16+'4F Segítő Kéz'!J16+'4G Szérüskert'!J16</f>
        <v>12659</v>
      </c>
      <c r="M22" s="491" t="e">
        <f>'2A Önk bev'!M51+'3A PH'!M19+'4H VG bev kiad'!#REF!+'4A Walla'!#REF!+'4B Nyitnikék'!#REF!+'4C Bóbita'!#REF!+'4D MMMH'!#REF!+'4E Könyvtár'!#REF!+'4F Segítő Kéz'!#REF!+'4G Szérüskert'!#REF!</f>
        <v>#REF!</v>
      </c>
      <c r="N22" s="491" t="e">
        <f t="shared" si="5"/>
        <v>#REF!</v>
      </c>
      <c r="O22" s="357">
        <f>'2A Önk bev'!O51+'3A PH'!O19+'4H VG bev kiad'!L16+'4A Walla'!L16+'4B Nyitnikék'!L16+'4C Bóbita'!L16+'4D MMMH'!L16+'4E Könyvtár'!L16+'4F Segítő Kéz'!L16+'4G Szérüskert'!L16</f>
        <v>187899</v>
      </c>
      <c r="P22" s="491">
        <f>'2A Önk bev'!P51+'3A PH'!P19+'4H VG bev kiad'!M16+'4A Walla'!M16+'4B Nyitnikék'!M16+'4C Bóbita'!M16+'4D MMMH'!M16+'4E Könyvtár'!M16+'4F Segítő Kéz'!M16+'4G Szérüskert'!M16</f>
        <v>0</v>
      </c>
      <c r="Q22" s="491">
        <f>'2A Önk bev'!Q51+'3A PH'!Q19</f>
        <v>0</v>
      </c>
      <c r="R22" s="491">
        <f t="shared" si="7"/>
        <v>187899</v>
      </c>
      <c r="S22" s="937">
        <f>'2A Önk bev'!S51+'3A PH'!S19+'4H VG bev kiad'!O16+'4A Walla'!O16+'4B Nyitnikék'!O16+'4C Bóbita'!O16+'4D MMMH'!O16+'4E Könyvtár'!O16+'4F Segítő Kéz'!O16+'4G Szérüskert'!O16</f>
        <v>31447</v>
      </c>
      <c r="T22" s="970">
        <f>'2A Önk bev'!T51+'3A PH'!T19+'4H VG bev kiad'!P16+'4A Walla'!P16+'4B Nyitnikék'!P16+'4C Bóbita'!P16+'4D MMMH'!P16+'4E Könyvtár'!P16+'4F Segítő Kéz'!P16+'4G Szérüskert'!P16</f>
        <v>7789</v>
      </c>
      <c r="U22" s="970">
        <f>'2A Önk bev'!U51+'3A PH'!U19</f>
        <v>0</v>
      </c>
      <c r="V22" s="970">
        <f t="shared" si="9"/>
        <v>39236</v>
      </c>
      <c r="W22" s="357">
        <f>'2A Önk bev'!W51+'3A PH'!W19+'4H VG bev kiad'!S16+'4A Walla'!S16+'4B Nyitnikék'!S16+'4C Bóbita'!S16+'4D MMMH'!S16+'4E Könyvtár'!S16+'4F Segítő Kéz'!S16+'4G Szérüskert'!S16</f>
        <v>270</v>
      </c>
      <c r="X22" s="491">
        <f>'2A Önk bev'!X51+'3A PH'!X19+'4H VG bev kiad'!T16+'4A Walla'!T16+'4B Nyitnikék'!T16+'4C Bóbita'!T16+'4D MMMH'!T16+'4E Könyvtár'!T16+'4F Segítő Kéz'!T16+'4G Szérüskert'!T16</f>
        <v>38966</v>
      </c>
      <c r="Y22" s="491">
        <f>'2A Önk bev'!Y51+'3A PH'!Y19</f>
        <v>0</v>
      </c>
      <c r="Z22" s="491">
        <f t="shared" si="11"/>
        <v>39236</v>
      </c>
      <c r="AA22" s="357">
        <f>'2A Önk bev'!AA51+'3A PH'!AA19+'4H VG bev kiad'!U16+'4A Walla'!U16+'4B Nyitnikék'!U16+'4C Bóbita'!U16+'4D MMMH'!U16+'4E Könyvtár'!U16+'4F Segítő Kéz'!U16+'4G Szérüskert'!U16</f>
        <v>31447</v>
      </c>
      <c r="AB22" s="491">
        <f>'2A Önk bev'!AB51+'3A PH'!AB19+'4H VG bev kiad'!V16+'4A Walla'!V16+'4B Nyitnikék'!V16+'4C Bóbita'!V16+'4D MMMH'!V16+'4E Könyvtár'!V16+'4F Segítő Kéz'!V16+'4G Szérüskert'!V16</f>
        <v>7789</v>
      </c>
      <c r="AC22" s="491">
        <f>'2A Önk bev'!AC51+'3A PH'!AC19</f>
        <v>0</v>
      </c>
      <c r="AD22" s="491">
        <f t="shared" si="13"/>
        <v>39236</v>
      </c>
      <c r="AE22" s="937">
        <f>'2A Önk bev'!AE51+'3A PH'!AE19+'4H VG bev kiad'!X16+'4A Walla'!X16+'4B Nyitnikék'!X16+'4C Bóbita'!X16+'4D MMMH'!X16+'4E Könyvtár'!X16+'4F Segítő Kéz'!X16+'4G Szérüskert'!X16</f>
        <v>31979</v>
      </c>
      <c r="AF22" s="970">
        <f>'2A Önk bev'!AF51+'3A PH'!AF19+'4H VG bev kiad'!Y16+'4A Walla'!Y16+'4B Nyitnikék'!Y16+'4C Bóbita'!Y16+'4D MMMH'!Y16+'4E Könyvtár'!Y16+'4F Segítő Kéz'!Y16+'4G Szérüskert'!Y16</f>
        <v>7789</v>
      </c>
      <c r="AG22" s="970">
        <f>'2A Önk bev'!AG51+'3A PH'!AG19</f>
        <v>0</v>
      </c>
      <c r="AH22" s="970">
        <f t="shared" si="15"/>
        <v>39768</v>
      </c>
      <c r="AI22" s="530"/>
    </row>
    <row r="23" spans="1:37" x14ac:dyDescent="0.25">
      <c r="A23" s="522"/>
      <c r="B23" s="356" t="s">
        <v>513</v>
      </c>
      <c r="C23" s="357">
        <f>'2A Önk bev'!C52+'3A PH'!C20+'4H VG bev kiad'!C17+'4A Walla'!C17+'4B Nyitnikék'!C17+'4C Bóbita'!C17+'4D MMMH'!C17+'4E Könyvtár'!C17+'4F Segítő Kéz'!C17</f>
        <v>0</v>
      </c>
      <c r="D23" s="357">
        <f>'2A Önk bev'!D52+'3A PH'!D20+'4H VG bev kiad'!D17+'4A Walla'!D17+'4B Nyitnikék'!D17+'4C Bóbita'!D17+'4D MMMH'!D17+'4E Könyvtár'!D17+'4F Segítő Kéz'!D17</f>
        <v>0</v>
      </c>
      <c r="E23" s="357">
        <f>'2A Önk bev'!E52+'3A PH'!E20</f>
        <v>0</v>
      </c>
      <c r="F23" s="357">
        <f t="shared" si="1"/>
        <v>0</v>
      </c>
      <c r="G23" s="357">
        <f>'2A Önk bev'!G52+'3A PH'!G20+'4H VG bev kiad'!F17+'4A Walla'!F17+'4B Nyitnikék'!F17+'4C Bóbita'!F17+'4D MMMH'!F17+'4E Könyvtár'!F17+'4F Segítő Kéz'!F17</f>
        <v>23771</v>
      </c>
      <c r="H23" s="491">
        <f>'2A Önk bev'!H52+'3A PH'!H20+'4H VG bev kiad'!G17+'4A Walla'!G17+'4B Nyitnikék'!G17+'4C Bóbita'!G17+'4D MMMH'!G17+'4E Könyvtár'!G17+'4F Segítő Kéz'!G17</f>
        <v>0</v>
      </c>
      <c r="I23" s="491">
        <f>'2A Önk bev'!I52+'3A PH'!I20</f>
        <v>0</v>
      </c>
      <c r="J23" s="491">
        <f t="shared" si="3"/>
        <v>23771</v>
      </c>
      <c r="K23" s="357">
        <f>'2A Önk bev'!K52+'3A PH'!K20+'4H VG bev kiad'!I17+'4A Walla'!I17+'4B Nyitnikék'!I17+'4C Bóbita'!I17+'4D MMMH'!I17+'4E Könyvtár'!I17+'4F Segítő Kéz'!I17</f>
        <v>23771</v>
      </c>
      <c r="L23" s="491">
        <f>'2A Önk bev'!L52+'3A PH'!L20+'4H VG bev kiad'!J17+'4A Walla'!J17+'4B Nyitnikék'!J17+'4C Bóbita'!J17+'4D MMMH'!J17+'4E Könyvtár'!J17+'4F Segítő Kéz'!J17</f>
        <v>0</v>
      </c>
      <c r="M23" s="491" t="e">
        <f>'2A Önk bev'!M52+'3A PH'!M20+'4H VG bev kiad'!#REF!+'4A Walla'!#REF!+'4B Nyitnikék'!#REF!+'4C Bóbita'!#REF!+'4D MMMH'!#REF!+'4E Könyvtár'!#REF!+'4F Segítő Kéz'!#REF!</f>
        <v>#REF!</v>
      </c>
      <c r="N23" s="491" t="e">
        <f t="shared" si="5"/>
        <v>#REF!</v>
      </c>
      <c r="O23" s="357">
        <f>'2A Önk bev'!O52+'3A PH'!O20+'4H VG bev kiad'!L17+'4A Walla'!L17+'4B Nyitnikék'!L17+'4C Bóbita'!L17+'4D MMMH'!L17+'4E Könyvtár'!L17+'4F Segítő Kéz'!L17</f>
        <v>26241</v>
      </c>
      <c r="P23" s="491">
        <f>'2A Önk bev'!P52+'3A PH'!P20+'4H VG bev kiad'!M17+'4A Walla'!M17+'4B Nyitnikék'!M17+'4C Bóbita'!M17+'4D MMMH'!M17+'4E Könyvtár'!M17+'4F Segítő Kéz'!M17</f>
        <v>0</v>
      </c>
      <c r="Q23" s="491">
        <f>'2A Önk bev'!Q52+'3A PH'!Q20</f>
        <v>0</v>
      </c>
      <c r="R23" s="491">
        <f t="shared" si="7"/>
        <v>26241</v>
      </c>
      <c r="S23" s="937">
        <f>'2A Önk bev'!S52+'3A PH'!S20+'4H VG bev kiad'!O17+'4A Walla'!O17+'4B Nyitnikék'!O17+'4C Bóbita'!O17+'4D MMMH'!O17+'4E Könyvtár'!O17+'4F Segítő Kéz'!O17</f>
        <v>0</v>
      </c>
      <c r="T23" s="970">
        <f>'2A Önk bev'!T52+'3A PH'!T20+'4H VG bev kiad'!P17+'4A Walla'!P17+'4B Nyitnikék'!P17+'4C Bóbita'!P17+'4D MMMH'!P17+'4E Könyvtár'!P17+'4F Segítő Kéz'!P17</f>
        <v>0</v>
      </c>
      <c r="U23" s="970">
        <f>'2A Önk bev'!U52+'3A PH'!U20</f>
        <v>0</v>
      </c>
      <c r="V23" s="970">
        <f t="shared" si="9"/>
        <v>0</v>
      </c>
      <c r="W23" s="357">
        <f>'2A Önk bev'!W52+'3A PH'!W20+'4H VG bev kiad'!S17+'4A Walla'!S17+'4B Nyitnikék'!S17+'4C Bóbita'!S17+'4D MMMH'!S17+'4E Könyvtár'!S17+'4F Segítő Kéz'!S17</f>
        <v>0</v>
      </c>
      <c r="X23" s="491">
        <f>'2A Önk bev'!X52+'3A PH'!X20+'4H VG bev kiad'!T17+'4A Walla'!T17+'4B Nyitnikék'!T17+'4C Bóbita'!T17+'4D MMMH'!T17+'4E Könyvtár'!T17+'4F Segítő Kéz'!T17</f>
        <v>0</v>
      </c>
      <c r="Y23" s="491">
        <f>'2A Önk bev'!Y52+'3A PH'!Y20</f>
        <v>0</v>
      </c>
      <c r="Z23" s="491">
        <f t="shared" si="11"/>
        <v>0</v>
      </c>
      <c r="AA23" s="357">
        <f>'2A Önk bev'!AA52+'3A PH'!AA20+'4H VG bev kiad'!W17+'4A Walla'!W17+'4B Nyitnikék'!W17+'4C Bóbita'!W17+'4D MMMH'!W17+'4E Könyvtár'!W17+'4F Segítő Kéz'!W17</f>
        <v>0</v>
      </c>
      <c r="AB23" s="491">
        <f>'2A Önk bev'!AB52+'3A PH'!AB20+'4H VG bev kiad'!V17+'4A Walla'!X17+'4B Nyitnikék'!X17+'4C Bóbita'!X17+'4D MMMH'!X17+'4E Könyvtár'!X17+'4F Segítő Kéz'!X17</f>
        <v>0</v>
      </c>
      <c r="AC23" s="491">
        <f>'2A Önk bev'!AC52+'3A PH'!AC20</f>
        <v>0</v>
      </c>
      <c r="AD23" s="491">
        <f t="shared" si="13"/>
        <v>0</v>
      </c>
      <c r="AE23" s="937">
        <f>'2A Önk bev'!AE52+'3A PH'!AE20+'4H VG bev kiad'!X17+'4A Walla'!AA17+'4B Nyitnikék'!AA17+'4C Bóbita'!AA17+'4D MMMH'!AA17+'4E Könyvtár'!AA17+'4F Segítő Kéz'!AA17</f>
        <v>4000</v>
      </c>
      <c r="AF23" s="970">
        <f>'2A Önk bev'!AF52+'3A PH'!AF20+'4H VG bev kiad'!Y17+'4A Walla'!Y17+'4B Nyitnikék'!Y17+'4C Bóbita'!Y17+'4D MMMH'!Y17+'4E Könyvtár'!Y17+'4F Segítő Kéz'!Y17</f>
        <v>0</v>
      </c>
      <c r="AG23" s="970">
        <f>'2A Önk bev'!AG52+'3A PH'!AG20</f>
        <v>0</v>
      </c>
      <c r="AH23" s="970">
        <f t="shared" si="15"/>
        <v>4000</v>
      </c>
      <c r="AI23" s="530"/>
    </row>
    <row r="24" spans="1:37" x14ac:dyDescent="0.25">
      <c r="A24" s="522"/>
      <c r="B24" s="356" t="s">
        <v>514</v>
      </c>
      <c r="C24" s="357">
        <f>'2A Önk bev'!C53+'3A PH'!C21+'4H VG bev kiad'!C18+'4A Walla'!C18+'4B Nyitnikék'!C18+'4C Bóbita'!C18+'4D MMMH'!C18+'4E Könyvtár'!C18+'4F Segítő Kéz'!C18</f>
        <v>6001</v>
      </c>
      <c r="D24" s="357">
        <f>'2A Önk bev'!D53+'3A PH'!D21+'4H VG bev kiad'!D18+'4A Walla'!D18+'4B Nyitnikék'!D18+'4C Bóbita'!D18+'4D MMMH'!D18+'4E Könyvtár'!D18+'4F Segítő Kéz'!D18</f>
        <v>0</v>
      </c>
      <c r="E24" s="357">
        <f>'2A Önk bev'!E53+'3A PH'!E21</f>
        <v>0</v>
      </c>
      <c r="F24" s="357">
        <f t="shared" si="1"/>
        <v>6001</v>
      </c>
      <c r="G24" s="357">
        <f>'2A Önk bev'!G53+'3A PH'!G21+'4H VG bev kiad'!F18+'4A Walla'!F18+'4B Nyitnikék'!F18+'4C Bóbita'!F18+'4D MMMH'!F18+'4E Könyvtár'!F18+'4F Segítő Kéz'!F18</f>
        <v>6001</v>
      </c>
      <c r="H24" s="491">
        <f>'2A Önk bev'!H53+'3A PH'!H21+'4H VG bev kiad'!G18+'4A Walla'!G18+'4B Nyitnikék'!G18+'4C Bóbita'!G18+'4D MMMH'!G18+'4E Könyvtár'!G18+'4F Segítő Kéz'!G18</f>
        <v>0</v>
      </c>
      <c r="I24" s="491">
        <f>'2A Önk bev'!I53+'3A PH'!I21</f>
        <v>0</v>
      </c>
      <c r="J24" s="491">
        <f t="shared" si="3"/>
        <v>6001</v>
      </c>
      <c r="K24" s="357">
        <f>'2A Önk bev'!K53+'3A PH'!K21+'4H VG bev kiad'!I18+'4A Walla'!I18+'4B Nyitnikék'!I18+'4C Bóbita'!I18+'4D MMMH'!I18+'4E Könyvtár'!I18+'4F Segítő Kéz'!I18</f>
        <v>6001</v>
      </c>
      <c r="L24" s="491">
        <f>'2A Önk bev'!L53+'3A PH'!L21+'4H VG bev kiad'!J18+'4A Walla'!J18+'4B Nyitnikék'!J18+'4C Bóbita'!J18+'4D MMMH'!J18+'4E Könyvtár'!J18+'4F Segítő Kéz'!J18</f>
        <v>0</v>
      </c>
      <c r="M24" s="491" t="e">
        <f>'2A Önk bev'!M53+'3A PH'!M21+'4H VG bev kiad'!#REF!+'4A Walla'!#REF!+'4B Nyitnikék'!#REF!+'4C Bóbita'!#REF!+'4D MMMH'!#REF!+'4E Könyvtár'!#REF!+'4F Segítő Kéz'!#REF!</f>
        <v>#REF!</v>
      </c>
      <c r="N24" s="491" t="e">
        <f t="shared" si="5"/>
        <v>#REF!</v>
      </c>
      <c r="O24" s="357">
        <f>'2A Önk bev'!O53+'3A PH'!O21+'4H VG bev kiad'!L18+'4A Walla'!L18+'4B Nyitnikék'!L18+'4C Bóbita'!L18+'4D MMMH'!L18+'4E Könyvtár'!L18+'4F Segítő Kéz'!L18</f>
        <v>369</v>
      </c>
      <c r="P24" s="491">
        <f>'2A Önk bev'!P53+'3A PH'!P21+'4H VG bev kiad'!M18+'4A Walla'!M18+'4B Nyitnikék'!M18+'4C Bóbita'!M18+'4D MMMH'!M18+'4E Könyvtár'!M18+'4F Segítő Kéz'!M18</f>
        <v>0</v>
      </c>
      <c r="Q24" s="491">
        <f>'2A Önk bev'!Q53+'3A PH'!Q21</f>
        <v>0</v>
      </c>
      <c r="R24" s="491">
        <f t="shared" si="7"/>
        <v>369</v>
      </c>
      <c r="S24" s="937">
        <f>'2A Önk bev'!S53+'3A PH'!S21+'4H VG bev kiad'!O18+'4A Walla'!O18+'4B Nyitnikék'!O18+'4C Bóbita'!O18+'4D MMMH'!O18+'4E Könyvtár'!O18+'4F Segítő Kéz'!O18</f>
        <v>1</v>
      </c>
      <c r="T24" s="970">
        <f>'2A Önk bev'!T53+'3A PH'!T21+'4H VG bev kiad'!P18+'4A Walla'!P18+'4B Nyitnikék'!P18+'4C Bóbita'!P18+'4D MMMH'!P18+'4E Könyvtár'!P18+'4F Segítő Kéz'!P18</f>
        <v>0</v>
      </c>
      <c r="U24" s="970">
        <f>'2A Önk bev'!U53+'3A PH'!U21</f>
        <v>0</v>
      </c>
      <c r="V24" s="970">
        <f t="shared" si="9"/>
        <v>1</v>
      </c>
      <c r="W24" s="357">
        <f>'2A Önk bev'!W53+'3A PH'!W21+'4H VG bev kiad'!S18+'4A Walla'!S18+'4B Nyitnikék'!S18+'4C Bóbita'!S18+'4D MMMH'!S18+'4E Könyvtár'!S18+'4F Segítő Kéz'!S18</f>
        <v>0</v>
      </c>
      <c r="X24" s="491">
        <f>'2A Önk bev'!X53+'3A PH'!X21+'4H VG bev kiad'!T18+'4A Walla'!T18+'4B Nyitnikék'!T18+'4C Bóbita'!T18+'4D MMMH'!T18+'4E Könyvtár'!T18+'4F Segítő Kéz'!T18</f>
        <v>1</v>
      </c>
      <c r="Y24" s="491">
        <f>'2A Önk bev'!Y53+'3A PH'!Y21</f>
        <v>0</v>
      </c>
      <c r="Z24" s="491">
        <f t="shared" si="11"/>
        <v>1</v>
      </c>
      <c r="AA24" s="357">
        <f>'2A Önk bev'!AA53+'3A PH'!AA21+'4H VG bev kiad'!U18+'4A Walla'!U18+'4B Nyitnikék'!U18+'4C Bóbita'!U18+'4D MMMH'!U18+'4E Könyvtár'!U18+'4F Segítő Kéz'!U18</f>
        <v>1</v>
      </c>
      <c r="AB24" s="491">
        <f>'2A Önk bev'!AB53+'3A PH'!AB21+'4H VG bev kiad'!V18+'4A Walla'!V18+'4B Nyitnikék'!V18+'4C Bóbita'!V18+'4D MMMH'!V18+'4E Könyvtár'!V18+'4F Segítő Kéz'!V18</f>
        <v>0</v>
      </c>
      <c r="AC24" s="491">
        <f>'2A Önk bev'!AC53+'3A PH'!AC21</f>
        <v>0</v>
      </c>
      <c r="AD24" s="491">
        <f t="shared" si="13"/>
        <v>1</v>
      </c>
      <c r="AE24" s="937">
        <f>'2A Önk bev'!AE53+'3A PH'!AE21+'4H VG bev kiad'!X18+'4A Walla'!X18+'4B Nyitnikék'!X18+'4C Bóbita'!X18+'4D MMMH'!X18+'4E Könyvtár'!X18+'4F Segítő Kéz'!X18</f>
        <v>1</v>
      </c>
      <c r="AF24" s="970">
        <f>'2A Önk bev'!AF53+'3A PH'!AF21+'4H VG bev kiad'!Y18+'4A Walla'!Y18+'4B Nyitnikék'!Y18+'4C Bóbita'!Y18+'4D MMMH'!Y18+'4E Könyvtár'!Y18+'4F Segítő Kéz'!Y18</f>
        <v>0</v>
      </c>
      <c r="AG24" s="970">
        <f>'2A Önk bev'!AG53+'3A PH'!AG21</f>
        <v>0</v>
      </c>
      <c r="AH24" s="970">
        <f t="shared" si="15"/>
        <v>1</v>
      </c>
    </row>
    <row r="25" spans="1:37" x14ac:dyDescent="0.25">
      <c r="A25" s="522"/>
      <c r="B25" s="356" t="s">
        <v>515</v>
      </c>
      <c r="C25" s="357">
        <f>'2A Önk bev'!C54+'3A PH'!C22+'4H VG bev kiad'!C19+'4A Walla'!C19+'4B Nyitnikék'!C19+'4C Bóbita'!C19+'4D MMMH'!C19+'4E Könyvtár'!C19+'4F Segítő Kéz'!C19</f>
        <v>8490</v>
      </c>
      <c r="D25" s="357">
        <f>'2A Önk bev'!D54+'3A PH'!D22+'4H VG bev kiad'!D19+'4A Walla'!D19+'4B Nyitnikék'!D19+'4C Bóbita'!D19+'4D MMMH'!D19+'4E Könyvtár'!D19+'4F Segítő Kéz'!D19</f>
        <v>0</v>
      </c>
      <c r="E25" s="357">
        <f>'2A Önk bev'!E54+'3A PH'!E22</f>
        <v>0</v>
      </c>
      <c r="F25" s="357">
        <f t="shared" si="1"/>
        <v>8490</v>
      </c>
      <c r="G25" s="357">
        <f>'2A Önk bev'!G54+'3A PH'!G22+'4H VG bev kiad'!F19+'4A Walla'!F19+'4B Nyitnikék'!F19+'4C Bóbita'!F19+'4D MMMH'!F19+'4E Könyvtár'!F19+'4F Segítő Kéz'!F19</f>
        <v>8490</v>
      </c>
      <c r="H25" s="491">
        <f>'2A Önk bev'!H54+'3A PH'!H22+'4H VG bev kiad'!G19+'4A Walla'!G19+'4B Nyitnikék'!G19+'4C Bóbita'!G19+'4D MMMH'!G19+'4E Könyvtár'!G19+'4F Segítő Kéz'!G19</f>
        <v>0</v>
      </c>
      <c r="I25" s="491">
        <f>'2A Önk bev'!I54+'3A PH'!I22</f>
        <v>0</v>
      </c>
      <c r="J25" s="491">
        <f t="shared" si="3"/>
        <v>8490</v>
      </c>
      <c r="K25" s="357">
        <f>'2A Önk bev'!K54+'3A PH'!K22+'4H VG bev kiad'!I19+'4A Walla'!I19+'4B Nyitnikék'!I19+'4C Bóbita'!I19+'4D MMMH'!I19+'4E Könyvtár'!I19+'4F Segítő Kéz'!I19</f>
        <v>8490</v>
      </c>
      <c r="L25" s="491">
        <f>'2A Önk bev'!L54+'3A PH'!L22+'4H VG bev kiad'!J19+'4A Walla'!J19+'4B Nyitnikék'!J19+'4C Bóbita'!J19+'4D MMMH'!J19+'4E Könyvtár'!J19+'4F Segítő Kéz'!J19</f>
        <v>0</v>
      </c>
      <c r="M25" s="491" t="e">
        <f>'2A Önk bev'!M54+'3A PH'!M22+'4H VG bev kiad'!#REF!+'4A Walla'!#REF!+'4B Nyitnikék'!#REF!+'4C Bóbita'!#REF!+'4D MMMH'!#REF!+'4E Könyvtár'!#REF!+'4F Segítő Kéz'!#REF!</f>
        <v>#REF!</v>
      </c>
      <c r="N25" s="491" t="e">
        <f t="shared" si="5"/>
        <v>#REF!</v>
      </c>
      <c r="O25" s="357">
        <f>'2A Önk bev'!O54+'3A PH'!O22+'4H VG bev kiad'!L19+'4A Walla'!L19+'4B Nyitnikék'!L19+'4C Bóbita'!L19+'4D MMMH'!L19+'4E Könyvtár'!L19+'4F Segítő Kéz'!L19</f>
        <v>14624</v>
      </c>
      <c r="P25" s="491">
        <f>'2A Önk bev'!P54+'3A PH'!P22+'4H VG bev kiad'!M19+'4A Walla'!M19+'4B Nyitnikék'!M19+'4C Bóbita'!M19+'4D MMMH'!M19+'4E Könyvtár'!M19+'4F Segítő Kéz'!M19</f>
        <v>0</v>
      </c>
      <c r="Q25" s="491">
        <f>'2A Önk bev'!Q54+'3A PH'!Q22</f>
        <v>0</v>
      </c>
      <c r="R25" s="491">
        <f t="shared" si="7"/>
        <v>14624</v>
      </c>
      <c r="S25" s="937">
        <f>'2A Önk bev'!S54+'3A PH'!S22+'4H VG bev kiad'!O19+'4A Walla'!O19+'4B Nyitnikék'!O19+'4C Bóbita'!O19+'4D MMMH'!O19+'4E Könyvtár'!O19+'4F Segítő Kéz'!O19</f>
        <v>15107</v>
      </c>
      <c r="T25" s="970">
        <f>'2A Önk bev'!T54+'3A PH'!T22+'4H VG bev kiad'!P19+'4A Walla'!P19+'4B Nyitnikék'!P19+'4C Bóbita'!P19+'4D MMMH'!P19+'4E Könyvtár'!P19+'4F Segítő Kéz'!P19</f>
        <v>0</v>
      </c>
      <c r="U25" s="970">
        <f>'2A Önk bev'!U54+'3A PH'!U22</f>
        <v>0</v>
      </c>
      <c r="V25" s="970">
        <f t="shared" si="9"/>
        <v>15107</v>
      </c>
      <c r="W25" s="357">
        <f>'2A Önk bev'!W54+'3A PH'!W22+'4H VG bev kiad'!S19+'4A Walla'!S19+'4B Nyitnikék'!S19+'4C Bóbita'!S19+'4D MMMH'!S19+'4E Könyvtár'!S19+'4F Segítő Kéz'!S19</f>
        <v>14000</v>
      </c>
      <c r="X25" s="491">
        <f>'2A Önk bev'!X54+'3A PH'!X22+'4H VG bev kiad'!T19+'4A Walla'!T19+'4B Nyitnikék'!T19+'4C Bóbita'!T19+'4D MMMH'!T19+'4E Könyvtár'!T19+'4F Segítő Kéz'!T19</f>
        <v>1107</v>
      </c>
      <c r="Y25" s="491">
        <f>'2A Önk bev'!Y54+'3A PH'!Y22</f>
        <v>0</v>
      </c>
      <c r="Z25" s="491">
        <f t="shared" si="11"/>
        <v>15107</v>
      </c>
      <c r="AA25" s="357">
        <f>'2A Önk bev'!AA54+'3A PH'!AA22+'4H VG bev kiad'!U19+'4A Walla'!U19+'4B Nyitnikék'!U19+'4C Bóbita'!U19+'4D MMMH'!U19+'4E Könyvtár'!U19+'4F Segítő Kéz'!U19</f>
        <v>15107</v>
      </c>
      <c r="AB25" s="491">
        <f>'2A Önk bev'!AB54+'3A PH'!AB22+'4H VG bev kiad'!V19+'4A Walla'!V19+'4B Nyitnikék'!V19+'4C Bóbita'!V19+'4D MMMH'!V19+'4E Könyvtár'!V19+'4F Segítő Kéz'!V19</f>
        <v>0</v>
      </c>
      <c r="AC25" s="491">
        <f>'2A Önk bev'!AC54+'3A PH'!AC22</f>
        <v>0</v>
      </c>
      <c r="AD25" s="491">
        <f t="shared" si="13"/>
        <v>15107</v>
      </c>
      <c r="AE25" s="937">
        <f>'2A Önk bev'!AE54+'3A PH'!AE22+'4H VG bev kiad'!X19+'4A Walla'!X19+'4B Nyitnikék'!X19+'4C Bóbita'!X19+'4D MMMH'!X19+'4E Könyvtár'!X19+'4F Segítő Kéz'!X19</f>
        <v>15107</v>
      </c>
      <c r="AF25" s="970">
        <f>'2A Önk bev'!AF54+'3A PH'!AF22+'4H VG bev kiad'!Y19+'4A Walla'!Y19+'4B Nyitnikék'!Y19+'4C Bóbita'!Y19+'4D MMMH'!Y19+'4E Könyvtár'!Y19+'4F Segítő Kéz'!Y19</f>
        <v>0</v>
      </c>
      <c r="AG25" s="970">
        <f>'2A Önk bev'!AG54+'3A PH'!AG22</f>
        <v>0</v>
      </c>
      <c r="AH25" s="970">
        <f t="shared" si="15"/>
        <v>15107</v>
      </c>
    </row>
    <row r="26" spans="1:37" x14ac:dyDescent="0.25">
      <c r="A26" s="560" t="s">
        <v>336</v>
      </c>
      <c r="B26" s="561" t="s">
        <v>316</v>
      </c>
      <c r="C26" s="562">
        <f t="shared" ref="C26:E26" si="40">SUM(C27:C28)</f>
        <v>0</v>
      </c>
      <c r="D26" s="562">
        <f t="shared" si="40"/>
        <v>260</v>
      </c>
      <c r="E26" s="562">
        <f t="shared" si="40"/>
        <v>0</v>
      </c>
      <c r="F26" s="562">
        <f t="shared" si="1"/>
        <v>260</v>
      </c>
      <c r="G26" s="562">
        <f t="shared" ref="G26:I26" si="41">SUM(G27:G28)</f>
        <v>0</v>
      </c>
      <c r="H26" s="573">
        <f t="shared" si="41"/>
        <v>8408</v>
      </c>
      <c r="I26" s="573">
        <f t="shared" si="41"/>
        <v>0</v>
      </c>
      <c r="J26" s="573">
        <f t="shared" si="3"/>
        <v>8408</v>
      </c>
      <c r="K26" s="562">
        <f t="shared" ref="K26:M26" si="42">SUM(K27:K28)</f>
        <v>0</v>
      </c>
      <c r="L26" s="573">
        <f t="shared" si="42"/>
        <v>108432</v>
      </c>
      <c r="M26" s="573" t="e">
        <f t="shared" si="42"/>
        <v>#REF!</v>
      </c>
      <c r="N26" s="573" t="e">
        <f t="shared" si="5"/>
        <v>#REF!</v>
      </c>
      <c r="O26" s="562">
        <f t="shared" ref="O26:Q26" si="43">SUM(O27:O28)</f>
        <v>260</v>
      </c>
      <c r="P26" s="573">
        <f t="shared" si="43"/>
        <v>0</v>
      </c>
      <c r="Q26" s="573">
        <f t="shared" si="43"/>
        <v>0</v>
      </c>
      <c r="R26" s="573">
        <f t="shared" si="7"/>
        <v>260</v>
      </c>
      <c r="S26" s="562">
        <f t="shared" ref="S26:U26" si="44">SUM(S27:S28)</f>
        <v>0</v>
      </c>
      <c r="T26" s="573">
        <f t="shared" si="44"/>
        <v>0</v>
      </c>
      <c r="U26" s="573">
        <f t="shared" si="44"/>
        <v>0</v>
      </c>
      <c r="V26" s="573">
        <f t="shared" si="9"/>
        <v>0</v>
      </c>
      <c r="W26" s="562">
        <f t="shared" ref="W26:Y26" si="45">SUM(W27:W28)</f>
        <v>0</v>
      </c>
      <c r="X26" s="573">
        <f t="shared" si="45"/>
        <v>0</v>
      </c>
      <c r="Y26" s="573">
        <f t="shared" si="45"/>
        <v>0</v>
      </c>
      <c r="Z26" s="573">
        <f t="shared" si="11"/>
        <v>0</v>
      </c>
      <c r="AA26" s="562">
        <f t="shared" ref="AA26:AC26" si="46">SUM(AA27:AA28)</f>
        <v>0</v>
      </c>
      <c r="AB26" s="573">
        <f t="shared" si="46"/>
        <v>0</v>
      </c>
      <c r="AC26" s="573">
        <f t="shared" si="46"/>
        <v>0</v>
      </c>
      <c r="AD26" s="573">
        <f t="shared" si="13"/>
        <v>0</v>
      </c>
      <c r="AE26" s="562">
        <f t="shared" ref="AE26:AG26" si="47">SUM(AE27:AE28)</f>
        <v>0</v>
      </c>
      <c r="AF26" s="573">
        <f t="shared" si="47"/>
        <v>0</v>
      </c>
      <c r="AG26" s="573">
        <f t="shared" si="47"/>
        <v>0</v>
      </c>
      <c r="AH26" s="573">
        <f t="shared" si="15"/>
        <v>0</v>
      </c>
    </row>
    <row r="27" spans="1:37" ht="30" x14ac:dyDescent="0.25">
      <c r="A27" s="522"/>
      <c r="B27" s="356" t="s">
        <v>516</v>
      </c>
      <c r="C27" s="357">
        <f>'2A Önk bev'!C56</f>
        <v>0</v>
      </c>
      <c r="D27" s="357">
        <f>'2A Önk bev'!D56</f>
        <v>0</v>
      </c>
      <c r="E27" s="357">
        <f>'2A Önk bev'!E56</f>
        <v>0</v>
      </c>
      <c r="F27" s="357">
        <f t="shared" si="1"/>
        <v>0</v>
      </c>
      <c r="G27" s="357">
        <f>'2A Önk bev'!G56</f>
        <v>0</v>
      </c>
      <c r="H27" s="491">
        <f>'2A Önk bev'!H56</f>
        <v>0</v>
      </c>
      <c r="I27" s="491">
        <f>'2A Önk bev'!I56</f>
        <v>0</v>
      </c>
      <c r="J27" s="491">
        <f t="shared" si="3"/>
        <v>0</v>
      </c>
      <c r="K27" s="357">
        <f>'2A Önk bev'!K56</f>
        <v>0</v>
      </c>
      <c r="L27" s="491">
        <f>'2A Önk bev'!L56</f>
        <v>0</v>
      </c>
      <c r="M27" s="491">
        <f>'2A Önk bev'!M56</f>
        <v>0</v>
      </c>
      <c r="N27" s="491">
        <f t="shared" si="5"/>
        <v>0</v>
      </c>
      <c r="O27" s="357">
        <f>'2A Önk bev'!O56</f>
        <v>0</v>
      </c>
      <c r="P27" s="491">
        <f>'2A Önk bev'!P56</f>
        <v>0</v>
      </c>
      <c r="Q27" s="491">
        <f>'2A Önk bev'!Q56</f>
        <v>0</v>
      </c>
      <c r="R27" s="491">
        <f t="shared" si="7"/>
        <v>0</v>
      </c>
      <c r="S27" s="937">
        <f>'2A Önk bev'!S56</f>
        <v>0</v>
      </c>
      <c r="T27" s="970">
        <f>'2A Önk bev'!T56</f>
        <v>0</v>
      </c>
      <c r="U27" s="970">
        <f>'2A Önk bev'!U56</f>
        <v>0</v>
      </c>
      <c r="V27" s="970">
        <f t="shared" si="9"/>
        <v>0</v>
      </c>
      <c r="W27" s="357">
        <f>'2A Önk bev'!W56</f>
        <v>0</v>
      </c>
      <c r="X27" s="491">
        <f>'2A Önk bev'!X56</f>
        <v>0</v>
      </c>
      <c r="Y27" s="491">
        <f>'2A Önk bev'!Y56</f>
        <v>0</v>
      </c>
      <c r="Z27" s="491">
        <f t="shared" si="11"/>
        <v>0</v>
      </c>
      <c r="AA27" s="357">
        <f>'2A Önk bev'!AA56</f>
        <v>0</v>
      </c>
      <c r="AB27" s="491">
        <f>'2A Önk bev'!AB56</f>
        <v>0</v>
      </c>
      <c r="AC27" s="491">
        <f>'2A Önk bev'!AC56</f>
        <v>0</v>
      </c>
      <c r="AD27" s="491">
        <f t="shared" si="13"/>
        <v>0</v>
      </c>
      <c r="AE27" s="937">
        <f>'2A Önk bev'!AE56</f>
        <v>0</v>
      </c>
      <c r="AF27" s="970">
        <f>'2A Önk bev'!AF56</f>
        <v>0</v>
      </c>
      <c r="AG27" s="970">
        <f>'2A Önk bev'!AG56</f>
        <v>0</v>
      </c>
      <c r="AH27" s="970">
        <f t="shared" si="15"/>
        <v>0</v>
      </c>
    </row>
    <row r="28" spans="1:37" ht="30" x14ac:dyDescent="0.25">
      <c r="A28" s="522"/>
      <c r="B28" s="356" t="s">
        <v>517</v>
      </c>
      <c r="C28" s="357">
        <f>'2A Önk bev'!C57+'3A PH'!C24+'4H VG bev kiad'!C21+'4A Walla'!C21+'4B Nyitnikék'!C21+'4C Bóbita'!C21+'4D MMMH'!C21+'4E Könyvtár'!C21+'4F Segítő Kéz'!C21</f>
        <v>0</v>
      </c>
      <c r="D28" s="357">
        <f>'2A Önk bev'!D57+'3A PH'!D24+'4H VG bev kiad'!D21+'4A Walla'!D21+'4B Nyitnikék'!D21+'4C Bóbita'!D21+'4D MMMH'!D21+'4E Könyvtár'!D21+'4F Segítő Kéz'!D21</f>
        <v>260</v>
      </c>
      <c r="E28" s="357">
        <f>'2A Önk bev'!E57+'3A PH'!E24</f>
        <v>0</v>
      </c>
      <c r="F28" s="357">
        <f t="shared" si="1"/>
        <v>260</v>
      </c>
      <c r="G28" s="357">
        <f>'2A Önk bev'!G57+'3A PH'!G24+'4H VG bev kiad'!F21+'4A Walla'!F21+'4B Nyitnikék'!F21+'4C Bóbita'!F21+'4D MMMH'!F21+'4E Könyvtár'!F21+'4F Segítő Kéz'!F21</f>
        <v>0</v>
      </c>
      <c r="H28" s="491">
        <f>'2A Önk bev'!H57+'3A PH'!H24+'4H VG bev kiad'!G21+'4A Walla'!G21+'4B Nyitnikék'!G21+'4C Bóbita'!G21+'4D MMMH'!G21+'4E Könyvtár'!G21+'4F Segítő Kéz'!G21</f>
        <v>8408</v>
      </c>
      <c r="I28" s="491">
        <f>'2A Önk bev'!I57+'3A PH'!I24</f>
        <v>0</v>
      </c>
      <c r="J28" s="491">
        <f t="shared" si="3"/>
        <v>8408</v>
      </c>
      <c r="K28" s="357">
        <f>'2A Önk bev'!K57+'3A PH'!K24+'4H VG bev kiad'!I21+'4A Walla'!I21+'4B Nyitnikék'!I21+'4C Bóbita'!I21+'4D MMMH'!I21+'4E Könyvtár'!I21+'4F Segítő Kéz'!I21</f>
        <v>0</v>
      </c>
      <c r="L28" s="491">
        <f>'2A Önk bev'!L57+'3A PH'!L24+'4H VG bev kiad'!J21+'4A Walla'!J21+'4B Nyitnikék'!J21+'4C Bóbita'!J21+'4D MMMH'!J21+'4E Könyvtár'!J21+'4F Segítő Kéz'!J21</f>
        <v>108432</v>
      </c>
      <c r="M28" s="491" t="e">
        <f>'2A Önk bev'!M57+'3A PH'!M24+'4H VG bev kiad'!#REF!+'4A Walla'!#REF!+'4B Nyitnikék'!#REF!+'4C Bóbita'!#REF!+'4D MMMH'!#REF!+'4E Könyvtár'!#REF!+'4F Segítő Kéz'!#REF!</f>
        <v>#REF!</v>
      </c>
      <c r="N28" s="491" t="e">
        <f t="shared" si="5"/>
        <v>#REF!</v>
      </c>
      <c r="O28" s="357">
        <f>'2A Önk bev'!O57+'3A PH'!O24+'4H VG bev kiad'!L21+'4A Walla'!L21+'4B Nyitnikék'!L21+'4C Bóbita'!L21+'4D MMMH'!L21+'4E Könyvtár'!L21+'4F Segítő Kéz'!L21</f>
        <v>260</v>
      </c>
      <c r="P28" s="491">
        <f>'2A Önk bev'!P57+'3A PH'!P24+'4H VG bev kiad'!M21+'4A Walla'!M21+'4B Nyitnikék'!M21+'4C Bóbita'!M21+'4D MMMH'!M21+'4E Könyvtár'!M21+'4F Segítő Kéz'!M21</f>
        <v>0</v>
      </c>
      <c r="Q28" s="491">
        <f>'2A Önk bev'!Q57+'3A PH'!Q24</f>
        <v>0</v>
      </c>
      <c r="R28" s="491">
        <f t="shared" si="7"/>
        <v>260</v>
      </c>
      <c r="S28" s="937">
        <f>'2A Önk bev'!S57+'3A PH'!S24+'4H VG bev kiad'!O21+'4A Walla'!O21+'4B Nyitnikék'!O21+'4C Bóbita'!O21+'4D MMMH'!O21+'4E Könyvtár'!O21+'4F Segítő Kéz'!O21</f>
        <v>0</v>
      </c>
      <c r="T28" s="970">
        <f>'2A Önk bev'!T57+'3A PH'!T24+'4H VG bev kiad'!P21+'4A Walla'!P21+'4B Nyitnikék'!P21+'4C Bóbita'!P21+'4D MMMH'!P21+'4E Könyvtár'!P21+'4F Segítő Kéz'!P21</f>
        <v>0</v>
      </c>
      <c r="U28" s="970">
        <f>'2A Önk bev'!U57+'3A PH'!U24</f>
        <v>0</v>
      </c>
      <c r="V28" s="970">
        <f t="shared" si="9"/>
        <v>0</v>
      </c>
      <c r="W28" s="357">
        <f>'2A Önk bev'!W57+'3A PH'!W24+'4H VG bev kiad'!S21+'4A Walla'!S21+'4B Nyitnikék'!S21+'4C Bóbita'!S21+'4D MMMH'!S21+'4E Könyvtár'!S21+'4F Segítő Kéz'!S21</f>
        <v>0</v>
      </c>
      <c r="X28" s="491">
        <f>'2A Önk bev'!X57+'3A PH'!X24+'4H VG bev kiad'!T21+'4A Walla'!T21+'4B Nyitnikék'!T21+'4C Bóbita'!T21+'4D MMMH'!T21+'4E Könyvtár'!T21+'4F Segítő Kéz'!T21</f>
        <v>0</v>
      </c>
      <c r="Y28" s="491">
        <f>'2A Önk bev'!Y57+'3A PH'!Y24</f>
        <v>0</v>
      </c>
      <c r="Z28" s="491">
        <f t="shared" si="11"/>
        <v>0</v>
      </c>
      <c r="AA28" s="357">
        <f>'2A Önk bev'!AA57+'3A PH'!AA24+'4H VG bev kiad'!W21+'4A Walla'!W21+'4B Nyitnikék'!W21+'4C Bóbita'!W21+'4D MMMH'!W21+'4E Könyvtár'!W21+'4F Segítő Kéz'!W21</f>
        <v>0</v>
      </c>
      <c r="AB28" s="491">
        <f>'2A Önk bev'!AB57+'3A PH'!AB24+'4H VG bev kiad'!X21+'4A Walla'!X21+'4B Nyitnikék'!X21+'4C Bóbita'!X21+'4D MMMH'!X21+'4E Könyvtár'!X21+'4F Segítő Kéz'!X21</f>
        <v>0</v>
      </c>
      <c r="AC28" s="491">
        <f>'2A Önk bev'!AC57+'3A PH'!AC24</f>
        <v>0</v>
      </c>
      <c r="AD28" s="491">
        <f t="shared" si="13"/>
        <v>0</v>
      </c>
      <c r="AE28" s="937">
        <f>'2A Önk bev'!AE57+'3A PH'!AE24+'4H VG bev kiad'!AA21+'4A Walla'!AA21+'4B Nyitnikék'!AA21+'4C Bóbita'!AA21+'4D MMMH'!AA21+'4E Könyvtár'!AA21+'4F Segítő Kéz'!AA21</f>
        <v>0</v>
      </c>
      <c r="AF28" s="970">
        <f>'2A Önk bev'!AF57+'3A PH'!AF24+'4H VG bev kiad'!AB21+'4A Walla'!AB21+'4B Nyitnikék'!AB21+'4C Bóbita'!AB21+'4D MMMH'!AB21+'4E Könyvtár'!AB21+'4F Segítő Kéz'!AB21</f>
        <v>0</v>
      </c>
      <c r="AG28" s="970">
        <f>'2A Önk bev'!AG57+'3A PH'!AG24</f>
        <v>0</v>
      </c>
      <c r="AH28" s="970">
        <f t="shared" si="15"/>
        <v>0</v>
      </c>
    </row>
    <row r="29" spans="1:37" x14ac:dyDescent="0.25">
      <c r="A29" s="557" t="s">
        <v>318</v>
      </c>
      <c r="B29" s="558" t="s">
        <v>319</v>
      </c>
      <c r="C29" s="559">
        <f t="shared" ref="C29:E29" si="48">C30+C34+C39</f>
        <v>4186</v>
      </c>
      <c r="D29" s="559">
        <f t="shared" si="48"/>
        <v>386983</v>
      </c>
      <c r="E29" s="559">
        <f t="shared" si="48"/>
        <v>0</v>
      </c>
      <c r="F29" s="559">
        <f t="shared" si="1"/>
        <v>391169</v>
      </c>
      <c r="G29" s="559">
        <f t="shared" ref="G29:I29" si="49">G30+G34+G39</f>
        <v>70588</v>
      </c>
      <c r="H29" s="572">
        <f t="shared" si="49"/>
        <v>521270</v>
      </c>
      <c r="I29" s="572">
        <f t="shared" si="49"/>
        <v>0</v>
      </c>
      <c r="J29" s="572">
        <f t="shared" si="3"/>
        <v>591858</v>
      </c>
      <c r="K29" s="559">
        <f t="shared" ref="K29:M29" si="50">K30+K34+K39</f>
        <v>4186</v>
      </c>
      <c r="L29" s="572">
        <f t="shared" si="50"/>
        <v>446528</v>
      </c>
      <c r="M29" s="572">
        <f t="shared" si="50"/>
        <v>0</v>
      </c>
      <c r="N29" s="572">
        <f t="shared" si="5"/>
        <v>450714</v>
      </c>
      <c r="O29" s="559">
        <f t="shared" ref="O29:Q29" si="51">O30+O34+O39</f>
        <v>522058</v>
      </c>
      <c r="P29" s="572">
        <f t="shared" si="51"/>
        <v>0</v>
      </c>
      <c r="Q29" s="572">
        <f t="shared" si="51"/>
        <v>0</v>
      </c>
      <c r="R29" s="572">
        <f t="shared" si="7"/>
        <v>522058</v>
      </c>
      <c r="S29" s="559">
        <f t="shared" ref="S29:U29" si="52">S30+S34+S39</f>
        <v>492377</v>
      </c>
      <c r="T29" s="572">
        <f t="shared" si="52"/>
        <v>1650</v>
      </c>
      <c r="U29" s="572">
        <f t="shared" si="52"/>
        <v>0</v>
      </c>
      <c r="V29" s="572">
        <f t="shared" si="9"/>
        <v>494027</v>
      </c>
      <c r="W29" s="559">
        <f t="shared" ref="W29:Y29" si="53">W30+W34+W39</f>
        <v>492377</v>
      </c>
      <c r="X29" s="572">
        <f t="shared" si="53"/>
        <v>1650</v>
      </c>
      <c r="Y29" s="572">
        <f t="shared" si="53"/>
        <v>0</v>
      </c>
      <c r="Z29" s="572">
        <f t="shared" si="11"/>
        <v>494027</v>
      </c>
      <c r="AA29" s="559">
        <f t="shared" ref="AA29:AC29" si="54">AA30+AA34+AA39</f>
        <v>492377</v>
      </c>
      <c r="AB29" s="572">
        <f t="shared" si="54"/>
        <v>1650</v>
      </c>
      <c r="AC29" s="572">
        <f t="shared" si="54"/>
        <v>0</v>
      </c>
      <c r="AD29" s="572">
        <f t="shared" si="13"/>
        <v>494027</v>
      </c>
      <c r="AE29" s="559">
        <f t="shared" ref="AE29:AG29" si="55">AE30+AE34+AE39</f>
        <v>531493</v>
      </c>
      <c r="AF29" s="572">
        <f t="shared" si="55"/>
        <v>1650</v>
      </c>
      <c r="AG29" s="572">
        <f t="shared" si="55"/>
        <v>0</v>
      </c>
      <c r="AH29" s="572">
        <f t="shared" si="15"/>
        <v>533143</v>
      </c>
      <c r="AI29" s="530"/>
    </row>
    <row r="30" spans="1:37" ht="30" x14ac:dyDescent="0.25">
      <c r="A30" s="560" t="s">
        <v>311</v>
      </c>
      <c r="B30" s="561" t="s">
        <v>320</v>
      </c>
      <c r="C30" s="562">
        <f t="shared" ref="C30:E30" si="56">SUM(C31:C33)</f>
        <v>0</v>
      </c>
      <c r="D30" s="562">
        <f t="shared" si="56"/>
        <v>0</v>
      </c>
      <c r="E30" s="562">
        <f t="shared" si="56"/>
        <v>0</v>
      </c>
      <c r="F30" s="562">
        <f t="shared" si="1"/>
        <v>0</v>
      </c>
      <c r="G30" s="562">
        <f t="shared" ref="G30:I30" si="57">SUM(G31:G33)</f>
        <v>0</v>
      </c>
      <c r="H30" s="573">
        <f t="shared" si="57"/>
        <v>14100</v>
      </c>
      <c r="I30" s="573">
        <f t="shared" si="57"/>
        <v>0</v>
      </c>
      <c r="J30" s="573">
        <f t="shared" si="3"/>
        <v>14100</v>
      </c>
      <c r="K30" s="562">
        <f t="shared" ref="K30:M30" si="58">SUM(K31:K33)</f>
        <v>0</v>
      </c>
      <c r="L30" s="573">
        <f t="shared" si="58"/>
        <v>153384</v>
      </c>
      <c r="M30" s="573">
        <f t="shared" si="58"/>
        <v>0</v>
      </c>
      <c r="N30" s="573">
        <f t="shared" si="5"/>
        <v>153384</v>
      </c>
      <c r="O30" s="562">
        <f t="shared" ref="O30:Q30" si="59">SUM(O31:O33)</f>
        <v>21100</v>
      </c>
      <c r="P30" s="573">
        <f t="shared" si="59"/>
        <v>0</v>
      </c>
      <c r="Q30" s="573">
        <f t="shared" si="59"/>
        <v>0</v>
      </c>
      <c r="R30" s="573">
        <f t="shared" si="7"/>
        <v>21100</v>
      </c>
      <c r="S30" s="562">
        <f t="shared" ref="S30:U30" si="60">SUM(S31:S33)</f>
        <v>200000</v>
      </c>
      <c r="T30" s="573">
        <f t="shared" si="60"/>
        <v>0</v>
      </c>
      <c r="U30" s="573">
        <f t="shared" si="60"/>
        <v>0</v>
      </c>
      <c r="V30" s="573">
        <f t="shared" si="9"/>
        <v>200000</v>
      </c>
      <c r="W30" s="562">
        <f t="shared" ref="W30:Y30" si="61">SUM(W31:W33)</f>
        <v>200000</v>
      </c>
      <c r="X30" s="573">
        <f t="shared" si="61"/>
        <v>0</v>
      </c>
      <c r="Y30" s="573">
        <f t="shared" si="61"/>
        <v>0</v>
      </c>
      <c r="Z30" s="573">
        <f t="shared" si="11"/>
        <v>200000</v>
      </c>
      <c r="AA30" s="562">
        <f t="shared" ref="AA30:AC30" si="62">SUM(AA31:AA33)</f>
        <v>200000</v>
      </c>
      <c r="AB30" s="573">
        <f t="shared" si="62"/>
        <v>0</v>
      </c>
      <c r="AC30" s="573">
        <f t="shared" si="62"/>
        <v>0</v>
      </c>
      <c r="AD30" s="573">
        <f t="shared" si="13"/>
        <v>200000</v>
      </c>
      <c r="AE30" s="562">
        <f t="shared" ref="AE30:AG30" si="63">SUM(AE31:AE33)</f>
        <v>239116</v>
      </c>
      <c r="AF30" s="573">
        <f t="shared" si="63"/>
        <v>0</v>
      </c>
      <c r="AG30" s="573">
        <f t="shared" si="63"/>
        <v>0</v>
      </c>
      <c r="AH30" s="573">
        <f t="shared" si="15"/>
        <v>239116</v>
      </c>
      <c r="AI30" s="530"/>
    </row>
    <row r="31" spans="1:37" ht="30" x14ac:dyDescent="0.25">
      <c r="A31" s="522"/>
      <c r="B31" s="272" t="s">
        <v>518</v>
      </c>
      <c r="C31" s="546">
        <f>'2A Önk bev'!C64</f>
        <v>0</v>
      </c>
      <c r="D31" s="546">
        <f>'2A Önk bev'!D64</f>
        <v>0</v>
      </c>
      <c r="E31" s="546">
        <f>'2A Önk bev'!E64</f>
        <v>0</v>
      </c>
      <c r="F31" s="546">
        <f t="shared" si="1"/>
        <v>0</v>
      </c>
      <c r="G31" s="546">
        <f>'2A Önk bev'!G64</f>
        <v>0</v>
      </c>
      <c r="H31" s="512">
        <f>'2A Önk bev'!H64</f>
        <v>14100</v>
      </c>
      <c r="I31" s="512">
        <f>'2A Önk bev'!I64</f>
        <v>0</v>
      </c>
      <c r="J31" s="512">
        <f t="shared" si="3"/>
        <v>14100</v>
      </c>
      <c r="K31" s="546">
        <f>'2A Önk bev'!K64</f>
        <v>0</v>
      </c>
      <c r="L31" s="512">
        <f>'2A Önk bev'!L64</f>
        <v>0</v>
      </c>
      <c r="M31" s="512">
        <f>'2A Önk bev'!M64</f>
        <v>0</v>
      </c>
      <c r="N31" s="512">
        <f t="shared" si="5"/>
        <v>0</v>
      </c>
      <c r="O31" s="546">
        <f>'2A Önk bev'!O64</f>
        <v>14100</v>
      </c>
      <c r="P31" s="512">
        <f>'2A Önk bev'!P64</f>
        <v>0</v>
      </c>
      <c r="Q31" s="512">
        <f>'2A Önk bev'!Q64</f>
        <v>0</v>
      </c>
      <c r="R31" s="512">
        <f t="shared" si="7"/>
        <v>14100</v>
      </c>
      <c r="S31" s="942">
        <f>'2A Önk bev'!S64</f>
        <v>200000</v>
      </c>
      <c r="T31" s="948">
        <f>'2A Önk bev'!T64</f>
        <v>0</v>
      </c>
      <c r="U31" s="948">
        <f>'2A Önk bev'!U64</f>
        <v>0</v>
      </c>
      <c r="V31" s="948">
        <f t="shared" si="9"/>
        <v>200000</v>
      </c>
      <c r="W31" s="546">
        <f>'2A Önk bev'!W64</f>
        <v>200000</v>
      </c>
      <c r="X31" s="512">
        <f>'2A Önk bev'!X64</f>
        <v>0</v>
      </c>
      <c r="Y31" s="512">
        <f>'2A Önk bev'!Y64</f>
        <v>0</v>
      </c>
      <c r="Z31" s="512">
        <f t="shared" si="11"/>
        <v>200000</v>
      </c>
      <c r="AA31" s="546">
        <f>'2A Önk bev'!AA64</f>
        <v>200000</v>
      </c>
      <c r="AB31" s="512">
        <f>'2A Önk bev'!AB64</f>
        <v>0</v>
      </c>
      <c r="AC31" s="512">
        <f>'2A Önk bev'!AC64</f>
        <v>0</v>
      </c>
      <c r="AD31" s="512">
        <f t="shared" si="13"/>
        <v>200000</v>
      </c>
      <c r="AE31" s="942">
        <f>'2A Önk bev'!AE64</f>
        <v>200000</v>
      </c>
      <c r="AF31" s="948">
        <f>'2A Önk bev'!AF64</f>
        <v>0</v>
      </c>
      <c r="AG31" s="948">
        <f>'2A Önk bev'!AG64</f>
        <v>0</v>
      </c>
      <c r="AH31" s="948">
        <f t="shared" si="15"/>
        <v>200000</v>
      </c>
      <c r="AI31" s="530"/>
    </row>
    <row r="32" spans="1:37" ht="30" x14ac:dyDescent="0.25">
      <c r="A32" s="522"/>
      <c r="B32" s="272" t="s">
        <v>519</v>
      </c>
      <c r="C32" s="546">
        <f>'2A Önk bev'!C65</f>
        <v>0</v>
      </c>
      <c r="D32" s="546">
        <f>'2A Önk bev'!D65</f>
        <v>0</v>
      </c>
      <c r="E32" s="546">
        <f>'2A Önk bev'!E65</f>
        <v>0</v>
      </c>
      <c r="F32" s="546">
        <f t="shared" si="1"/>
        <v>0</v>
      </c>
      <c r="G32" s="546">
        <f>'2A Önk bev'!G65</f>
        <v>0</v>
      </c>
      <c r="H32" s="512">
        <f>'2A Önk bev'!H65</f>
        <v>0</v>
      </c>
      <c r="I32" s="512">
        <f>'2A Önk bev'!I65</f>
        <v>0</v>
      </c>
      <c r="J32" s="512">
        <f t="shared" si="3"/>
        <v>0</v>
      </c>
      <c r="K32" s="546">
        <f>'2A Önk bev'!K65</f>
        <v>0</v>
      </c>
      <c r="L32" s="512">
        <f>'2A Önk bev'!L65</f>
        <v>0</v>
      </c>
      <c r="M32" s="512">
        <f>'2A Önk bev'!M65</f>
        <v>0</v>
      </c>
      <c r="N32" s="512">
        <f t="shared" si="5"/>
        <v>0</v>
      </c>
      <c r="O32" s="546">
        <f>'2A Önk bev'!O65</f>
        <v>0</v>
      </c>
      <c r="P32" s="512">
        <f>'2A Önk bev'!P65</f>
        <v>0</v>
      </c>
      <c r="Q32" s="512">
        <f>'2A Önk bev'!Q65</f>
        <v>0</v>
      </c>
      <c r="R32" s="512">
        <f t="shared" si="7"/>
        <v>0</v>
      </c>
      <c r="S32" s="942">
        <f>'2A Önk bev'!S65</f>
        <v>0</v>
      </c>
      <c r="T32" s="948">
        <f>'2A Önk bev'!T65</f>
        <v>0</v>
      </c>
      <c r="U32" s="948">
        <f>'2A Önk bev'!U65</f>
        <v>0</v>
      </c>
      <c r="V32" s="948">
        <f t="shared" si="9"/>
        <v>0</v>
      </c>
      <c r="W32" s="546">
        <f>'2A Önk bev'!W65</f>
        <v>0</v>
      </c>
      <c r="X32" s="512">
        <f>'2A Önk bev'!X65</f>
        <v>0</v>
      </c>
      <c r="Y32" s="512">
        <f>'2A Önk bev'!Y65</f>
        <v>0</v>
      </c>
      <c r="Z32" s="512">
        <f t="shared" si="11"/>
        <v>0</v>
      </c>
      <c r="AA32" s="546">
        <f>'2A Önk bev'!AA65</f>
        <v>0</v>
      </c>
      <c r="AB32" s="512">
        <f>'2A Önk bev'!AB65</f>
        <v>0</v>
      </c>
      <c r="AC32" s="512">
        <f>'2A Önk bev'!AC65</f>
        <v>0</v>
      </c>
      <c r="AD32" s="512">
        <f t="shared" si="13"/>
        <v>0</v>
      </c>
      <c r="AE32" s="942">
        <f>'2A Önk bev'!AE65</f>
        <v>0</v>
      </c>
      <c r="AF32" s="948">
        <f>'2A Önk bev'!AF65</f>
        <v>0</v>
      </c>
      <c r="AG32" s="948">
        <f>'2A Önk bev'!AG65</f>
        <v>0</v>
      </c>
      <c r="AH32" s="948">
        <f t="shared" si="15"/>
        <v>0</v>
      </c>
    </row>
    <row r="33" spans="1:35" ht="30" x14ac:dyDescent="0.25">
      <c r="A33" s="522"/>
      <c r="B33" s="272" t="s">
        <v>520</v>
      </c>
      <c r="C33" s="546">
        <f>'2A Önk bev'!C66</f>
        <v>0</v>
      </c>
      <c r="D33" s="546">
        <f>'2A Önk bev'!D66</f>
        <v>0</v>
      </c>
      <c r="E33" s="546">
        <f>'2A Önk bev'!E66</f>
        <v>0</v>
      </c>
      <c r="F33" s="546">
        <f t="shared" si="1"/>
        <v>0</v>
      </c>
      <c r="G33" s="546">
        <f>'2A Önk bev'!G66</f>
        <v>0</v>
      </c>
      <c r="H33" s="512">
        <f>'2A Önk bev'!H66</f>
        <v>0</v>
      </c>
      <c r="I33" s="512">
        <f>'2A Önk bev'!I66</f>
        <v>0</v>
      </c>
      <c r="J33" s="512">
        <f t="shared" si="3"/>
        <v>0</v>
      </c>
      <c r="K33" s="546">
        <f>'2A Önk bev'!K66</f>
        <v>0</v>
      </c>
      <c r="L33" s="512">
        <f>'2A Önk bev'!L66</f>
        <v>153384</v>
      </c>
      <c r="M33" s="512">
        <f>'2A Önk bev'!M66</f>
        <v>0</v>
      </c>
      <c r="N33" s="512">
        <f t="shared" si="5"/>
        <v>153384</v>
      </c>
      <c r="O33" s="546">
        <f>'2A Önk bev'!O66</f>
        <v>7000</v>
      </c>
      <c r="P33" s="512">
        <f>'2A Önk bev'!P66</f>
        <v>0</v>
      </c>
      <c r="Q33" s="512">
        <f>'2A Önk bev'!Q66</f>
        <v>0</v>
      </c>
      <c r="R33" s="512">
        <f t="shared" si="7"/>
        <v>7000</v>
      </c>
      <c r="S33" s="942">
        <f>'2A Önk bev'!S66</f>
        <v>0</v>
      </c>
      <c r="T33" s="948">
        <f>'2A Önk bev'!T66</f>
        <v>0</v>
      </c>
      <c r="U33" s="948">
        <f>'2A Önk bev'!U66</f>
        <v>0</v>
      </c>
      <c r="V33" s="948">
        <f t="shared" si="9"/>
        <v>0</v>
      </c>
      <c r="W33" s="546">
        <f>'2A Önk bev'!W66</f>
        <v>0</v>
      </c>
      <c r="X33" s="512">
        <f>'2A Önk bev'!X66</f>
        <v>0</v>
      </c>
      <c r="Y33" s="512">
        <f>'2A Önk bev'!Y66</f>
        <v>0</v>
      </c>
      <c r="Z33" s="512">
        <f t="shared" si="11"/>
        <v>0</v>
      </c>
      <c r="AA33" s="546">
        <f>'2A Önk bev'!AA66</f>
        <v>0</v>
      </c>
      <c r="AB33" s="512">
        <f>'2A Önk bev'!AB66</f>
        <v>0</v>
      </c>
      <c r="AC33" s="512">
        <f>'2A Önk bev'!AC66</f>
        <v>0</v>
      </c>
      <c r="AD33" s="512">
        <f t="shared" si="13"/>
        <v>0</v>
      </c>
      <c r="AE33" s="942">
        <f>'2A Önk bev'!AE66</f>
        <v>39116</v>
      </c>
      <c r="AF33" s="948">
        <f>'2A Önk bev'!AF66</f>
        <v>0</v>
      </c>
      <c r="AG33" s="948">
        <f>'2A Önk bev'!AG66</f>
        <v>0</v>
      </c>
      <c r="AH33" s="948">
        <f t="shared" si="15"/>
        <v>39116</v>
      </c>
      <c r="AI33" s="530"/>
    </row>
    <row r="34" spans="1:35" x14ac:dyDescent="0.25">
      <c r="A34" s="560" t="s">
        <v>322</v>
      </c>
      <c r="B34" s="561" t="s">
        <v>257</v>
      </c>
      <c r="C34" s="562">
        <f t="shared" ref="C34:E34" si="64">SUM(C35:C38)</f>
        <v>0</v>
      </c>
      <c r="D34" s="562">
        <f t="shared" si="64"/>
        <v>385369</v>
      </c>
      <c r="E34" s="562">
        <f t="shared" si="64"/>
        <v>0</v>
      </c>
      <c r="F34" s="562">
        <f t="shared" si="1"/>
        <v>385369</v>
      </c>
      <c r="G34" s="562">
        <f t="shared" ref="G34:I34" si="65">SUM(G35:G38)</f>
        <v>0</v>
      </c>
      <c r="H34" s="573">
        <f t="shared" si="65"/>
        <v>495556</v>
      </c>
      <c r="I34" s="573">
        <f t="shared" si="65"/>
        <v>0</v>
      </c>
      <c r="J34" s="573">
        <f t="shared" si="3"/>
        <v>495556</v>
      </c>
      <c r="K34" s="562">
        <f t="shared" ref="K34:M34" si="66">SUM(K35:K38)</f>
        <v>0</v>
      </c>
      <c r="L34" s="573">
        <f t="shared" si="66"/>
        <v>153404</v>
      </c>
      <c r="M34" s="573">
        <f t="shared" si="66"/>
        <v>0</v>
      </c>
      <c r="N34" s="573">
        <f t="shared" si="5"/>
        <v>153404</v>
      </c>
      <c r="O34" s="562">
        <f t="shared" ref="O34:Q34" si="67">SUM(O35:O38)</f>
        <v>498415</v>
      </c>
      <c r="P34" s="573">
        <f t="shared" si="67"/>
        <v>0</v>
      </c>
      <c r="Q34" s="573">
        <f t="shared" si="67"/>
        <v>0</v>
      </c>
      <c r="R34" s="573">
        <f t="shared" si="7"/>
        <v>498415</v>
      </c>
      <c r="S34" s="562">
        <f t="shared" ref="S34:U34" si="68">SUM(S35:S38)</f>
        <v>243000</v>
      </c>
      <c r="T34" s="573">
        <f t="shared" si="68"/>
        <v>0</v>
      </c>
      <c r="U34" s="573">
        <f t="shared" si="68"/>
        <v>0</v>
      </c>
      <c r="V34" s="573">
        <f t="shared" si="9"/>
        <v>243000</v>
      </c>
      <c r="W34" s="562">
        <f t="shared" ref="W34:Y34" si="69">SUM(W35:W38)</f>
        <v>243000</v>
      </c>
      <c r="X34" s="573">
        <f t="shared" si="69"/>
        <v>0</v>
      </c>
      <c r="Y34" s="573">
        <f t="shared" si="69"/>
        <v>0</v>
      </c>
      <c r="Z34" s="573">
        <f t="shared" si="11"/>
        <v>243000</v>
      </c>
      <c r="AA34" s="562">
        <f t="shared" ref="AA34:AC34" si="70">SUM(AA35:AA38)</f>
        <v>243000</v>
      </c>
      <c r="AB34" s="573">
        <f t="shared" si="70"/>
        <v>0</v>
      </c>
      <c r="AC34" s="573">
        <f t="shared" si="70"/>
        <v>0</v>
      </c>
      <c r="AD34" s="573">
        <f t="shared" si="13"/>
        <v>243000</v>
      </c>
      <c r="AE34" s="562">
        <f t="shared" ref="AE34:AG34" si="71">SUM(AE35:AE38)</f>
        <v>243000</v>
      </c>
      <c r="AF34" s="573">
        <f t="shared" si="71"/>
        <v>0</v>
      </c>
      <c r="AG34" s="573">
        <f t="shared" si="71"/>
        <v>0</v>
      </c>
      <c r="AH34" s="573">
        <f t="shared" si="15"/>
        <v>243000</v>
      </c>
      <c r="AI34" s="530"/>
    </row>
    <row r="35" spans="1:35" x14ac:dyDescent="0.25">
      <c r="A35" s="522"/>
      <c r="B35" s="272" t="s">
        <v>323</v>
      </c>
      <c r="C35" s="546">
        <f>'2A Önk bev'!C68</f>
        <v>0</v>
      </c>
      <c r="D35" s="546">
        <f>'2A Önk bev'!D68</f>
        <v>0</v>
      </c>
      <c r="E35" s="546">
        <f>'2A Önk bev'!E68</f>
        <v>0</v>
      </c>
      <c r="F35" s="546">
        <f t="shared" si="1"/>
        <v>0</v>
      </c>
      <c r="G35" s="546">
        <f>'2A Önk bev'!G68</f>
        <v>0</v>
      </c>
      <c r="H35" s="512">
        <f>'2A Önk bev'!H68</f>
        <v>0</v>
      </c>
      <c r="I35" s="512">
        <f>'2A Önk bev'!I68</f>
        <v>0</v>
      </c>
      <c r="J35" s="512">
        <f t="shared" si="3"/>
        <v>0</v>
      </c>
      <c r="K35" s="546">
        <f>'2A Önk bev'!K68</f>
        <v>0</v>
      </c>
      <c r="L35" s="512">
        <f>'2A Önk bev'!L68</f>
        <v>0</v>
      </c>
      <c r="M35" s="512">
        <f>'2A Önk bev'!M68</f>
        <v>0</v>
      </c>
      <c r="N35" s="512">
        <f t="shared" si="5"/>
        <v>0</v>
      </c>
      <c r="O35" s="546">
        <f>'2A Önk bev'!O68</f>
        <v>0</v>
      </c>
      <c r="P35" s="512">
        <f>'2A Önk bev'!P68</f>
        <v>0</v>
      </c>
      <c r="Q35" s="512">
        <f>'2A Önk bev'!Q68</f>
        <v>0</v>
      </c>
      <c r="R35" s="512">
        <f t="shared" si="7"/>
        <v>0</v>
      </c>
      <c r="S35" s="942">
        <f>'2A Önk bev'!S68</f>
        <v>0</v>
      </c>
      <c r="T35" s="948">
        <f>'2A Önk bev'!T68</f>
        <v>0</v>
      </c>
      <c r="U35" s="948">
        <f>'2A Önk bev'!U68</f>
        <v>0</v>
      </c>
      <c r="V35" s="948">
        <f t="shared" si="9"/>
        <v>0</v>
      </c>
      <c r="W35" s="546">
        <f>'2A Önk bev'!W68</f>
        <v>0</v>
      </c>
      <c r="X35" s="512">
        <f>'2A Önk bev'!X68</f>
        <v>0</v>
      </c>
      <c r="Y35" s="512">
        <f>'2A Önk bev'!Y68</f>
        <v>0</v>
      </c>
      <c r="Z35" s="512">
        <f t="shared" si="11"/>
        <v>0</v>
      </c>
      <c r="AA35" s="546">
        <f>'2A Önk bev'!AA68</f>
        <v>0</v>
      </c>
      <c r="AB35" s="512">
        <f>'2A Önk bev'!AB68</f>
        <v>0</v>
      </c>
      <c r="AC35" s="512">
        <f>'2A Önk bev'!AC68</f>
        <v>0</v>
      </c>
      <c r="AD35" s="512">
        <f t="shared" si="13"/>
        <v>0</v>
      </c>
      <c r="AE35" s="942">
        <f>'2A Önk bev'!AE68</f>
        <v>0</v>
      </c>
      <c r="AF35" s="948">
        <f>'2A Önk bev'!AF68</f>
        <v>0</v>
      </c>
      <c r="AG35" s="948">
        <f>'2A Önk bev'!AG68</f>
        <v>0</v>
      </c>
      <c r="AH35" s="948">
        <f t="shared" si="15"/>
        <v>0</v>
      </c>
    </row>
    <row r="36" spans="1:35" x14ac:dyDescent="0.25">
      <c r="A36" s="522"/>
      <c r="B36" s="272" t="s">
        <v>521</v>
      </c>
      <c r="C36" s="546">
        <f>'2A Önk bev'!C69</f>
        <v>0</v>
      </c>
      <c r="D36" s="546">
        <f>'2A Önk bev'!D69</f>
        <v>385369</v>
      </c>
      <c r="E36" s="546">
        <f>'2A Önk bev'!E69</f>
        <v>0</v>
      </c>
      <c r="F36" s="546">
        <f t="shared" si="1"/>
        <v>385369</v>
      </c>
      <c r="G36" s="546">
        <f>'2A Önk bev'!G69</f>
        <v>0</v>
      </c>
      <c r="H36" s="512">
        <f>'2A Önk bev'!H69</f>
        <v>495556</v>
      </c>
      <c r="I36" s="512">
        <f>'2A Önk bev'!I69</f>
        <v>0</v>
      </c>
      <c r="J36" s="512">
        <f t="shared" si="3"/>
        <v>495556</v>
      </c>
      <c r="K36" s="546">
        <f>'2A Önk bev'!K69</f>
        <v>0</v>
      </c>
      <c r="L36" s="512">
        <f>'2A Önk bev'!L69</f>
        <v>153404</v>
      </c>
      <c r="M36" s="512">
        <f>'2A Önk bev'!M69</f>
        <v>0</v>
      </c>
      <c r="N36" s="512">
        <f t="shared" si="5"/>
        <v>153404</v>
      </c>
      <c r="O36" s="546">
        <f>'2A Önk bev'!O69</f>
        <v>498415</v>
      </c>
      <c r="P36" s="512">
        <f>'2A Önk bev'!P69</f>
        <v>0</v>
      </c>
      <c r="Q36" s="512">
        <f>'2A Önk bev'!Q69</f>
        <v>0</v>
      </c>
      <c r="R36" s="512">
        <f t="shared" si="7"/>
        <v>498415</v>
      </c>
      <c r="S36" s="942">
        <f>'2A Önk bev'!S69</f>
        <v>243000</v>
      </c>
      <c r="T36" s="948">
        <f>'2A Önk bev'!T69</f>
        <v>0</v>
      </c>
      <c r="U36" s="948">
        <f>'2A Önk bev'!U69</f>
        <v>0</v>
      </c>
      <c r="V36" s="948">
        <f t="shared" si="9"/>
        <v>243000</v>
      </c>
      <c r="W36" s="546">
        <f>'2A Önk bev'!W69</f>
        <v>243000</v>
      </c>
      <c r="X36" s="512">
        <f>'2A Önk bev'!X69</f>
        <v>0</v>
      </c>
      <c r="Y36" s="512">
        <f>'2A Önk bev'!Y69</f>
        <v>0</v>
      </c>
      <c r="Z36" s="512">
        <f t="shared" si="11"/>
        <v>243000</v>
      </c>
      <c r="AA36" s="546">
        <f>'2A Önk bev'!AA69</f>
        <v>243000</v>
      </c>
      <c r="AB36" s="512">
        <f>'2A Önk bev'!AB69</f>
        <v>0</v>
      </c>
      <c r="AC36" s="512">
        <f>'2A Önk bev'!AC69</f>
        <v>0</v>
      </c>
      <c r="AD36" s="512">
        <f t="shared" si="13"/>
        <v>243000</v>
      </c>
      <c r="AE36" s="942">
        <f>'2A Önk bev'!AE69</f>
        <v>243000</v>
      </c>
      <c r="AF36" s="948">
        <f>'2A Önk bev'!AF69</f>
        <v>0</v>
      </c>
      <c r="AG36" s="948">
        <f>'2A Önk bev'!AG69</f>
        <v>0</v>
      </c>
      <c r="AH36" s="948">
        <f t="shared" si="15"/>
        <v>243000</v>
      </c>
      <c r="AI36" s="530"/>
    </row>
    <row r="37" spans="1:35" x14ac:dyDescent="0.25">
      <c r="A37" s="522"/>
      <c r="B37" s="272" t="s">
        <v>525</v>
      </c>
      <c r="C37" s="546">
        <f>'2A Önk bev'!C73</f>
        <v>0</v>
      </c>
      <c r="D37" s="546">
        <f>'2A Önk bev'!D73</f>
        <v>0</v>
      </c>
      <c r="E37" s="546">
        <f>'2A Önk bev'!E73</f>
        <v>0</v>
      </c>
      <c r="F37" s="546">
        <f t="shared" si="1"/>
        <v>0</v>
      </c>
      <c r="G37" s="546">
        <f>'2A Önk bev'!G73</f>
        <v>0</v>
      </c>
      <c r="H37" s="512">
        <f>'2A Önk bev'!H73</f>
        <v>0</v>
      </c>
      <c r="I37" s="512">
        <f>'2A Önk bev'!I73</f>
        <v>0</v>
      </c>
      <c r="J37" s="512">
        <f t="shared" si="3"/>
        <v>0</v>
      </c>
      <c r="K37" s="546">
        <f>'2A Önk bev'!K73</f>
        <v>0</v>
      </c>
      <c r="L37" s="512">
        <f>'2A Önk bev'!L73</f>
        <v>0</v>
      </c>
      <c r="M37" s="512">
        <f>'2A Önk bev'!M73</f>
        <v>0</v>
      </c>
      <c r="N37" s="512">
        <f t="shared" si="5"/>
        <v>0</v>
      </c>
      <c r="O37" s="546">
        <f>'2A Önk bev'!O73</f>
        <v>0</v>
      </c>
      <c r="P37" s="512">
        <f>'2A Önk bev'!P73</f>
        <v>0</v>
      </c>
      <c r="Q37" s="512">
        <f>'2A Önk bev'!Q73</f>
        <v>0</v>
      </c>
      <c r="R37" s="512">
        <f t="shared" si="7"/>
        <v>0</v>
      </c>
      <c r="S37" s="942">
        <f>'2A Önk bev'!S73</f>
        <v>0</v>
      </c>
      <c r="T37" s="948">
        <f>'2A Önk bev'!T73</f>
        <v>0</v>
      </c>
      <c r="U37" s="948">
        <f>'2A Önk bev'!U73</f>
        <v>0</v>
      </c>
      <c r="V37" s="948">
        <f t="shared" si="9"/>
        <v>0</v>
      </c>
      <c r="W37" s="546">
        <f>'2A Önk bev'!W73</f>
        <v>0</v>
      </c>
      <c r="X37" s="512">
        <f>'2A Önk bev'!X73</f>
        <v>0</v>
      </c>
      <c r="Y37" s="512">
        <f>'2A Önk bev'!Y73</f>
        <v>0</v>
      </c>
      <c r="Z37" s="512">
        <f t="shared" si="11"/>
        <v>0</v>
      </c>
      <c r="AA37" s="546">
        <f>'2A Önk bev'!AA73</f>
        <v>0</v>
      </c>
      <c r="AB37" s="512">
        <f>'2A Önk bev'!AB73</f>
        <v>0</v>
      </c>
      <c r="AC37" s="512">
        <f>'2A Önk bev'!AC73</f>
        <v>0</v>
      </c>
      <c r="AD37" s="512">
        <f t="shared" si="13"/>
        <v>0</v>
      </c>
      <c r="AE37" s="942">
        <f>'2A Önk bev'!AE73</f>
        <v>0</v>
      </c>
      <c r="AF37" s="948">
        <f>'2A Önk bev'!AF73</f>
        <v>0</v>
      </c>
      <c r="AG37" s="948">
        <f>'2A Önk bev'!AG73</f>
        <v>0</v>
      </c>
      <c r="AH37" s="948">
        <f t="shared" si="15"/>
        <v>0</v>
      </c>
    </row>
    <row r="38" spans="1:35" x14ac:dyDescent="0.25">
      <c r="A38" s="522"/>
      <c r="B38" s="272" t="s">
        <v>526</v>
      </c>
      <c r="C38" s="546">
        <f>'2A Önk bev'!C74</f>
        <v>0</v>
      </c>
      <c r="D38" s="546">
        <f>'2A Önk bev'!D74</f>
        <v>0</v>
      </c>
      <c r="E38" s="546">
        <f>'2A Önk bev'!E74</f>
        <v>0</v>
      </c>
      <c r="F38" s="546">
        <f t="shared" si="1"/>
        <v>0</v>
      </c>
      <c r="G38" s="546">
        <f>'2A Önk bev'!G74</f>
        <v>0</v>
      </c>
      <c r="H38" s="512">
        <f>'2A Önk bev'!H74</f>
        <v>0</v>
      </c>
      <c r="I38" s="512">
        <f>'2A Önk bev'!I74</f>
        <v>0</v>
      </c>
      <c r="J38" s="512">
        <f t="shared" si="3"/>
        <v>0</v>
      </c>
      <c r="K38" s="546">
        <f>'2A Önk bev'!K74</f>
        <v>0</v>
      </c>
      <c r="L38" s="512">
        <f>'2A Önk bev'!L74</f>
        <v>0</v>
      </c>
      <c r="M38" s="512">
        <f>'2A Önk bev'!M74</f>
        <v>0</v>
      </c>
      <c r="N38" s="512">
        <f t="shared" si="5"/>
        <v>0</v>
      </c>
      <c r="O38" s="546">
        <f>'2A Önk bev'!O74</f>
        <v>0</v>
      </c>
      <c r="P38" s="512">
        <f>'2A Önk bev'!P74</f>
        <v>0</v>
      </c>
      <c r="Q38" s="512">
        <f>'2A Önk bev'!Q74</f>
        <v>0</v>
      </c>
      <c r="R38" s="512">
        <f t="shared" si="7"/>
        <v>0</v>
      </c>
      <c r="S38" s="942">
        <f>'2A Önk bev'!S74</f>
        <v>0</v>
      </c>
      <c r="T38" s="948">
        <f>'2A Önk bev'!T74</f>
        <v>0</v>
      </c>
      <c r="U38" s="948">
        <f>'2A Önk bev'!U74</f>
        <v>0</v>
      </c>
      <c r="V38" s="948">
        <f t="shared" si="9"/>
        <v>0</v>
      </c>
      <c r="W38" s="546">
        <f>'2A Önk bev'!W74</f>
        <v>0</v>
      </c>
      <c r="X38" s="512">
        <f>'2A Önk bev'!X74</f>
        <v>0</v>
      </c>
      <c r="Y38" s="512">
        <f>'2A Önk bev'!Y74</f>
        <v>0</v>
      </c>
      <c r="Z38" s="512">
        <f t="shared" si="11"/>
        <v>0</v>
      </c>
      <c r="AA38" s="546">
        <f>'2A Önk bev'!AA74</f>
        <v>0</v>
      </c>
      <c r="AB38" s="512">
        <f>'2A Önk bev'!AB74</f>
        <v>0</v>
      </c>
      <c r="AC38" s="512">
        <f>'2A Önk bev'!AC74</f>
        <v>0</v>
      </c>
      <c r="AD38" s="512">
        <f t="shared" si="13"/>
        <v>0</v>
      </c>
      <c r="AE38" s="942">
        <f>'2A Önk bev'!AE74</f>
        <v>0</v>
      </c>
      <c r="AF38" s="948">
        <f>'2A Önk bev'!AF74</f>
        <v>0</v>
      </c>
      <c r="AG38" s="948">
        <f>'2A Önk bev'!AG74</f>
        <v>0</v>
      </c>
      <c r="AH38" s="948">
        <f t="shared" si="15"/>
        <v>0</v>
      </c>
    </row>
    <row r="39" spans="1:35" x14ac:dyDescent="0.25">
      <c r="A39" s="560" t="s">
        <v>315</v>
      </c>
      <c r="B39" s="561" t="s">
        <v>325</v>
      </c>
      <c r="C39" s="562">
        <f t="shared" ref="C39:E39" si="72">SUM(C40:C43)</f>
        <v>4186</v>
      </c>
      <c r="D39" s="562">
        <f t="shared" si="72"/>
        <v>1614</v>
      </c>
      <c r="E39" s="562">
        <f t="shared" si="72"/>
        <v>0</v>
      </c>
      <c r="F39" s="562">
        <f t="shared" si="1"/>
        <v>5800</v>
      </c>
      <c r="G39" s="562">
        <f>SUM(G40:G44)</f>
        <v>70588</v>
      </c>
      <c r="H39" s="562">
        <f>SUM(H40:H44)</f>
        <v>11614</v>
      </c>
      <c r="I39" s="562">
        <f>SUM(I40:I44)</f>
        <v>0</v>
      </c>
      <c r="J39" s="573">
        <f t="shared" si="3"/>
        <v>82202</v>
      </c>
      <c r="K39" s="562">
        <f t="shared" ref="K39:M39" si="73">SUM(K40:K43)</f>
        <v>4186</v>
      </c>
      <c r="L39" s="573">
        <f t="shared" si="73"/>
        <v>139740</v>
      </c>
      <c r="M39" s="573">
        <f t="shared" si="73"/>
        <v>0</v>
      </c>
      <c r="N39" s="573">
        <f t="shared" si="5"/>
        <v>143926</v>
      </c>
      <c r="O39" s="562">
        <f t="shared" ref="O39:Q39" si="74">SUM(O40:O43)</f>
        <v>2543</v>
      </c>
      <c r="P39" s="573">
        <f t="shared" si="74"/>
        <v>0</v>
      </c>
      <c r="Q39" s="573">
        <f t="shared" si="74"/>
        <v>0</v>
      </c>
      <c r="R39" s="573">
        <f t="shared" si="7"/>
        <v>2543</v>
      </c>
      <c r="S39" s="562">
        <f t="shared" ref="S39:U39" si="75">SUM(S40:S43)</f>
        <v>49377</v>
      </c>
      <c r="T39" s="573">
        <f t="shared" si="75"/>
        <v>1650</v>
      </c>
      <c r="U39" s="573">
        <f t="shared" si="75"/>
        <v>0</v>
      </c>
      <c r="V39" s="573">
        <f t="shared" si="9"/>
        <v>51027</v>
      </c>
      <c r="W39" s="562">
        <f t="shared" ref="W39:Y39" si="76">SUM(W40:W43)</f>
        <v>49377</v>
      </c>
      <c r="X39" s="573">
        <f t="shared" si="76"/>
        <v>1650</v>
      </c>
      <c r="Y39" s="573">
        <f t="shared" si="76"/>
        <v>0</v>
      </c>
      <c r="Z39" s="573">
        <f t="shared" si="11"/>
        <v>51027</v>
      </c>
      <c r="AA39" s="562">
        <f t="shared" ref="AA39:AC39" si="77">SUM(AA40:AA43)</f>
        <v>49377</v>
      </c>
      <c r="AB39" s="573">
        <f t="shared" si="77"/>
        <v>1650</v>
      </c>
      <c r="AC39" s="573">
        <f t="shared" si="77"/>
        <v>0</v>
      </c>
      <c r="AD39" s="573">
        <f t="shared" si="13"/>
        <v>51027</v>
      </c>
      <c r="AE39" s="562">
        <f t="shared" ref="AE39:AG39" si="78">SUM(AE40:AE43)</f>
        <v>49377</v>
      </c>
      <c r="AF39" s="573">
        <f t="shared" si="78"/>
        <v>1650</v>
      </c>
      <c r="AG39" s="573">
        <f t="shared" si="78"/>
        <v>0</v>
      </c>
      <c r="AH39" s="573">
        <f t="shared" si="15"/>
        <v>51027</v>
      </c>
      <c r="AI39" s="530"/>
    </row>
    <row r="40" spans="1:35" ht="30" x14ac:dyDescent="0.25">
      <c r="A40" s="522"/>
      <c r="B40" s="272" t="s">
        <v>527</v>
      </c>
      <c r="C40" s="546">
        <f>'2A Önk bev'!C76</f>
        <v>0</v>
      </c>
      <c r="D40" s="546">
        <f>'2A Önk bev'!D76</f>
        <v>0</v>
      </c>
      <c r="E40" s="546">
        <f>'2A Önk bev'!E76</f>
        <v>0</v>
      </c>
      <c r="F40" s="546">
        <f t="shared" si="1"/>
        <v>0</v>
      </c>
      <c r="G40" s="546">
        <f>'2A Önk bev'!G76</f>
        <v>0</v>
      </c>
      <c r="H40" s="512">
        <f>'2A Önk bev'!H76</f>
        <v>0</v>
      </c>
      <c r="I40" s="512">
        <f>'2A Önk bev'!I76</f>
        <v>0</v>
      </c>
      <c r="J40" s="512">
        <f t="shared" si="3"/>
        <v>0</v>
      </c>
      <c r="K40" s="546">
        <f>'2A Önk bev'!K76</f>
        <v>0</v>
      </c>
      <c r="L40" s="512">
        <f>'2A Önk bev'!L76</f>
        <v>0</v>
      </c>
      <c r="M40" s="512">
        <f>'2A Önk bev'!M76</f>
        <v>0</v>
      </c>
      <c r="N40" s="512">
        <f t="shared" si="5"/>
        <v>0</v>
      </c>
      <c r="O40" s="546">
        <f>'2A Önk bev'!O76</f>
        <v>0</v>
      </c>
      <c r="P40" s="512">
        <f>'2A Önk bev'!P76</f>
        <v>0</v>
      </c>
      <c r="Q40" s="512">
        <f>'2A Önk bev'!Q76</f>
        <v>0</v>
      </c>
      <c r="R40" s="512">
        <f t="shared" si="7"/>
        <v>0</v>
      </c>
      <c r="S40" s="942">
        <f>'2A Önk bev'!S76</f>
        <v>0</v>
      </c>
      <c r="T40" s="948">
        <f>'2A Önk bev'!T76</f>
        <v>0</v>
      </c>
      <c r="U40" s="948">
        <f>'2A Önk bev'!U76</f>
        <v>0</v>
      </c>
      <c r="V40" s="948">
        <f t="shared" si="9"/>
        <v>0</v>
      </c>
      <c r="W40" s="546">
        <f>'2A Önk bev'!W76</f>
        <v>0</v>
      </c>
      <c r="X40" s="512">
        <f>'2A Önk bev'!X76</f>
        <v>0</v>
      </c>
      <c r="Y40" s="512">
        <f>'2A Önk bev'!Y76</f>
        <v>0</v>
      </c>
      <c r="Z40" s="512">
        <f t="shared" si="11"/>
        <v>0</v>
      </c>
      <c r="AA40" s="546">
        <f>'2A Önk bev'!AA76</f>
        <v>0</v>
      </c>
      <c r="AB40" s="512">
        <f>'2A Önk bev'!AB76</f>
        <v>0</v>
      </c>
      <c r="AC40" s="512">
        <f>'2A Önk bev'!AC76</f>
        <v>0</v>
      </c>
      <c r="AD40" s="512">
        <f t="shared" si="13"/>
        <v>0</v>
      </c>
      <c r="AE40" s="942">
        <f>'2A Önk bev'!AE76</f>
        <v>0</v>
      </c>
      <c r="AF40" s="948">
        <f>'2A Önk bev'!AF76</f>
        <v>0</v>
      </c>
      <c r="AG40" s="948">
        <f>'2A Önk bev'!AG76</f>
        <v>0</v>
      </c>
      <c r="AH40" s="948">
        <f t="shared" si="15"/>
        <v>0</v>
      </c>
    </row>
    <row r="41" spans="1:35" s="96" customFormat="1" ht="45" x14ac:dyDescent="0.25">
      <c r="A41" s="522"/>
      <c r="B41" s="383" t="s">
        <v>551</v>
      </c>
      <c r="C41" s="384">
        <f>'2A Önk bev'!C77</f>
        <v>0</v>
      </c>
      <c r="D41" s="384">
        <f>'2A Önk bev'!D77</f>
        <v>0</v>
      </c>
      <c r="E41" s="384">
        <f>'2A Önk bev'!E77</f>
        <v>0</v>
      </c>
      <c r="F41" s="384">
        <f t="shared" si="1"/>
        <v>0</v>
      </c>
      <c r="G41" s="384">
        <f>'2A Önk bev'!G77</f>
        <v>0</v>
      </c>
      <c r="H41" s="514">
        <f>'2A Önk bev'!H77</f>
        <v>0</v>
      </c>
      <c r="I41" s="514">
        <f>'2A Önk bev'!I77</f>
        <v>0</v>
      </c>
      <c r="J41" s="514">
        <f t="shared" si="3"/>
        <v>0</v>
      </c>
      <c r="K41" s="384">
        <f>'2A Önk bev'!K77</f>
        <v>0</v>
      </c>
      <c r="L41" s="514">
        <f>'2A Önk bev'!L77</f>
        <v>0</v>
      </c>
      <c r="M41" s="514">
        <f>'2A Önk bev'!M77</f>
        <v>0</v>
      </c>
      <c r="N41" s="514">
        <f t="shared" si="5"/>
        <v>0</v>
      </c>
      <c r="O41" s="384">
        <f>'2A Önk bev'!O77</f>
        <v>0</v>
      </c>
      <c r="P41" s="514">
        <f>'2A Önk bev'!P77</f>
        <v>0</v>
      </c>
      <c r="Q41" s="514">
        <f>'2A Önk bev'!Q77</f>
        <v>0</v>
      </c>
      <c r="R41" s="514">
        <f t="shared" si="7"/>
        <v>0</v>
      </c>
      <c r="S41" s="954">
        <f>'2A Önk bev'!S77</f>
        <v>0</v>
      </c>
      <c r="T41" s="950">
        <f>'2A Önk bev'!T77</f>
        <v>0</v>
      </c>
      <c r="U41" s="950">
        <f>'2A Önk bev'!U77</f>
        <v>0</v>
      </c>
      <c r="V41" s="950">
        <f t="shared" si="9"/>
        <v>0</v>
      </c>
      <c r="W41" s="384">
        <f>'2A Önk bev'!W77</f>
        <v>0</v>
      </c>
      <c r="X41" s="514">
        <f>'2A Önk bev'!X77</f>
        <v>0</v>
      </c>
      <c r="Y41" s="514">
        <f>'2A Önk bev'!Y77</f>
        <v>0</v>
      </c>
      <c r="Z41" s="514">
        <f t="shared" si="11"/>
        <v>0</v>
      </c>
      <c r="AA41" s="384">
        <f>'2A Önk bev'!AA77</f>
        <v>0</v>
      </c>
      <c r="AB41" s="514">
        <f>'2A Önk bev'!AB77</f>
        <v>0</v>
      </c>
      <c r="AC41" s="514">
        <f>'2A Önk bev'!AC77</f>
        <v>0</v>
      </c>
      <c r="AD41" s="514">
        <f t="shared" si="13"/>
        <v>0</v>
      </c>
      <c r="AE41" s="954">
        <f>'2A Önk bev'!AE77</f>
        <v>0</v>
      </c>
      <c r="AF41" s="950">
        <f>'2A Önk bev'!AF77</f>
        <v>0</v>
      </c>
      <c r="AG41" s="950">
        <f>'2A Önk bev'!AG77</f>
        <v>0</v>
      </c>
      <c r="AH41" s="950">
        <f t="shared" si="15"/>
        <v>0</v>
      </c>
    </row>
    <row r="42" spans="1:35" ht="30" x14ac:dyDescent="0.25">
      <c r="A42" s="522"/>
      <c r="B42" s="272" t="s">
        <v>529</v>
      </c>
      <c r="C42" s="546">
        <f>'2A Önk bev'!C78</f>
        <v>0</v>
      </c>
      <c r="D42" s="546">
        <f>'2A Önk bev'!D78</f>
        <v>1614</v>
      </c>
      <c r="E42" s="546">
        <f>'2A Önk bev'!E78</f>
        <v>0</v>
      </c>
      <c r="F42" s="546">
        <f t="shared" si="1"/>
        <v>1614</v>
      </c>
      <c r="G42" s="546">
        <f>'2A Önk bev'!G78</f>
        <v>0</v>
      </c>
      <c r="H42" s="512">
        <f>'2A Önk bev'!H78</f>
        <v>1614</v>
      </c>
      <c r="I42" s="512">
        <f>'2A Önk bev'!I78</f>
        <v>0</v>
      </c>
      <c r="J42" s="512">
        <f t="shared" si="3"/>
        <v>1614</v>
      </c>
      <c r="K42" s="546">
        <f>'2A Önk bev'!K78</f>
        <v>0</v>
      </c>
      <c r="L42" s="512">
        <f>'2A Önk bev'!L78</f>
        <v>2815</v>
      </c>
      <c r="M42" s="512">
        <f>'2A Önk bev'!M78</f>
        <v>0</v>
      </c>
      <c r="N42" s="512">
        <f t="shared" si="5"/>
        <v>2815</v>
      </c>
      <c r="O42" s="546">
        <f>'2A Önk bev'!O78</f>
        <v>1652</v>
      </c>
      <c r="P42" s="512">
        <f>'2A Önk bev'!P78</f>
        <v>0</v>
      </c>
      <c r="Q42" s="512">
        <f>'2A Önk bev'!Q78</f>
        <v>0</v>
      </c>
      <c r="R42" s="512">
        <f t="shared" si="7"/>
        <v>1652</v>
      </c>
      <c r="S42" s="942">
        <f>'2A Önk bev'!S78</f>
        <v>0</v>
      </c>
      <c r="T42" s="948">
        <f>'2A Önk bev'!T78</f>
        <v>1650</v>
      </c>
      <c r="U42" s="948">
        <f>'2A Önk bev'!U78</f>
        <v>0</v>
      </c>
      <c r="V42" s="948">
        <f t="shared" si="9"/>
        <v>1650</v>
      </c>
      <c r="W42" s="546">
        <f>'2A Önk bev'!W78</f>
        <v>0</v>
      </c>
      <c r="X42" s="512">
        <f>'2A Önk bev'!X78</f>
        <v>1650</v>
      </c>
      <c r="Y42" s="512">
        <f>'2A Önk bev'!Y78</f>
        <v>0</v>
      </c>
      <c r="Z42" s="512">
        <f t="shared" si="11"/>
        <v>1650</v>
      </c>
      <c r="AA42" s="546">
        <f>'2A Önk bev'!AA78</f>
        <v>0</v>
      </c>
      <c r="AB42" s="512">
        <f>'2A Önk bev'!AB78</f>
        <v>1650</v>
      </c>
      <c r="AC42" s="512">
        <f>'2A Önk bev'!AC78</f>
        <v>0</v>
      </c>
      <c r="AD42" s="512">
        <f t="shared" si="13"/>
        <v>1650</v>
      </c>
      <c r="AE42" s="942">
        <f>'2A Önk bev'!AE78</f>
        <v>0</v>
      </c>
      <c r="AF42" s="948">
        <f>'2A Önk bev'!AF78</f>
        <v>1650</v>
      </c>
      <c r="AG42" s="948">
        <f>'2A Önk bev'!AG78</f>
        <v>0</v>
      </c>
      <c r="AH42" s="948">
        <f t="shared" si="15"/>
        <v>1650</v>
      </c>
      <c r="AI42" s="530"/>
    </row>
    <row r="43" spans="1:35" ht="30" x14ac:dyDescent="0.25">
      <c r="A43" s="522"/>
      <c r="B43" s="272" t="s">
        <v>533</v>
      </c>
      <c r="C43" s="546">
        <f>'2A Önk bev'!C82</f>
        <v>4186</v>
      </c>
      <c r="D43" s="546">
        <f>'2A Önk bev'!D82</f>
        <v>0</v>
      </c>
      <c r="E43" s="546">
        <f>'2A Önk bev'!E82</f>
        <v>0</v>
      </c>
      <c r="F43" s="546">
        <f t="shared" si="1"/>
        <v>4186</v>
      </c>
      <c r="G43" s="546">
        <f>'2A Önk bev'!G82</f>
        <v>4186</v>
      </c>
      <c r="H43" s="512">
        <f>'2A Önk bev'!H82</f>
        <v>10000</v>
      </c>
      <c r="I43" s="512">
        <f>'2A Önk bev'!I82</f>
        <v>0</v>
      </c>
      <c r="J43" s="512">
        <f t="shared" si="3"/>
        <v>14186</v>
      </c>
      <c r="K43" s="546">
        <f>'2A Önk bev'!K82</f>
        <v>4186</v>
      </c>
      <c r="L43" s="512">
        <f>'2A Önk bev'!L82</f>
        <v>136925</v>
      </c>
      <c r="M43" s="512">
        <f>'2A Önk bev'!M82</f>
        <v>0</v>
      </c>
      <c r="N43" s="512">
        <f t="shared" si="5"/>
        <v>141111</v>
      </c>
      <c r="O43" s="546">
        <f>'2A Önk bev'!O82</f>
        <v>891</v>
      </c>
      <c r="P43" s="512">
        <f>'2A Önk bev'!P82</f>
        <v>0</v>
      </c>
      <c r="Q43" s="512">
        <f>'2A Önk bev'!Q82</f>
        <v>0</v>
      </c>
      <c r="R43" s="512">
        <f t="shared" si="7"/>
        <v>891</v>
      </c>
      <c r="S43" s="942">
        <f>'2A Önk bev'!S82</f>
        <v>49377</v>
      </c>
      <c r="T43" s="948">
        <f>'2A Önk bev'!T82</f>
        <v>0</v>
      </c>
      <c r="U43" s="948">
        <f>'2A Önk bev'!U82</f>
        <v>0</v>
      </c>
      <c r="V43" s="948">
        <f t="shared" si="9"/>
        <v>49377</v>
      </c>
      <c r="W43" s="546">
        <f>'2A Önk bev'!W82</f>
        <v>49377</v>
      </c>
      <c r="X43" s="512">
        <f>'2A Önk bev'!X82</f>
        <v>0</v>
      </c>
      <c r="Y43" s="512">
        <f>'2A Önk bev'!Y82</f>
        <v>0</v>
      </c>
      <c r="Z43" s="512">
        <f t="shared" si="11"/>
        <v>49377</v>
      </c>
      <c r="AA43" s="546">
        <f>'2A Önk bev'!AA82</f>
        <v>49377</v>
      </c>
      <c r="AB43" s="512">
        <f>'2A Önk bev'!AB82</f>
        <v>0</v>
      </c>
      <c r="AC43" s="512">
        <f>'2A Önk bev'!AC82</f>
        <v>0</v>
      </c>
      <c r="AD43" s="512">
        <f t="shared" si="13"/>
        <v>49377</v>
      </c>
      <c r="AE43" s="942">
        <f>'2A Önk bev'!AE82</f>
        <v>49377</v>
      </c>
      <c r="AF43" s="948">
        <f>'2A Önk bev'!AF82</f>
        <v>0</v>
      </c>
      <c r="AG43" s="948">
        <f>'2A Önk bev'!AG82</f>
        <v>0</v>
      </c>
      <c r="AH43" s="948">
        <f t="shared" si="15"/>
        <v>49377</v>
      </c>
      <c r="AI43" s="530"/>
    </row>
    <row r="44" spans="1:35" ht="30" hidden="1" x14ac:dyDescent="0.25">
      <c r="A44" s="728"/>
      <c r="B44" s="732" t="s">
        <v>1467</v>
      </c>
      <c r="C44" s="546"/>
      <c r="D44" s="546"/>
      <c r="E44" s="546"/>
      <c r="F44" s="546"/>
      <c r="G44" s="546">
        <f>+'2A Önk bev'!J89</f>
        <v>66402</v>
      </c>
      <c r="H44" s="546">
        <f>+'2A Önk bev'!H89</f>
        <v>0</v>
      </c>
      <c r="I44" s="512"/>
      <c r="J44" s="512">
        <f t="shared" si="3"/>
        <v>66402</v>
      </c>
      <c r="K44" s="546"/>
      <c r="L44" s="512"/>
      <c r="M44" s="512"/>
      <c r="N44" s="512"/>
      <c r="O44" s="546"/>
      <c r="P44" s="512"/>
      <c r="Q44" s="512"/>
      <c r="R44" s="512"/>
      <c r="S44" s="546"/>
      <c r="T44" s="512"/>
      <c r="U44" s="512"/>
      <c r="V44" s="512"/>
      <c r="W44" s="546"/>
      <c r="X44" s="512"/>
      <c r="Y44" s="512"/>
      <c r="Z44" s="512"/>
      <c r="AA44" s="546"/>
      <c r="AB44" s="512"/>
      <c r="AC44" s="512"/>
      <c r="AD44" s="512"/>
      <c r="AE44" s="546"/>
      <c r="AF44" s="512"/>
      <c r="AG44" s="512"/>
      <c r="AH44" s="512"/>
    </row>
    <row r="45" spans="1:35" x14ac:dyDescent="0.25">
      <c r="A45" s="521"/>
      <c r="B45" s="563" t="s">
        <v>327</v>
      </c>
      <c r="C45" s="360">
        <f>C4+C29</f>
        <v>3845101</v>
      </c>
      <c r="D45" s="360">
        <f>D4+D29</f>
        <v>462133</v>
      </c>
      <c r="E45" s="360">
        <f>E4+E29</f>
        <v>0</v>
      </c>
      <c r="F45" s="360">
        <f t="shared" si="1"/>
        <v>4307234</v>
      </c>
      <c r="G45" s="360">
        <f>G4+G29</f>
        <v>4083573</v>
      </c>
      <c r="H45" s="574">
        <f>H4+H29</f>
        <v>732127</v>
      </c>
      <c r="I45" s="574">
        <f>I4+I29</f>
        <v>0</v>
      </c>
      <c r="J45" s="574">
        <f t="shared" si="3"/>
        <v>4815700</v>
      </c>
      <c r="K45" s="360">
        <f>K4+K29</f>
        <v>3888147</v>
      </c>
      <c r="L45" s="574">
        <f>L4+L29</f>
        <v>671933</v>
      </c>
      <c r="M45" s="574" t="e">
        <f>M4+M29</f>
        <v>#REF!</v>
      </c>
      <c r="N45" s="574" t="e">
        <f t="shared" si="5"/>
        <v>#REF!</v>
      </c>
      <c r="O45" s="360">
        <f>O4+O29</f>
        <v>4895187</v>
      </c>
      <c r="P45" s="574">
        <f>P4+P29</f>
        <v>12200</v>
      </c>
      <c r="Q45" s="574">
        <f>Q4+Q29</f>
        <v>0</v>
      </c>
      <c r="R45" s="574">
        <f t="shared" si="7"/>
        <v>4907387</v>
      </c>
      <c r="S45" s="360">
        <f>S4+S29</f>
        <v>4621084.0810000002</v>
      </c>
      <c r="T45" s="574">
        <f>T4+T29</f>
        <v>50887</v>
      </c>
      <c r="U45" s="574">
        <f>U4+U29</f>
        <v>0</v>
      </c>
      <c r="V45" s="574">
        <f t="shared" si="9"/>
        <v>4671971.0810000002</v>
      </c>
      <c r="W45" s="360">
        <f>W4+W29</f>
        <v>4467096.8339999998</v>
      </c>
      <c r="X45" s="574">
        <f>X4+X29</f>
        <v>215102</v>
      </c>
      <c r="Y45" s="574">
        <f>Y4+Y29</f>
        <v>0</v>
      </c>
      <c r="Z45" s="574">
        <f t="shared" ref="Z45:Z60" si="79">SUM(W45:Y45)</f>
        <v>4682198.8339999998</v>
      </c>
      <c r="AA45" s="360">
        <f>AA4+AA29</f>
        <v>4638122</v>
      </c>
      <c r="AB45" s="574">
        <f>AB4+AB29</f>
        <v>50887</v>
      </c>
      <c r="AC45" s="574">
        <f>AC4+AC29</f>
        <v>0</v>
      </c>
      <c r="AD45" s="574">
        <f t="shared" ref="AD45:AD60" si="80">SUM(AA45:AC45)</f>
        <v>4689009</v>
      </c>
      <c r="AE45" s="360">
        <f>AE4+AE29</f>
        <v>4994230</v>
      </c>
      <c r="AF45" s="574">
        <f>AF4+AF29</f>
        <v>54125</v>
      </c>
      <c r="AG45" s="574">
        <f>AG4+AG29</f>
        <v>0</v>
      </c>
      <c r="AH45" s="574">
        <f t="shared" ref="AH45:AH60" si="81">SUM(AE45:AG45)</f>
        <v>5048355</v>
      </c>
      <c r="AI45" s="530"/>
    </row>
    <row r="46" spans="1:35" x14ac:dyDescent="0.25">
      <c r="A46" s="557" t="s">
        <v>328</v>
      </c>
      <c r="B46" s="558" t="s">
        <v>329</v>
      </c>
      <c r="C46" s="559">
        <f>C47+C57</f>
        <v>0</v>
      </c>
      <c r="D46" s="559">
        <f t="shared" ref="D46:E46" si="82">D47+D57</f>
        <v>2068000</v>
      </c>
      <c r="E46" s="559">
        <f t="shared" si="82"/>
        <v>0</v>
      </c>
      <c r="F46" s="559">
        <f t="shared" si="1"/>
        <v>2068000</v>
      </c>
      <c r="G46" s="559">
        <f>G47+G57</f>
        <v>335167</v>
      </c>
      <c r="H46" s="572">
        <f t="shared" ref="H46:I46" si="83">H47+H57</f>
        <v>2354045</v>
      </c>
      <c r="I46" s="572">
        <f t="shared" si="83"/>
        <v>0</v>
      </c>
      <c r="J46" s="572">
        <f t="shared" si="3"/>
        <v>2689212</v>
      </c>
      <c r="K46" s="559">
        <f>K47+K57</f>
        <v>51899</v>
      </c>
      <c r="L46" s="572">
        <f t="shared" ref="L46:M46" si="84">L47+L57</f>
        <v>2237194</v>
      </c>
      <c r="M46" s="572" t="e">
        <f t="shared" si="84"/>
        <v>#REF!</v>
      </c>
      <c r="N46" s="572" t="e">
        <f t="shared" si="5"/>
        <v>#REF!</v>
      </c>
      <c r="O46" s="559">
        <f>O47+O57</f>
        <v>2691661</v>
      </c>
      <c r="P46" s="572">
        <f t="shared" ref="P46:Q46" si="85">P47+P57</f>
        <v>0</v>
      </c>
      <c r="Q46" s="572">
        <f t="shared" si="85"/>
        <v>0</v>
      </c>
      <c r="R46" s="572">
        <f t="shared" si="7"/>
        <v>2691661</v>
      </c>
      <c r="S46" s="559">
        <f>S47+S57</f>
        <v>1100000</v>
      </c>
      <c r="T46" s="572">
        <f t="shared" ref="T46:U46" si="86">T47+T57</f>
        <v>0</v>
      </c>
      <c r="U46" s="572">
        <f t="shared" si="86"/>
        <v>0</v>
      </c>
      <c r="V46" s="572">
        <f t="shared" si="9"/>
        <v>1100000</v>
      </c>
      <c r="W46" s="559">
        <f>W47+W57</f>
        <v>1650969</v>
      </c>
      <c r="X46" s="572">
        <f t="shared" ref="X46:Y46" si="87">X47+X57</f>
        <v>0</v>
      </c>
      <c r="Y46" s="572">
        <f t="shared" si="87"/>
        <v>0</v>
      </c>
      <c r="Z46" s="572">
        <f t="shared" si="79"/>
        <v>1650969</v>
      </c>
      <c r="AA46" s="559">
        <f>AA47+AA57</f>
        <v>1788998</v>
      </c>
      <c r="AB46" s="572">
        <f t="shared" ref="AB46:AC46" si="88">AB47+AB57</f>
        <v>0</v>
      </c>
      <c r="AC46" s="572">
        <f t="shared" si="88"/>
        <v>0</v>
      </c>
      <c r="AD46" s="572">
        <f t="shared" si="80"/>
        <v>1788998</v>
      </c>
      <c r="AE46" s="559">
        <f>AE47+AE57</f>
        <v>2001624</v>
      </c>
      <c r="AF46" s="572">
        <f t="shared" ref="AF46:AG46" si="89">AF47+AF57</f>
        <v>0</v>
      </c>
      <c r="AG46" s="572">
        <f t="shared" si="89"/>
        <v>0</v>
      </c>
      <c r="AH46" s="572">
        <f t="shared" si="81"/>
        <v>2001624</v>
      </c>
      <c r="AI46" s="530"/>
    </row>
    <row r="47" spans="1:35" x14ac:dyDescent="0.25">
      <c r="A47" s="560" t="s">
        <v>311</v>
      </c>
      <c r="B47" s="561" t="s">
        <v>330</v>
      </c>
      <c r="C47" s="562">
        <f t="shared" ref="C47:E47" si="90">C48+C53+C54+C55+C56</f>
        <v>0</v>
      </c>
      <c r="D47" s="562">
        <f t="shared" si="90"/>
        <v>2068000</v>
      </c>
      <c r="E47" s="562">
        <f t="shared" si="90"/>
        <v>0</v>
      </c>
      <c r="F47" s="562">
        <f t="shared" si="1"/>
        <v>2068000</v>
      </c>
      <c r="G47" s="562">
        <f t="shared" ref="G47:I47" si="91">G48+G53+G54+G55+G56</f>
        <v>335167</v>
      </c>
      <c r="H47" s="573">
        <f t="shared" si="91"/>
        <v>2354045</v>
      </c>
      <c r="I47" s="573">
        <f t="shared" si="91"/>
        <v>0</v>
      </c>
      <c r="J47" s="573">
        <f t="shared" si="3"/>
        <v>2689212</v>
      </c>
      <c r="K47" s="562">
        <f t="shared" ref="K47:M47" si="92">K48+K53+K54+K55+K56</f>
        <v>51899</v>
      </c>
      <c r="L47" s="573">
        <f t="shared" si="92"/>
        <v>2237194</v>
      </c>
      <c r="M47" s="573" t="e">
        <f t="shared" si="92"/>
        <v>#REF!</v>
      </c>
      <c r="N47" s="573" t="e">
        <f t="shared" si="5"/>
        <v>#REF!</v>
      </c>
      <c r="O47" s="562">
        <f t="shared" ref="O47:Q47" si="93">O48+O53+O54+O55+O56</f>
        <v>2691661</v>
      </c>
      <c r="P47" s="573">
        <f t="shared" si="93"/>
        <v>0</v>
      </c>
      <c r="Q47" s="573">
        <f t="shared" si="93"/>
        <v>0</v>
      </c>
      <c r="R47" s="573">
        <f t="shared" si="7"/>
        <v>2691661</v>
      </c>
      <c r="S47" s="562">
        <f t="shared" ref="S47:U47" si="94">S48+S53+S54+S55+S56</f>
        <v>1100000</v>
      </c>
      <c r="T47" s="573">
        <f t="shared" si="94"/>
        <v>0</v>
      </c>
      <c r="U47" s="573">
        <f t="shared" si="94"/>
        <v>0</v>
      </c>
      <c r="V47" s="573">
        <f t="shared" si="9"/>
        <v>1100000</v>
      </c>
      <c r="W47" s="562">
        <f t="shared" ref="W47:Y47" si="95">W48+W53+W54+W55+W56</f>
        <v>1650969</v>
      </c>
      <c r="X47" s="573">
        <f t="shared" si="95"/>
        <v>0</v>
      </c>
      <c r="Y47" s="573">
        <f t="shared" si="95"/>
        <v>0</v>
      </c>
      <c r="Z47" s="573">
        <f t="shared" si="79"/>
        <v>1650969</v>
      </c>
      <c r="AA47" s="562">
        <f t="shared" ref="AA47:AC47" si="96">AA48+AA53+AA54+AA55+AA56</f>
        <v>1788998</v>
      </c>
      <c r="AB47" s="573">
        <f t="shared" si="96"/>
        <v>0</v>
      </c>
      <c r="AC47" s="573">
        <f t="shared" si="96"/>
        <v>0</v>
      </c>
      <c r="AD47" s="573">
        <f t="shared" si="80"/>
        <v>1788998</v>
      </c>
      <c r="AE47" s="562">
        <f t="shared" ref="AE47:AG47" si="97">AE48+AE53+AE54+AE55+AE56</f>
        <v>2001624</v>
      </c>
      <c r="AF47" s="573">
        <f t="shared" si="97"/>
        <v>0</v>
      </c>
      <c r="AG47" s="573">
        <f t="shared" si="97"/>
        <v>0</v>
      </c>
      <c r="AH47" s="573">
        <f t="shared" si="81"/>
        <v>2001624</v>
      </c>
      <c r="AI47" s="530"/>
    </row>
    <row r="48" spans="1:35" ht="30" x14ac:dyDescent="0.25">
      <c r="A48" s="522"/>
      <c r="B48" s="272" t="s">
        <v>538</v>
      </c>
      <c r="C48" s="546">
        <f t="shared" ref="C48:E48" si="98">SUM(C49:C52)</f>
        <v>0</v>
      </c>
      <c r="D48" s="546">
        <f t="shared" si="98"/>
        <v>768000</v>
      </c>
      <c r="E48" s="546">
        <f t="shared" si="98"/>
        <v>0</v>
      </c>
      <c r="F48" s="546">
        <f t="shared" si="1"/>
        <v>768000</v>
      </c>
      <c r="G48" s="546">
        <f t="shared" ref="G48:I48" si="99">SUM(G49:G52)</f>
        <v>0</v>
      </c>
      <c r="H48" s="512">
        <f t="shared" si="99"/>
        <v>1000000</v>
      </c>
      <c r="I48" s="512">
        <f t="shared" si="99"/>
        <v>0</v>
      </c>
      <c r="J48" s="512">
        <f t="shared" si="3"/>
        <v>1000000</v>
      </c>
      <c r="K48" s="546">
        <f t="shared" ref="K48:M48" si="100">SUM(K49:K52)</f>
        <v>0</v>
      </c>
      <c r="L48" s="512">
        <f t="shared" si="100"/>
        <v>400000</v>
      </c>
      <c r="M48" s="512">
        <f t="shared" si="100"/>
        <v>0</v>
      </c>
      <c r="N48" s="512">
        <f t="shared" si="5"/>
        <v>400000</v>
      </c>
      <c r="O48" s="546">
        <f t="shared" ref="O48:Q48" si="101">SUM(O49:O52)</f>
        <v>1000000</v>
      </c>
      <c r="P48" s="512">
        <f t="shared" si="101"/>
        <v>0</v>
      </c>
      <c r="Q48" s="512">
        <f t="shared" si="101"/>
        <v>0</v>
      </c>
      <c r="R48" s="512">
        <f t="shared" si="7"/>
        <v>1000000</v>
      </c>
      <c r="S48" s="942">
        <f t="shared" ref="S48:U48" si="102">SUM(S49:S52)</f>
        <v>0</v>
      </c>
      <c r="T48" s="948">
        <f t="shared" si="102"/>
        <v>0</v>
      </c>
      <c r="U48" s="948">
        <f t="shared" si="102"/>
        <v>0</v>
      </c>
      <c r="V48" s="948">
        <f t="shared" si="9"/>
        <v>0</v>
      </c>
      <c r="W48" s="546">
        <f t="shared" ref="W48:Y48" si="103">SUM(W49:W52)</f>
        <v>0</v>
      </c>
      <c r="X48" s="512">
        <f t="shared" si="103"/>
        <v>0</v>
      </c>
      <c r="Y48" s="512">
        <f t="shared" si="103"/>
        <v>0</v>
      </c>
      <c r="Z48" s="512">
        <f t="shared" si="79"/>
        <v>0</v>
      </c>
      <c r="AA48" s="546">
        <f t="shared" ref="AA48:AC48" si="104">SUM(AA49:AA52)</f>
        <v>0</v>
      </c>
      <c r="AB48" s="512">
        <f t="shared" si="104"/>
        <v>0</v>
      </c>
      <c r="AC48" s="512">
        <f t="shared" si="104"/>
        <v>0</v>
      </c>
      <c r="AD48" s="512">
        <f t="shared" si="80"/>
        <v>0</v>
      </c>
      <c r="AE48" s="942">
        <f t="shared" ref="AE48:AG48" si="105">SUM(AE49:AE52)</f>
        <v>0</v>
      </c>
      <c r="AF48" s="948">
        <f t="shared" si="105"/>
        <v>0</v>
      </c>
      <c r="AG48" s="948">
        <f t="shared" si="105"/>
        <v>0</v>
      </c>
      <c r="AH48" s="948">
        <f t="shared" si="81"/>
        <v>0</v>
      </c>
    </row>
    <row r="49" spans="1:35" x14ac:dyDescent="0.25">
      <c r="A49" s="522"/>
      <c r="B49" s="382" t="s">
        <v>539</v>
      </c>
      <c r="C49" s="546">
        <f>'2A Önk bev'!C95</f>
        <v>0</v>
      </c>
      <c r="D49" s="546">
        <f>'2A Önk bev'!D95</f>
        <v>600000</v>
      </c>
      <c r="E49" s="546">
        <f>'2A Önk bev'!E95</f>
        <v>0</v>
      </c>
      <c r="F49" s="546">
        <f t="shared" si="1"/>
        <v>600000</v>
      </c>
      <c r="G49" s="546">
        <f>'2A Önk bev'!G95</f>
        <v>0</v>
      </c>
      <c r="H49" s="512">
        <f>'2A Önk bev'!H95</f>
        <v>600000</v>
      </c>
      <c r="I49" s="512">
        <f>'2A Önk bev'!I95</f>
        <v>0</v>
      </c>
      <c r="J49" s="512">
        <f t="shared" si="3"/>
        <v>600000</v>
      </c>
      <c r="K49" s="546">
        <f>'2A Önk bev'!K95</f>
        <v>0</v>
      </c>
      <c r="L49" s="512">
        <f>'2A Önk bev'!L95</f>
        <v>400000</v>
      </c>
      <c r="M49" s="512">
        <f>'2A Önk bev'!M95</f>
        <v>0</v>
      </c>
      <c r="N49" s="512">
        <f t="shared" si="5"/>
        <v>400000</v>
      </c>
      <c r="O49" s="546">
        <f>'2A Önk bev'!O95</f>
        <v>600000</v>
      </c>
      <c r="P49" s="512">
        <f>'2A Önk bev'!P95</f>
        <v>0</v>
      </c>
      <c r="Q49" s="512">
        <f>'2A Önk bev'!Q95</f>
        <v>0</v>
      </c>
      <c r="R49" s="512">
        <f t="shared" si="7"/>
        <v>600000</v>
      </c>
      <c r="S49" s="942">
        <f>'2A Önk bev'!S95</f>
        <v>0</v>
      </c>
      <c r="T49" s="948">
        <f>'2A Önk bev'!T95</f>
        <v>0</v>
      </c>
      <c r="U49" s="948">
        <f>'2A Önk bev'!U95</f>
        <v>0</v>
      </c>
      <c r="V49" s="948">
        <f t="shared" si="9"/>
        <v>0</v>
      </c>
      <c r="W49" s="546">
        <f>'2A Önk bev'!W95</f>
        <v>0</v>
      </c>
      <c r="X49" s="512">
        <f>'2A Önk bev'!X95</f>
        <v>0</v>
      </c>
      <c r="Y49" s="512">
        <f>'2A Önk bev'!Y95</f>
        <v>0</v>
      </c>
      <c r="Z49" s="512">
        <f t="shared" si="79"/>
        <v>0</v>
      </c>
      <c r="AA49" s="546">
        <f>'2A Önk bev'!AA95</f>
        <v>0</v>
      </c>
      <c r="AB49" s="512">
        <f>'2A Önk bev'!AB95</f>
        <v>0</v>
      </c>
      <c r="AC49" s="512">
        <f>'2A Önk bev'!AC95</f>
        <v>0</v>
      </c>
      <c r="AD49" s="512">
        <f t="shared" si="80"/>
        <v>0</v>
      </c>
      <c r="AE49" s="942">
        <f>'2A Önk bev'!AE95</f>
        <v>0</v>
      </c>
      <c r="AF49" s="948">
        <f>'2A Önk bev'!AF95</f>
        <v>0</v>
      </c>
      <c r="AG49" s="948">
        <f>'2A Önk bev'!AG95</f>
        <v>0</v>
      </c>
      <c r="AH49" s="948">
        <f t="shared" si="81"/>
        <v>0</v>
      </c>
    </row>
    <row r="50" spans="1:35" ht="30" x14ac:dyDescent="0.25">
      <c r="A50" s="648"/>
      <c r="B50" s="651" t="s">
        <v>1410</v>
      </c>
      <c r="C50" s="546"/>
      <c r="D50" s="546">
        <v>168000</v>
      </c>
      <c r="E50" s="546"/>
      <c r="F50" s="546"/>
      <c r="G50" s="546"/>
      <c r="H50" s="512">
        <v>400000</v>
      </c>
      <c r="I50" s="512"/>
      <c r="J50" s="512"/>
      <c r="K50" s="546"/>
      <c r="L50" s="512"/>
      <c r="M50" s="512"/>
      <c r="N50" s="512"/>
      <c r="O50" s="546">
        <v>400000</v>
      </c>
      <c r="P50" s="512"/>
      <c r="Q50" s="512"/>
      <c r="R50" s="512">
        <f t="shared" si="7"/>
        <v>400000</v>
      </c>
      <c r="S50" s="942"/>
      <c r="T50" s="948">
        <v>0</v>
      </c>
      <c r="U50" s="948"/>
      <c r="V50" s="948">
        <f t="shared" si="9"/>
        <v>0</v>
      </c>
      <c r="W50" s="546"/>
      <c r="X50" s="512">
        <v>0</v>
      </c>
      <c r="Y50" s="512"/>
      <c r="Z50" s="512">
        <f t="shared" si="79"/>
        <v>0</v>
      </c>
      <c r="AA50" s="546"/>
      <c r="AB50" s="512">
        <v>0</v>
      </c>
      <c r="AC50" s="512"/>
      <c r="AD50" s="512">
        <f t="shared" si="80"/>
        <v>0</v>
      </c>
      <c r="AE50" s="942"/>
      <c r="AF50" s="948">
        <v>0</v>
      </c>
      <c r="AG50" s="948"/>
      <c r="AH50" s="948">
        <f t="shared" si="81"/>
        <v>0</v>
      </c>
    </row>
    <row r="51" spans="1:35" x14ac:dyDescent="0.25">
      <c r="A51" s="522"/>
      <c r="B51" s="382" t="s">
        <v>540</v>
      </c>
      <c r="C51" s="546">
        <v>0</v>
      </c>
      <c r="D51" s="546">
        <v>0</v>
      </c>
      <c r="E51" s="546">
        <v>0</v>
      </c>
      <c r="F51" s="546">
        <f t="shared" si="1"/>
        <v>0</v>
      </c>
      <c r="G51" s="546">
        <v>0</v>
      </c>
      <c r="H51" s="512">
        <v>0</v>
      </c>
      <c r="I51" s="512">
        <v>0</v>
      </c>
      <c r="J51" s="512">
        <f t="shared" si="3"/>
        <v>0</v>
      </c>
      <c r="K51" s="546">
        <v>0</v>
      </c>
      <c r="L51" s="512">
        <v>0</v>
      </c>
      <c r="M51" s="512">
        <v>0</v>
      </c>
      <c r="N51" s="512">
        <f t="shared" si="5"/>
        <v>0</v>
      </c>
      <c r="O51" s="546">
        <v>0</v>
      </c>
      <c r="P51" s="512">
        <v>0</v>
      </c>
      <c r="Q51" s="512">
        <v>0</v>
      </c>
      <c r="R51" s="512">
        <f t="shared" si="7"/>
        <v>0</v>
      </c>
      <c r="S51" s="942">
        <v>0</v>
      </c>
      <c r="T51" s="948">
        <v>0</v>
      </c>
      <c r="U51" s="948">
        <v>0</v>
      </c>
      <c r="V51" s="948">
        <f t="shared" si="9"/>
        <v>0</v>
      </c>
      <c r="W51" s="546">
        <v>0</v>
      </c>
      <c r="X51" s="512">
        <v>0</v>
      </c>
      <c r="Y51" s="512">
        <v>0</v>
      </c>
      <c r="Z51" s="512">
        <f t="shared" si="79"/>
        <v>0</v>
      </c>
      <c r="AA51" s="546">
        <v>0</v>
      </c>
      <c r="AB51" s="512">
        <v>0</v>
      </c>
      <c r="AC51" s="512">
        <v>0</v>
      </c>
      <c r="AD51" s="512">
        <f t="shared" si="80"/>
        <v>0</v>
      </c>
      <c r="AE51" s="942">
        <v>0</v>
      </c>
      <c r="AF51" s="948">
        <v>0</v>
      </c>
      <c r="AG51" s="948">
        <v>0</v>
      </c>
      <c r="AH51" s="948">
        <f t="shared" si="81"/>
        <v>0</v>
      </c>
    </row>
    <row r="52" spans="1:35" x14ac:dyDescent="0.25">
      <c r="A52" s="522"/>
      <c r="B52" s="382" t="s">
        <v>541</v>
      </c>
      <c r="C52" s="546">
        <v>0</v>
      </c>
      <c r="D52" s="546">
        <v>0</v>
      </c>
      <c r="E52" s="546">
        <v>0</v>
      </c>
      <c r="F52" s="546">
        <f t="shared" si="1"/>
        <v>0</v>
      </c>
      <c r="G52" s="546">
        <v>0</v>
      </c>
      <c r="H52" s="512">
        <v>0</v>
      </c>
      <c r="I52" s="512">
        <v>0</v>
      </c>
      <c r="J52" s="512">
        <f t="shared" si="3"/>
        <v>0</v>
      </c>
      <c r="K52" s="546">
        <v>0</v>
      </c>
      <c r="L52" s="512">
        <v>0</v>
      </c>
      <c r="M52" s="512">
        <v>0</v>
      </c>
      <c r="N52" s="512">
        <f t="shared" si="5"/>
        <v>0</v>
      </c>
      <c r="O52" s="546">
        <v>0</v>
      </c>
      <c r="P52" s="512">
        <v>0</v>
      </c>
      <c r="Q52" s="512">
        <v>0</v>
      </c>
      <c r="R52" s="512">
        <f t="shared" si="7"/>
        <v>0</v>
      </c>
      <c r="S52" s="942">
        <v>0</v>
      </c>
      <c r="T52" s="948">
        <v>0</v>
      </c>
      <c r="U52" s="948">
        <v>0</v>
      </c>
      <c r="V52" s="948">
        <f t="shared" si="9"/>
        <v>0</v>
      </c>
      <c r="W52" s="546">
        <v>0</v>
      </c>
      <c r="X52" s="512">
        <v>0</v>
      </c>
      <c r="Y52" s="512">
        <v>0</v>
      </c>
      <c r="Z52" s="512">
        <f t="shared" si="79"/>
        <v>0</v>
      </c>
      <c r="AA52" s="546">
        <v>0</v>
      </c>
      <c r="AB52" s="512">
        <v>0</v>
      </c>
      <c r="AC52" s="512">
        <v>0</v>
      </c>
      <c r="AD52" s="512">
        <f t="shared" si="80"/>
        <v>0</v>
      </c>
      <c r="AE52" s="942">
        <v>0</v>
      </c>
      <c r="AF52" s="948">
        <v>0</v>
      </c>
      <c r="AG52" s="948">
        <v>0</v>
      </c>
      <c r="AH52" s="948">
        <f t="shared" si="81"/>
        <v>0</v>
      </c>
    </row>
    <row r="53" spans="1:35" x14ac:dyDescent="0.25">
      <c r="A53" s="522"/>
      <c r="B53" s="272" t="s">
        <v>1476</v>
      </c>
      <c r="C53" s="546">
        <v>0</v>
      </c>
      <c r="D53" s="546">
        <v>0</v>
      </c>
      <c r="E53" s="546">
        <v>0</v>
      </c>
      <c r="F53" s="546">
        <f t="shared" si="1"/>
        <v>0</v>
      </c>
      <c r="G53" s="546">
        <v>301443</v>
      </c>
      <c r="H53" s="512">
        <v>0</v>
      </c>
      <c r="I53" s="512">
        <v>0</v>
      </c>
      <c r="J53" s="512">
        <f t="shared" si="3"/>
        <v>301443</v>
      </c>
      <c r="K53" s="546">
        <v>0</v>
      </c>
      <c r="L53" s="512">
        <v>0</v>
      </c>
      <c r="M53" s="512">
        <v>0</v>
      </c>
      <c r="N53" s="512">
        <f t="shared" si="5"/>
        <v>0</v>
      </c>
      <c r="O53" s="546">
        <v>301443</v>
      </c>
      <c r="P53" s="512">
        <v>0</v>
      </c>
      <c r="Q53" s="512">
        <v>0</v>
      </c>
      <c r="R53" s="512">
        <f t="shared" si="7"/>
        <v>301443</v>
      </c>
      <c r="S53" s="942">
        <v>0</v>
      </c>
      <c r="T53" s="948">
        <v>0</v>
      </c>
      <c r="U53" s="948">
        <v>0</v>
      </c>
      <c r="V53" s="948">
        <f t="shared" si="9"/>
        <v>0</v>
      </c>
      <c r="W53" s="546">
        <f>'2A Önk bev'!W103</f>
        <v>132298</v>
      </c>
      <c r="X53" s="512">
        <v>0</v>
      </c>
      <c r="Y53" s="512">
        <v>0</v>
      </c>
      <c r="Z53" s="512">
        <f t="shared" si="79"/>
        <v>132298</v>
      </c>
      <c r="AA53" s="546">
        <f>'2A Önk bev'!AA103</f>
        <v>270327</v>
      </c>
      <c r="AB53" s="512">
        <v>0</v>
      </c>
      <c r="AC53" s="512">
        <v>0</v>
      </c>
      <c r="AD53" s="512">
        <f t="shared" si="80"/>
        <v>270327</v>
      </c>
      <c r="AE53" s="942">
        <f>'2A Önk bev'!AE103</f>
        <v>482953</v>
      </c>
      <c r="AF53" s="948">
        <v>0</v>
      </c>
      <c r="AG53" s="948">
        <v>0</v>
      </c>
      <c r="AH53" s="948">
        <f t="shared" si="81"/>
        <v>482953</v>
      </c>
      <c r="AI53" s="530"/>
    </row>
    <row r="54" spans="1:35" x14ac:dyDescent="0.25">
      <c r="A54" s="522"/>
      <c r="B54" s="272" t="s">
        <v>543</v>
      </c>
      <c r="C54" s="546">
        <f>'2A Önk bev'!C100+'3A PH'!C36+'4H VG bev kiad'!C33+'4A Walla'!C33+'4B Nyitnikék'!C33+'4C Bóbita'!C33+'4D MMMH'!C33+'4E Könyvtár'!C33+'4F Segítő Kéz'!C33</f>
        <v>0</v>
      </c>
      <c r="D54" s="546">
        <f>'2A Önk bev'!D100+'3A PH'!D36+'4H VG bev kiad'!D33+'4A Walla'!D33+'4B Nyitnikék'!D33+'4C Bóbita'!D33+'4D MMMH'!D33+'4E Könyvtár'!D33+'4F Segítő Kéz'!D33</f>
        <v>800000</v>
      </c>
      <c r="E54" s="546">
        <f>'2A Önk bev'!E100+'3A PH'!E36</f>
        <v>0</v>
      </c>
      <c r="F54" s="546">
        <f t="shared" si="1"/>
        <v>800000</v>
      </c>
      <c r="G54" s="546">
        <f>'2A Önk bev'!G101+'3A PH'!G36+'4H VG bev kiad'!F33+'4A Walla'!F33+'4B Nyitnikék'!F33+'4C Bóbita'!F33+'4D MMMH'!F33+'4E Könyvtár'!F33+'4F Segítő Kéz'!F33+'4G Szérüskert'!F33</f>
        <v>33724</v>
      </c>
      <c r="H54" s="512">
        <f>'2A Önk bev'!H100+'3A PH'!H36+'4H VG bev kiad'!G33+'4A Walla'!G33+'4B Nyitnikék'!G33+'4C Bóbita'!G33+'4D MMMH'!G33+'4E Könyvtár'!G33+'4F Segítő Kéz'!G33</f>
        <v>854045</v>
      </c>
      <c r="I54" s="512">
        <f>'2A Önk bev'!I100+'3A PH'!I36</f>
        <v>0</v>
      </c>
      <c r="J54" s="512">
        <f t="shared" si="3"/>
        <v>887769</v>
      </c>
      <c r="K54" s="546">
        <f>'2A Önk bev'!K101+'3A PH'!K36+'4H VG bev kiad'!I33+'4A Walla'!I33+'4B Nyitnikék'!I33+'4C Bóbita'!I33+'4D MMMH'!I33+'4E Könyvtár'!I33+'4F Segítő Kéz'!I33+'4G Szérüskert'!I33</f>
        <v>51899</v>
      </c>
      <c r="L54" s="512">
        <f>'2A Önk bev'!L100+'3A PH'!L36+'4H VG bev kiad'!J33+'4A Walla'!J33+'4B Nyitnikék'!J33+'4C Bóbita'!J33+'4D MMMH'!J33+'4E Könyvtár'!J33+'4F Segítő Kéz'!J33</f>
        <v>1337194</v>
      </c>
      <c r="M54" s="512" t="e">
        <f>'2A Önk bev'!M100+'3A PH'!M36+'4H VG bev kiad'!#REF!+'4A Walla'!#REF!+'4B Nyitnikék'!#REF!+'4C Bóbita'!#REF!+'4D MMMH'!#REF!+'4E Könyvtár'!#REF!+'4F Segítő Kéz'!#REF!</f>
        <v>#REF!</v>
      </c>
      <c r="N54" s="512" t="e">
        <f t="shared" si="5"/>
        <v>#REF!</v>
      </c>
      <c r="O54" s="546">
        <f>'2A Önk bev'!O102+'3A PH'!O36+'4H VG bev kiad'!L33+'4A Walla'!L33+'4B Nyitnikék'!L33+'4C Bóbita'!L33+'4D MMMH'!L33+'4E Könyvtár'!L33+'4F Segítő Kéz'!L33+'4G Szérüskert'!L33</f>
        <v>887768</v>
      </c>
      <c r="P54" s="512">
        <f>'2A Önk bev'!P100+'3A PH'!P36+'4H VG bev kiad'!M33+'4A Walla'!M33+'4B Nyitnikék'!M33+'4C Bóbita'!M33+'4D MMMH'!M33+'4E Könyvtár'!M33+'4F Segítő Kéz'!M33</f>
        <v>0</v>
      </c>
      <c r="Q54" s="512">
        <f>'2A Önk bev'!Q100+'3A PH'!Q36</f>
        <v>0</v>
      </c>
      <c r="R54" s="512">
        <f t="shared" si="7"/>
        <v>887768</v>
      </c>
      <c r="S54" s="942">
        <f>'2A Önk bev'!S100+'3A PH'!S36+'4H VG bev kiad'!O33+'4A Walla'!O33+'4B Nyitnikék'!O33+'4C Bóbita'!O33+'4D MMMH'!O33+'4E Könyvtár'!O33+'4F Segítő Kéz'!O33+'4G Szérüskert'!O33</f>
        <v>1100000</v>
      </c>
      <c r="T54" s="948">
        <f>'2A Önk bev'!T100+'3A PH'!T36+'4H VG bev kiad'!P33+'4A Walla'!P33+'4B Nyitnikék'!P33+'4C Bóbita'!P33+'4D MMMH'!P33+'4E Könyvtár'!P33+'4F Segítő Kéz'!P33</f>
        <v>0</v>
      </c>
      <c r="U54" s="948">
        <f>'2A Önk bev'!U100+'3A PH'!U36</f>
        <v>0</v>
      </c>
      <c r="V54" s="948">
        <f t="shared" si="9"/>
        <v>1100000</v>
      </c>
      <c r="W54" s="546">
        <f>'2A Önk bev'!W100+'3A PH'!W36+'4H VG bev kiad'!R33+'4A Walla'!R33+'4B Nyitnikék'!R33+'4C Bóbita'!R33+'4D MMMH'!R33+'4E Könyvtár'!R33+'4F Segítő Kéz'!R33+'4G Szérüskert'!R33</f>
        <v>1518671</v>
      </c>
      <c r="X54" s="512">
        <v>0</v>
      </c>
      <c r="Y54" s="512">
        <f>'2A Önk bev'!Y100+'3A PH'!Y36</f>
        <v>0</v>
      </c>
      <c r="Z54" s="512">
        <f t="shared" si="79"/>
        <v>1518671</v>
      </c>
      <c r="AA54" s="546">
        <f>'2A Önk bev'!AA100+'3A PH'!AA36+'4H VG bev kiad'!U33+'4A Walla'!U33+'4B Nyitnikék'!U33+'4C Bóbita'!U33+'4D MMMH'!U33+'4E Könyvtár'!U33+'4F Segítő Kéz'!U33+'4G Szérüskert'!U33</f>
        <v>1518671</v>
      </c>
      <c r="AB54" s="512">
        <v>0</v>
      </c>
      <c r="AC54" s="512">
        <f>'2A Önk bev'!AC100+'3A PH'!AC36</f>
        <v>0</v>
      </c>
      <c r="AD54" s="512">
        <f t="shared" si="80"/>
        <v>1518671</v>
      </c>
      <c r="AE54" s="942">
        <f>'2A Önk bev'!AE100+'3A PH'!AE36+'4H VG bev kiad'!X33+'4A Walla'!X33+'4B Nyitnikék'!X33+'4C Bóbita'!X33+'4D MMMH'!X33+'4E Könyvtár'!X33+'4F Segítő Kéz'!X33+'4G Szérüskert'!X33</f>
        <v>1518671</v>
      </c>
      <c r="AF54" s="948">
        <v>0</v>
      </c>
      <c r="AG54" s="948">
        <f>'2A Önk bev'!AG100+'3A PH'!AG36</f>
        <v>0</v>
      </c>
      <c r="AH54" s="948">
        <f t="shared" si="81"/>
        <v>1518671</v>
      </c>
      <c r="AI54" s="530"/>
    </row>
    <row r="55" spans="1:35" x14ac:dyDescent="0.25">
      <c r="A55" s="522"/>
      <c r="B55" s="272" t="s">
        <v>546</v>
      </c>
      <c r="C55" s="546">
        <v>0</v>
      </c>
      <c r="D55" s="546">
        <v>0</v>
      </c>
      <c r="E55" s="546">
        <v>0</v>
      </c>
      <c r="F55" s="546">
        <f t="shared" si="1"/>
        <v>0</v>
      </c>
      <c r="G55" s="546">
        <v>0</v>
      </c>
      <c r="H55" s="512">
        <v>0</v>
      </c>
      <c r="I55" s="512">
        <v>0</v>
      </c>
      <c r="J55" s="512">
        <f t="shared" si="3"/>
        <v>0</v>
      </c>
      <c r="K55" s="546">
        <v>0</v>
      </c>
      <c r="L55" s="512">
        <v>0</v>
      </c>
      <c r="M55" s="512">
        <v>0</v>
      </c>
      <c r="N55" s="512">
        <f t="shared" si="5"/>
        <v>0</v>
      </c>
      <c r="O55" s="546">
        <v>0</v>
      </c>
      <c r="P55" s="512">
        <v>0</v>
      </c>
      <c r="Q55" s="512">
        <v>0</v>
      </c>
      <c r="R55" s="512">
        <f t="shared" si="7"/>
        <v>0</v>
      </c>
      <c r="S55" s="942">
        <v>0</v>
      </c>
      <c r="T55" s="948">
        <v>0</v>
      </c>
      <c r="U55" s="948">
        <v>0</v>
      </c>
      <c r="V55" s="948">
        <f t="shared" si="9"/>
        <v>0</v>
      </c>
      <c r="W55" s="546">
        <v>0</v>
      </c>
      <c r="X55" s="512">
        <v>0</v>
      </c>
      <c r="Y55" s="512">
        <v>0</v>
      </c>
      <c r="Z55" s="512">
        <f t="shared" si="79"/>
        <v>0</v>
      </c>
      <c r="AA55" s="546">
        <v>0</v>
      </c>
      <c r="AB55" s="512">
        <v>0</v>
      </c>
      <c r="AC55" s="512">
        <v>0</v>
      </c>
      <c r="AD55" s="512">
        <f t="shared" si="80"/>
        <v>0</v>
      </c>
      <c r="AE55" s="942">
        <v>0</v>
      </c>
      <c r="AF55" s="948">
        <v>0</v>
      </c>
      <c r="AG55" s="948">
        <v>0</v>
      </c>
      <c r="AH55" s="948">
        <f t="shared" si="81"/>
        <v>0</v>
      </c>
    </row>
    <row r="56" spans="1:35" x14ac:dyDescent="0.25">
      <c r="A56" s="522"/>
      <c r="B56" s="272" t="s">
        <v>547</v>
      </c>
      <c r="C56" s="546">
        <f>'2A Önk bev'!C104</f>
        <v>0</v>
      </c>
      <c r="D56" s="546">
        <f>'2A Önk bev'!D104</f>
        <v>500000</v>
      </c>
      <c r="E56" s="546">
        <f>'2A Önk bev'!E104</f>
        <v>0</v>
      </c>
      <c r="F56" s="546">
        <f t="shared" si="1"/>
        <v>500000</v>
      </c>
      <c r="G56" s="546">
        <f>'2A Önk bev'!G104</f>
        <v>0</v>
      </c>
      <c r="H56" s="512">
        <f>'2A Önk bev'!H104</f>
        <v>500000</v>
      </c>
      <c r="I56" s="512">
        <f>'2A Önk bev'!I104</f>
        <v>0</v>
      </c>
      <c r="J56" s="512">
        <f t="shared" si="3"/>
        <v>500000</v>
      </c>
      <c r="K56" s="546">
        <f>'2A Önk bev'!K104</f>
        <v>0</v>
      </c>
      <c r="L56" s="512">
        <f>'2A Önk bev'!L104</f>
        <v>500000</v>
      </c>
      <c r="M56" s="512">
        <f>'2A Önk bev'!M104</f>
        <v>0</v>
      </c>
      <c r="N56" s="512">
        <f t="shared" si="5"/>
        <v>500000</v>
      </c>
      <c r="O56" s="546">
        <f>'2A Önk bev'!O104</f>
        <v>502450</v>
      </c>
      <c r="P56" s="512">
        <f>'2A Önk bev'!P104</f>
        <v>0</v>
      </c>
      <c r="Q56" s="512">
        <f>'2A Önk bev'!Q104</f>
        <v>0</v>
      </c>
      <c r="R56" s="512">
        <f t="shared" si="7"/>
        <v>502450</v>
      </c>
      <c r="S56" s="942">
        <f>'2A Önk bev'!S104</f>
        <v>0</v>
      </c>
      <c r="T56" s="948">
        <f>'2A Önk bev'!T104</f>
        <v>0</v>
      </c>
      <c r="U56" s="948">
        <f>'2A Önk bev'!U104</f>
        <v>0</v>
      </c>
      <c r="V56" s="948">
        <f t="shared" si="9"/>
        <v>0</v>
      </c>
      <c r="W56" s="546">
        <f>'2A Önk bev'!W104</f>
        <v>0</v>
      </c>
      <c r="X56" s="512">
        <f>'2A Önk bev'!X104</f>
        <v>0</v>
      </c>
      <c r="Y56" s="512">
        <f>'2A Önk bev'!Y104</f>
        <v>0</v>
      </c>
      <c r="Z56" s="512">
        <f t="shared" si="79"/>
        <v>0</v>
      </c>
      <c r="AA56" s="546">
        <f>'2A Önk bev'!AA104</f>
        <v>0</v>
      </c>
      <c r="AB56" s="512">
        <f>'2A Önk bev'!AB104</f>
        <v>0</v>
      </c>
      <c r="AC56" s="512">
        <f>'2A Önk bev'!AC104</f>
        <v>0</v>
      </c>
      <c r="AD56" s="512">
        <f t="shared" si="80"/>
        <v>0</v>
      </c>
      <c r="AE56" s="942">
        <f>'2A Önk bev'!AE104</f>
        <v>0</v>
      </c>
      <c r="AF56" s="948">
        <f>'2A Önk bev'!AF104</f>
        <v>0</v>
      </c>
      <c r="AG56" s="948">
        <f>'2A Önk bev'!AG104</f>
        <v>0</v>
      </c>
      <c r="AH56" s="948">
        <f t="shared" si="81"/>
        <v>0</v>
      </c>
    </row>
    <row r="57" spans="1:35" x14ac:dyDescent="0.25">
      <c r="A57" s="560" t="s">
        <v>322</v>
      </c>
      <c r="B57" s="561" t="s">
        <v>548</v>
      </c>
      <c r="C57" s="562">
        <f>SUM(C58:C59)</f>
        <v>0</v>
      </c>
      <c r="D57" s="562">
        <f t="shared" ref="D57:E57" si="106">SUM(D58:D59)</f>
        <v>0</v>
      </c>
      <c r="E57" s="562">
        <f t="shared" si="106"/>
        <v>0</v>
      </c>
      <c r="F57" s="562">
        <f t="shared" si="1"/>
        <v>0</v>
      </c>
      <c r="G57" s="562">
        <f>SUM(G58:G59)</f>
        <v>0</v>
      </c>
      <c r="H57" s="573">
        <f t="shared" ref="H57:I57" si="107">SUM(H58:H59)</f>
        <v>0</v>
      </c>
      <c r="I57" s="573">
        <f t="shared" si="107"/>
        <v>0</v>
      </c>
      <c r="J57" s="573">
        <f t="shared" si="3"/>
        <v>0</v>
      </c>
      <c r="K57" s="562">
        <f>SUM(K58:K59)</f>
        <v>0</v>
      </c>
      <c r="L57" s="573">
        <f t="shared" ref="L57:M57" si="108">SUM(L58:L59)</f>
        <v>0</v>
      </c>
      <c r="M57" s="573">
        <f t="shared" si="108"/>
        <v>0</v>
      </c>
      <c r="N57" s="573">
        <f t="shared" si="5"/>
        <v>0</v>
      </c>
      <c r="O57" s="562">
        <f>SUM(O58:O59)</f>
        <v>0</v>
      </c>
      <c r="P57" s="573">
        <f t="shared" ref="P57:Q57" si="109">SUM(P58:P59)</f>
        <v>0</v>
      </c>
      <c r="Q57" s="573">
        <f t="shared" si="109"/>
        <v>0</v>
      </c>
      <c r="R57" s="573">
        <f t="shared" si="7"/>
        <v>0</v>
      </c>
      <c r="S57" s="562">
        <f>SUM(S58:S59)</f>
        <v>0</v>
      </c>
      <c r="T57" s="573">
        <f t="shared" ref="T57:U57" si="110">SUM(T58:T59)</f>
        <v>0</v>
      </c>
      <c r="U57" s="573">
        <f t="shared" si="110"/>
        <v>0</v>
      </c>
      <c r="V57" s="573">
        <f t="shared" si="9"/>
        <v>0</v>
      </c>
      <c r="W57" s="562">
        <f>SUM(W58:W59)</f>
        <v>0</v>
      </c>
      <c r="X57" s="573">
        <f t="shared" ref="X57:Y57" si="111">SUM(X58:X59)</f>
        <v>0</v>
      </c>
      <c r="Y57" s="573">
        <f t="shared" si="111"/>
        <v>0</v>
      </c>
      <c r="Z57" s="573">
        <f t="shared" si="79"/>
        <v>0</v>
      </c>
      <c r="AA57" s="562">
        <f>SUM(AA58:AA59)</f>
        <v>0</v>
      </c>
      <c r="AB57" s="573">
        <f t="shared" ref="AB57:AC57" si="112">SUM(AB58:AB59)</f>
        <v>0</v>
      </c>
      <c r="AC57" s="573">
        <f t="shared" si="112"/>
        <v>0</v>
      </c>
      <c r="AD57" s="573">
        <f t="shared" si="80"/>
        <v>0</v>
      </c>
      <c r="AE57" s="562">
        <f>SUM(AE58:AE59)</f>
        <v>0</v>
      </c>
      <c r="AF57" s="573">
        <f t="shared" ref="AF57:AG57" si="113">SUM(AF58:AF59)</f>
        <v>0</v>
      </c>
      <c r="AG57" s="573">
        <f t="shared" si="113"/>
        <v>0</v>
      </c>
      <c r="AH57" s="573">
        <f t="shared" si="81"/>
        <v>0</v>
      </c>
    </row>
    <row r="58" spans="1:35" x14ac:dyDescent="0.25">
      <c r="A58" s="522"/>
      <c r="B58" s="272" t="s">
        <v>549</v>
      </c>
      <c r="C58" s="546">
        <v>0</v>
      </c>
      <c r="D58" s="546">
        <v>0</v>
      </c>
      <c r="E58" s="546">
        <v>0</v>
      </c>
      <c r="F58" s="546">
        <f t="shared" si="1"/>
        <v>0</v>
      </c>
      <c r="G58" s="546">
        <v>0</v>
      </c>
      <c r="H58" s="512">
        <v>0</v>
      </c>
      <c r="I58" s="512">
        <v>0</v>
      </c>
      <c r="J58" s="512">
        <f t="shared" si="3"/>
        <v>0</v>
      </c>
      <c r="K58" s="546">
        <v>0</v>
      </c>
      <c r="L58" s="512">
        <v>0</v>
      </c>
      <c r="M58" s="512">
        <v>0</v>
      </c>
      <c r="N58" s="512">
        <f t="shared" si="5"/>
        <v>0</v>
      </c>
      <c r="O58" s="546">
        <v>0</v>
      </c>
      <c r="P58" s="512">
        <v>0</v>
      </c>
      <c r="Q58" s="512">
        <v>0</v>
      </c>
      <c r="R58" s="512">
        <f t="shared" si="7"/>
        <v>0</v>
      </c>
      <c r="S58" s="942">
        <v>0</v>
      </c>
      <c r="T58" s="948">
        <v>0</v>
      </c>
      <c r="U58" s="948">
        <v>0</v>
      </c>
      <c r="V58" s="948">
        <f t="shared" si="9"/>
        <v>0</v>
      </c>
      <c r="W58" s="546">
        <v>0</v>
      </c>
      <c r="X58" s="512">
        <v>0</v>
      </c>
      <c r="Y58" s="512">
        <v>0</v>
      </c>
      <c r="Z58" s="512">
        <f t="shared" si="79"/>
        <v>0</v>
      </c>
      <c r="AA58" s="546">
        <v>0</v>
      </c>
      <c r="AB58" s="512">
        <v>0</v>
      </c>
      <c r="AC58" s="512">
        <v>0</v>
      </c>
      <c r="AD58" s="512">
        <f t="shared" si="80"/>
        <v>0</v>
      </c>
      <c r="AE58" s="942">
        <v>0</v>
      </c>
      <c r="AF58" s="948">
        <v>0</v>
      </c>
      <c r="AG58" s="948">
        <v>0</v>
      </c>
      <c r="AH58" s="948">
        <f t="shared" si="81"/>
        <v>0</v>
      </c>
    </row>
    <row r="59" spans="1:35" x14ac:dyDescent="0.25">
      <c r="A59" s="522"/>
      <c r="B59" s="272" t="s">
        <v>550</v>
      </c>
      <c r="C59" s="546">
        <v>0</v>
      </c>
      <c r="D59" s="546">
        <v>0</v>
      </c>
      <c r="E59" s="546">
        <v>0</v>
      </c>
      <c r="F59" s="546">
        <f t="shared" si="1"/>
        <v>0</v>
      </c>
      <c r="G59" s="546">
        <v>0</v>
      </c>
      <c r="H59" s="512">
        <v>0</v>
      </c>
      <c r="I59" s="512">
        <v>0</v>
      </c>
      <c r="J59" s="512">
        <f t="shared" si="3"/>
        <v>0</v>
      </c>
      <c r="K59" s="546">
        <v>0</v>
      </c>
      <c r="L59" s="512">
        <v>0</v>
      </c>
      <c r="M59" s="512">
        <v>0</v>
      </c>
      <c r="N59" s="512">
        <f t="shared" si="5"/>
        <v>0</v>
      </c>
      <c r="O59" s="546">
        <v>0</v>
      </c>
      <c r="P59" s="512">
        <v>0</v>
      </c>
      <c r="Q59" s="512">
        <v>0</v>
      </c>
      <c r="R59" s="512">
        <f t="shared" si="7"/>
        <v>0</v>
      </c>
      <c r="S59" s="942">
        <v>0</v>
      </c>
      <c r="T59" s="948">
        <v>0</v>
      </c>
      <c r="U59" s="948">
        <v>0</v>
      </c>
      <c r="V59" s="948">
        <f t="shared" si="9"/>
        <v>0</v>
      </c>
      <c r="W59" s="546">
        <v>0</v>
      </c>
      <c r="X59" s="512">
        <v>0</v>
      </c>
      <c r="Y59" s="512">
        <v>0</v>
      </c>
      <c r="Z59" s="512">
        <f t="shared" si="79"/>
        <v>0</v>
      </c>
      <c r="AA59" s="546">
        <v>0</v>
      </c>
      <c r="AB59" s="512">
        <v>0</v>
      </c>
      <c r="AC59" s="512">
        <v>0</v>
      </c>
      <c r="AD59" s="512">
        <f t="shared" si="80"/>
        <v>0</v>
      </c>
      <c r="AE59" s="942">
        <v>0</v>
      </c>
      <c r="AF59" s="948">
        <v>0</v>
      </c>
      <c r="AG59" s="948">
        <v>0</v>
      </c>
      <c r="AH59" s="948">
        <f t="shared" si="81"/>
        <v>0</v>
      </c>
    </row>
    <row r="60" spans="1:35" x14ac:dyDescent="0.25">
      <c r="A60" s="564"/>
      <c r="B60" s="565" t="s">
        <v>333</v>
      </c>
      <c r="C60" s="373">
        <f>C46+C29+C4</f>
        <v>3845101</v>
      </c>
      <c r="D60" s="373">
        <f>D46+D29+D4</f>
        <v>2530133</v>
      </c>
      <c r="E60" s="373">
        <f>E46+E29+E4</f>
        <v>0</v>
      </c>
      <c r="F60" s="373">
        <f t="shared" si="1"/>
        <v>6375234</v>
      </c>
      <c r="G60" s="373">
        <f>G46+G29+G4</f>
        <v>4418740</v>
      </c>
      <c r="H60" s="373">
        <f>H46+H29+H4</f>
        <v>3086172</v>
      </c>
      <c r="I60" s="373">
        <f>I46+I29+I4</f>
        <v>0</v>
      </c>
      <c r="J60" s="373">
        <f t="shared" si="3"/>
        <v>7504912</v>
      </c>
      <c r="K60" s="373">
        <f>K46+K29+K4</f>
        <v>3940046</v>
      </c>
      <c r="L60" s="373">
        <f>L46+L29+L4</f>
        <v>2909127</v>
      </c>
      <c r="M60" s="373" t="e">
        <f>M46+M29+M4</f>
        <v>#REF!</v>
      </c>
      <c r="N60" s="373" t="e">
        <f t="shared" si="5"/>
        <v>#REF!</v>
      </c>
      <c r="O60" s="373">
        <f>O46+O29+O4</f>
        <v>7586848</v>
      </c>
      <c r="P60" s="373">
        <f>P46+P29+P4</f>
        <v>12200</v>
      </c>
      <c r="Q60" s="373">
        <f>Q46+Q29+Q4</f>
        <v>0</v>
      </c>
      <c r="R60" s="373">
        <f t="shared" si="7"/>
        <v>7599048</v>
      </c>
      <c r="S60" s="373">
        <f>S46+S29+S4</f>
        <v>5721084.0810000002</v>
      </c>
      <c r="T60" s="373">
        <f>T46+T29+T4</f>
        <v>50887</v>
      </c>
      <c r="U60" s="373">
        <f>U46+U29+U4</f>
        <v>0</v>
      </c>
      <c r="V60" s="373">
        <f t="shared" si="9"/>
        <v>5771971.0810000002</v>
      </c>
      <c r="W60" s="373">
        <f>W46+W29+W4</f>
        <v>6118065.8339999998</v>
      </c>
      <c r="X60" s="373">
        <f>X46+X29+X4</f>
        <v>215102</v>
      </c>
      <c r="Y60" s="373">
        <f>Y46+Y29+Y4</f>
        <v>0</v>
      </c>
      <c r="Z60" s="373">
        <f t="shared" si="79"/>
        <v>6333167.8339999998</v>
      </c>
      <c r="AA60" s="373">
        <f>AA46+AA29+AA4</f>
        <v>6427120</v>
      </c>
      <c r="AB60" s="373">
        <f>AB46+AB29+AB4</f>
        <v>50887</v>
      </c>
      <c r="AC60" s="373">
        <f>AC46+AC29+AC4</f>
        <v>0</v>
      </c>
      <c r="AD60" s="373">
        <f t="shared" si="80"/>
        <v>6478007</v>
      </c>
      <c r="AE60" s="373">
        <f>AE46+AE29+AE4</f>
        <v>6995854</v>
      </c>
      <c r="AF60" s="373">
        <f>AF46+AF29+AF4</f>
        <v>54125</v>
      </c>
      <c r="AG60" s="373">
        <f>AG46+AG29+AG4</f>
        <v>0</v>
      </c>
      <c r="AH60" s="373">
        <f t="shared" si="81"/>
        <v>7049979</v>
      </c>
    </row>
    <row r="61" spans="1:35" x14ac:dyDescent="0.25">
      <c r="AH61" s="530">
        <f>+AH60-AD60</f>
        <v>571972</v>
      </c>
    </row>
  </sheetData>
  <mergeCells count="10">
    <mergeCell ref="AE2:AH2"/>
    <mergeCell ref="AA2:AD2"/>
    <mergeCell ref="A2:A3"/>
    <mergeCell ref="C2:F2"/>
    <mergeCell ref="G2:J2"/>
    <mergeCell ref="W2:Z2"/>
    <mergeCell ref="O2:R2"/>
    <mergeCell ref="S2:V2"/>
    <mergeCell ref="K2:N2"/>
    <mergeCell ref="B2:B3"/>
  </mergeCells>
  <printOptions horizontalCentered="1"/>
  <pageMargins left="0.19685039370078741" right="0.19685039370078741" top="0.82677165354330717" bottom="0.59055118110236227" header="0.23622047244094491" footer="0.31496062992125984"/>
  <pageSetup paperSize="9" scale="46" fitToHeight="0" orientation="portrait" r:id="rId1"/>
  <headerFooter>
    <oddHeader>&amp;L1/A.  melléklet a ...../2020. (.......) önkormányzati rendelethez&amp;C&amp;"-,Félkövér"&amp;16
Az Önkormányzat 2019. évi összevont bevételei forrásonként és feladatonként</oddHead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2"/>
  <sheetViews>
    <sheetView view="pageBreakPreview" zoomScale="89" zoomScaleNormal="100" zoomScaleSheetLayoutView="89" workbookViewId="0">
      <selection activeCell="AI4" sqref="AI4:AJ27"/>
    </sheetView>
  </sheetViews>
  <sheetFormatPr defaultColWidth="9.140625" defaultRowHeight="15" x14ac:dyDescent="0.25"/>
  <cols>
    <col min="1" max="1" width="5.7109375" style="577" customWidth="1"/>
    <col min="2" max="2" width="35.28515625" style="578" customWidth="1"/>
    <col min="3" max="9" width="9.85546875" style="580" hidden="1" customWidth="1"/>
    <col min="10" max="11" width="11" style="580" hidden="1" customWidth="1"/>
    <col min="12" max="12" width="10.140625" style="580" hidden="1" customWidth="1"/>
    <col min="13" max="13" width="9.7109375" style="580" hidden="1" customWidth="1"/>
    <col min="14" max="14" width="10.28515625" style="580" hidden="1" customWidth="1"/>
    <col min="15" max="15" width="11" style="580" hidden="1" customWidth="1"/>
    <col min="16" max="17" width="9.7109375" style="580" hidden="1" customWidth="1"/>
    <col min="18" max="18" width="11" style="580" hidden="1" customWidth="1"/>
    <col min="19" max="19" width="11" style="580" customWidth="1"/>
    <col min="20" max="20" width="11.28515625" style="580" customWidth="1"/>
    <col min="21" max="21" width="9.7109375" style="580" customWidth="1"/>
    <col min="22" max="22" width="10.7109375" style="580" customWidth="1"/>
    <col min="23" max="23" width="11" style="580" hidden="1" customWidth="1"/>
    <col min="24" max="24" width="11.28515625" style="580" hidden="1" customWidth="1"/>
    <col min="25" max="25" width="9.7109375" style="580" hidden="1" customWidth="1"/>
    <col min="26" max="26" width="10.7109375" style="580" hidden="1" customWidth="1"/>
    <col min="27" max="27" width="11" style="580" customWidth="1"/>
    <col min="28" max="28" width="11.28515625" style="580" customWidth="1"/>
    <col min="29" max="29" width="9.7109375" style="580" customWidth="1"/>
    <col min="30" max="30" width="14.28515625" style="580" customWidth="1"/>
    <col min="31" max="31" width="11" style="580" customWidth="1"/>
    <col min="32" max="32" width="11.28515625" style="580" customWidth="1"/>
    <col min="33" max="33" width="9.7109375" style="580" customWidth="1"/>
    <col min="34" max="34" width="14.28515625" style="580" customWidth="1"/>
    <col min="35" max="16384" width="9.140625" style="580"/>
  </cols>
  <sheetData>
    <row r="1" spans="1:35" x14ac:dyDescent="0.25">
      <c r="F1" s="579"/>
      <c r="J1" s="581"/>
      <c r="N1" s="581"/>
      <c r="R1" s="581"/>
      <c r="V1" s="581"/>
      <c r="Z1" s="423"/>
      <c r="AD1" s="423"/>
      <c r="AH1" s="423" t="s">
        <v>302</v>
      </c>
    </row>
    <row r="2" spans="1:35" ht="30.4" customHeight="1" x14ac:dyDescent="0.25">
      <c r="A2" s="992" t="s">
        <v>305</v>
      </c>
      <c r="B2" s="992" t="s">
        <v>586</v>
      </c>
      <c r="C2" s="988" t="s">
        <v>1503</v>
      </c>
      <c r="D2" s="989"/>
      <c r="E2" s="989"/>
      <c r="F2" s="990"/>
      <c r="G2" s="988" t="s">
        <v>1504</v>
      </c>
      <c r="H2" s="989"/>
      <c r="I2" s="989"/>
      <c r="J2" s="990"/>
      <c r="K2" s="988" t="s">
        <v>1505</v>
      </c>
      <c r="L2" s="989"/>
      <c r="M2" s="989"/>
      <c r="N2" s="990"/>
      <c r="O2" s="988" t="s">
        <v>1496</v>
      </c>
      <c r="P2" s="989"/>
      <c r="Q2" s="989"/>
      <c r="R2" s="990"/>
      <c r="S2" s="988" t="s">
        <v>1499</v>
      </c>
      <c r="T2" s="989"/>
      <c r="U2" s="989"/>
      <c r="V2" s="990"/>
      <c r="W2" s="988" t="s">
        <v>1714</v>
      </c>
      <c r="X2" s="989"/>
      <c r="Y2" s="989"/>
      <c r="Z2" s="990"/>
      <c r="AA2" s="988" t="s">
        <v>1727</v>
      </c>
      <c r="AB2" s="989"/>
      <c r="AC2" s="989"/>
      <c r="AD2" s="990"/>
      <c r="AE2" s="988" t="s">
        <v>1741</v>
      </c>
      <c r="AF2" s="989"/>
      <c r="AG2" s="989"/>
      <c r="AH2" s="990"/>
    </row>
    <row r="3" spans="1:35" ht="45" x14ac:dyDescent="0.25">
      <c r="A3" s="992"/>
      <c r="B3" s="992"/>
      <c r="C3" s="582" t="s">
        <v>1313</v>
      </c>
      <c r="D3" s="582" t="s">
        <v>1314</v>
      </c>
      <c r="E3" s="582" t="s">
        <v>1315</v>
      </c>
      <c r="F3" s="582" t="s">
        <v>553</v>
      </c>
      <c r="G3" s="582" t="s">
        <v>1313</v>
      </c>
      <c r="H3" s="582" t="s">
        <v>1314</v>
      </c>
      <c r="I3" s="582" t="s">
        <v>1315</v>
      </c>
      <c r="J3" s="582" t="s">
        <v>553</v>
      </c>
      <c r="K3" s="582" t="s">
        <v>1313</v>
      </c>
      <c r="L3" s="582" t="s">
        <v>1314</v>
      </c>
      <c r="M3" s="582" t="s">
        <v>1315</v>
      </c>
      <c r="N3" s="582" t="s">
        <v>553</v>
      </c>
      <c r="O3" s="582" t="s">
        <v>1313</v>
      </c>
      <c r="P3" s="582" t="s">
        <v>1314</v>
      </c>
      <c r="Q3" s="582" t="s">
        <v>1315</v>
      </c>
      <c r="R3" s="582" t="s">
        <v>553</v>
      </c>
      <c r="S3" s="582" t="s">
        <v>1313</v>
      </c>
      <c r="T3" s="582" t="s">
        <v>1314</v>
      </c>
      <c r="U3" s="582" t="s">
        <v>1315</v>
      </c>
      <c r="V3" s="582" t="s">
        <v>553</v>
      </c>
      <c r="W3" s="582" t="s">
        <v>1313</v>
      </c>
      <c r="X3" s="582" t="s">
        <v>1314</v>
      </c>
      <c r="Y3" s="582" t="s">
        <v>1315</v>
      </c>
      <c r="Z3" s="582" t="s">
        <v>553</v>
      </c>
      <c r="AA3" s="582" t="s">
        <v>1313</v>
      </c>
      <c r="AB3" s="582" t="s">
        <v>1314</v>
      </c>
      <c r="AC3" s="582" t="s">
        <v>1315</v>
      </c>
      <c r="AD3" s="582" t="s">
        <v>553</v>
      </c>
      <c r="AE3" s="582" t="s">
        <v>1313</v>
      </c>
      <c r="AF3" s="582" t="s">
        <v>1314</v>
      </c>
      <c r="AG3" s="582" t="s">
        <v>1315</v>
      </c>
      <c r="AH3" s="582" t="s">
        <v>553</v>
      </c>
    </row>
    <row r="4" spans="1:35" x14ac:dyDescent="0.25">
      <c r="A4" s="583" t="s">
        <v>309</v>
      </c>
      <c r="B4" s="584" t="s">
        <v>334</v>
      </c>
      <c r="C4" s="585">
        <f t="shared" ref="C4:E4" si="0">SUM(C5:C9)</f>
        <v>3527734.2</v>
      </c>
      <c r="D4" s="585">
        <f t="shared" si="0"/>
        <v>590021</v>
      </c>
      <c r="E4" s="585">
        <f t="shared" si="0"/>
        <v>4290</v>
      </c>
      <c r="F4" s="585">
        <f>SUM(C4:E4)</f>
        <v>4122045.2</v>
      </c>
      <c r="G4" s="585">
        <f t="shared" ref="G4:I4" si="1">SUM(G5:G9)</f>
        <v>3997044</v>
      </c>
      <c r="H4" s="585" t="e">
        <f t="shared" si="1"/>
        <v>#REF!</v>
      </c>
      <c r="I4" s="585" t="e">
        <f t="shared" si="1"/>
        <v>#REF!</v>
      </c>
      <c r="J4" s="585" t="e">
        <f>SUM(G4:I4)+1</f>
        <v>#REF!</v>
      </c>
      <c r="K4" s="585">
        <f t="shared" ref="K4:M4" si="2">SUM(K5:K9)</f>
        <v>3985853</v>
      </c>
      <c r="L4" s="585">
        <f t="shared" si="2"/>
        <v>1525229</v>
      </c>
      <c r="M4" s="585" t="e">
        <f t="shared" si="2"/>
        <v>#REF!</v>
      </c>
      <c r="N4" s="585" t="e">
        <f>SUM(K4:M4)</f>
        <v>#REF!</v>
      </c>
      <c r="O4" s="585">
        <f t="shared" ref="O4:Q4" si="3">SUM(O5:O9)</f>
        <v>3014237</v>
      </c>
      <c r="P4" s="585">
        <f t="shared" si="3"/>
        <v>1360034</v>
      </c>
      <c r="Q4" s="585">
        <f t="shared" si="3"/>
        <v>4037</v>
      </c>
      <c r="R4" s="585">
        <f>SUM(O4:Q4)</f>
        <v>4378308</v>
      </c>
      <c r="S4" s="585">
        <f t="shared" ref="S4:U4" si="4">SUM(S5:S9)</f>
        <v>3536737.7743149605</v>
      </c>
      <c r="T4" s="585">
        <f t="shared" si="4"/>
        <v>637929.41999999993</v>
      </c>
      <c r="U4" s="585">
        <f t="shared" si="4"/>
        <v>3277</v>
      </c>
      <c r="V4" s="585">
        <f>SUM(S4:U4)</f>
        <v>4177944.1943149604</v>
      </c>
      <c r="W4" s="585">
        <f t="shared" ref="W4:Y4" si="5">SUM(W5:W9)</f>
        <v>3701031.6799999997</v>
      </c>
      <c r="X4" s="585">
        <f t="shared" si="5"/>
        <v>680068</v>
      </c>
      <c r="Y4" s="585">
        <f t="shared" si="5"/>
        <v>3277</v>
      </c>
      <c r="Z4" s="585">
        <f>SUM(W4:Y4)</f>
        <v>4384376.68</v>
      </c>
      <c r="AA4" s="585">
        <f t="shared" ref="AA4:AC4" si="6">SUM(AA5:AA9)</f>
        <v>3662079.6799999997</v>
      </c>
      <c r="AB4" s="585">
        <f t="shared" si="6"/>
        <v>760151</v>
      </c>
      <c r="AC4" s="585">
        <f t="shared" si="6"/>
        <v>3277</v>
      </c>
      <c r="AD4" s="585">
        <f>SUM(AA4:AC4)</f>
        <v>4425507.68</v>
      </c>
      <c r="AE4" s="585">
        <f t="shared" ref="AE4:AG4" si="7">SUM(AE5:AE9)</f>
        <v>3881250.6799999997</v>
      </c>
      <c r="AF4" s="585">
        <f t="shared" si="7"/>
        <v>770937</v>
      </c>
      <c r="AG4" s="585">
        <f t="shared" si="7"/>
        <v>3277</v>
      </c>
      <c r="AH4" s="585">
        <f>SUM(AE4:AG4)</f>
        <v>4655464.68</v>
      </c>
      <c r="AI4" s="605"/>
    </row>
    <row r="5" spans="1:35" x14ac:dyDescent="0.25">
      <c r="A5" s="586" t="s">
        <v>311</v>
      </c>
      <c r="B5" s="587" t="s">
        <v>286</v>
      </c>
      <c r="C5" s="588">
        <f>'2B Önk kiad'!C8+'3A PH'!C40+'4H VG bev kiad'!C37+'4A Walla'!C37+'4B Nyitnikék'!C37+'4C Bóbita'!C37+'4D MMMH'!C37+'4E Könyvtár'!C37+'4F Segítő Kéz'!C37+'4G Szérüskert'!C37</f>
        <v>1428644</v>
      </c>
      <c r="D5" s="588">
        <f>'2B Önk kiad'!D8+'3A PH'!D40+'4H VG bev kiad'!D37+'4A Walla'!D37+'4B Nyitnikék'!D37+'4C Bóbita'!D37+'4D MMMH'!D37+'4E Könyvtár'!D37+'4F Segítő Kéz'!D37+'4G Szérüskert'!D37</f>
        <v>87322</v>
      </c>
      <c r="E5" s="588">
        <f>'2B Önk kiad'!E8+'3A PH'!E40</f>
        <v>40</v>
      </c>
      <c r="F5" s="588">
        <f t="shared" ref="F5:F34" si="8">SUM(C5:E5)</f>
        <v>1516006</v>
      </c>
      <c r="G5" s="588">
        <f>'2B Önk kiad'!G8+'3A PH'!G40+'4H VG bev kiad'!F37+'4A Walla'!F37+'4B Nyitnikék'!F37+'4C Bóbita'!F37+'4D MMMH'!F37+'4E Könyvtár'!F37+'4F Segítő Kéz'!F37+'4G Szérüskert'!F37</f>
        <v>1461521</v>
      </c>
      <c r="H5" s="588">
        <f>'2B Önk kiad'!H8+'3A PH'!H40+'4H VG bev kiad'!G37+'4A Walla'!G37+'4B Nyitnikék'!G37+'4C Bóbita'!G37+'4D MMMH'!G37+'4E Könyvtár'!G37+'4F Segítő Kéz'!G37+'4G Szérüskert'!G37</f>
        <v>95468</v>
      </c>
      <c r="I5" s="588">
        <f>'2B Önk kiad'!I8+'3A PH'!I40</f>
        <v>40</v>
      </c>
      <c r="J5" s="588">
        <f t="shared" ref="J5:J35" si="9">SUM(G5:I5)</f>
        <v>1557029</v>
      </c>
      <c r="K5" s="588">
        <f>'2B Önk kiad'!K8+'3A PH'!K40+'4H VG bev kiad'!I37+'4A Walla'!I37+'4B Nyitnikék'!I37+'4C Bóbita'!I37+'4D MMMH'!I37+'4E Könyvtár'!I37+'4F Segítő Kéz'!I37+'4G Szérüskert'!I37</f>
        <v>1461521</v>
      </c>
      <c r="L5" s="588">
        <f>'2B Önk kiad'!L8+'3A PH'!L40+'4H VG bev kiad'!J37+'4A Walla'!J37+'4B Nyitnikék'!J37+'4C Bóbita'!J37+'4D MMMH'!J37+'4E Könyvtár'!J37+'4F Segítő Kéz'!J37+'4G Szérüskert'!J37</f>
        <v>93252</v>
      </c>
      <c r="M5" s="588" t="e">
        <f>'2B Önk kiad'!M8+'3A PH'!M40+'4H VG bev kiad'!#REF!+'4A Walla'!#REF!+'4B Nyitnikék'!#REF!+'4C Bóbita'!#REF!+'4D MMMH'!#REF!+'4E Könyvtár'!#REF!+'4F Segítő Kéz'!#REF!+'4G Szérüskert'!#REF!</f>
        <v>#REF!</v>
      </c>
      <c r="N5" s="588" t="e">
        <f t="shared" ref="N5:N6" si="10">SUM(K5:M5)</f>
        <v>#REF!</v>
      </c>
      <c r="O5" s="588">
        <f>'2B Önk kiad'!O8+'3A PH'!O40+'4H VG bev kiad'!L37+'4A Walla'!L37+'4B Nyitnikék'!L37+'4C Bóbita'!L37+'4D MMMH'!L37+'4E Könyvtár'!L37+'4F Segítő Kéz'!L37+'4G Szérüskert'!L37</f>
        <v>1190010</v>
      </c>
      <c r="P5" s="588">
        <f>'2B Önk kiad'!P8+'3A PH'!P40+'4H VG bev kiad'!M37+'4A Walla'!M37+'4B Nyitnikék'!M37+'4C Bóbita'!M37+'4D MMMH'!M37+'4E Könyvtár'!M37+'4F Segítő Kéz'!M37+'4G Szérüskert'!M37</f>
        <v>179040</v>
      </c>
      <c r="Q5" s="588">
        <f>'2B Önk kiad'!Q8+'3A PH'!Q40</f>
        <v>160</v>
      </c>
      <c r="R5" s="588">
        <f t="shared" ref="R5:R6" si="11">SUM(O5:Q5)</f>
        <v>1369210</v>
      </c>
      <c r="S5" s="967">
        <f>'2B Önk kiad'!S8+'3A PH'!S40+'4H VG bev kiad'!O37+'4A Walla'!O37+'4B Nyitnikék'!O37+'4C Bóbita'!O37+'4D MMMH'!O37+'4E Könyvtár'!O37+'4F Segítő Kéz'!O37+'4G Szérüskert'!O37</f>
        <v>1490353.6</v>
      </c>
      <c r="T5" s="967">
        <f>'2B Önk kiad'!T8+'3A PH'!T40+'4H VG bev kiad'!P37+'4A Walla'!P37+'4B Nyitnikék'!P37+'4C Bóbita'!P37+'4D MMMH'!P37+'4E Könyvtár'!P37+'4F Segítő Kéz'!P37+'4G Szérüskert'!P37</f>
        <v>93472</v>
      </c>
      <c r="U5" s="967">
        <f>'2B Önk kiad'!U8+'3A PH'!U40</f>
        <v>40</v>
      </c>
      <c r="V5" s="967">
        <f t="shared" ref="V5:V6" si="12">SUM(S5:U5)</f>
        <v>1583865.6</v>
      </c>
      <c r="W5" s="588">
        <f>'2B Önk kiad'!W8+'3A PH'!W40+'4H VG bev kiad'!R37+'4A Walla'!R37+'4B Nyitnikék'!R37+'4C Bóbita'!R37+'4D MMMH'!R37+'4E Könyvtár'!R37+'4F Segítő Kéz'!R37+'4G Szérüskert'!R37</f>
        <v>1537672</v>
      </c>
      <c r="X5" s="588">
        <f>'2B Önk kiad'!X8+'3A PH'!X40+'4H VG bev kiad'!S37+'4A Walla'!S37+'4B Nyitnikék'!S37+'4C Bóbita'!S37+'4D MMMH'!S37+'4E Könyvtár'!S37+'4F Segítő Kéz'!S37+'4G Szérüskert'!S37-1</f>
        <v>93668</v>
      </c>
      <c r="Y5" s="588">
        <f>'2B Önk kiad'!Y8+'3A PH'!Y40</f>
        <v>40</v>
      </c>
      <c r="Z5" s="588">
        <f t="shared" ref="Z5:Z6" si="13">SUM(W5:Y5)</f>
        <v>1631380</v>
      </c>
      <c r="AA5" s="588">
        <f>'2B Önk kiad'!AA8+'3A PH'!AA40+'4H VG bev kiad'!U37+'4A Walla'!U37+'4B Nyitnikék'!U37+'4C Bóbita'!U37+'4D MMMH'!U37+'4E Könyvtár'!U37+'4F Segítő Kéz'!U37+'4G Szérüskert'!U37</f>
        <v>1537612</v>
      </c>
      <c r="AB5" s="588">
        <f>'2B Önk kiad'!AB8+'3A PH'!AB40+'4H VG bev kiad'!V37+'4A Walla'!V37+'4B Nyitnikék'!V37+'4C Bóbita'!V37+'4D MMMH'!V37+'4E Könyvtár'!V37+'4F Segítő Kéz'!V37+'4G Szérüskert'!V37-1</f>
        <v>93771</v>
      </c>
      <c r="AC5" s="588">
        <f>'2B Önk kiad'!AC8+'3A PH'!AC40</f>
        <v>40</v>
      </c>
      <c r="AD5" s="588">
        <f t="shared" ref="AD5:AD6" si="14">SUM(AA5:AC5)</f>
        <v>1631423</v>
      </c>
      <c r="AE5" s="967">
        <f>'2B Önk kiad'!AE8+'3A PH'!AE40+'4H VG bev kiad'!X37+'4A Walla'!X37+'4B Nyitnikék'!X37+'4C Bóbita'!X37+'4D MMMH'!X37+'4E Könyvtár'!X37+'4F Segítő Kéz'!X37+'4G Szérüskert'!X37</f>
        <v>1531923</v>
      </c>
      <c r="AF5" s="967">
        <f>'2B Önk kiad'!AF8+'3A PH'!AF40+'4H VG bev kiad'!Y37+'4A Walla'!Y37+'4B Nyitnikék'!Y37+'4C Bóbita'!Y37+'4D MMMH'!Y37+'4E Könyvtár'!Y37+'4F Segítő Kéz'!Y37+'4G Szérüskert'!Y37-1</f>
        <v>93913</v>
      </c>
      <c r="AG5" s="967">
        <f>'2B Önk kiad'!AG8+'3A PH'!AG40</f>
        <v>40</v>
      </c>
      <c r="AH5" s="967">
        <f t="shared" ref="AH5:AH6" si="15">SUM(AE5:AG5)</f>
        <v>1625876</v>
      </c>
      <c r="AI5" s="605"/>
    </row>
    <row r="6" spans="1:35" ht="30" x14ac:dyDescent="0.25">
      <c r="A6" s="586" t="s">
        <v>322</v>
      </c>
      <c r="B6" s="587" t="s">
        <v>335</v>
      </c>
      <c r="C6" s="588">
        <f>'2B Önk kiad'!C9+'3A PH'!C41+'4H VG bev kiad'!C38+'4A Walla'!C38+'4B Nyitnikék'!C38+'4C Bóbita'!C38+'4D MMMH'!C38+'4E Könyvtár'!C38+'4F Segítő Kéz'!C38+'4G Szérüskert'!C38</f>
        <v>296310</v>
      </c>
      <c r="D6" s="588">
        <f>'2B Önk kiad'!D9+'3A PH'!D41+'4H VG bev kiad'!D38+'4A Walla'!D38+'4B Nyitnikék'!D38+'4C Bóbita'!D38+'4D MMMH'!D38+'4E Könyvtár'!D38+'4F Segítő Kéz'!D38+'4G Szérüskert'!D38</f>
        <v>17483</v>
      </c>
      <c r="E6" s="588">
        <f>'2B Önk kiad'!E9+'3A PH'!E41</f>
        <v>16</v>
      </c>
      <c r="F6" s="588">
        <f t="shared" si="8"/>
        <v>313809</v>
      </c>
      <c r="G6" s="588">
        <f>'2B Önk kiad'!G9+'3A PH'!G41+'4H VG bev kiad'!F38+'4A Walla'!F38+'4B Nyitnikék'!F38+'4C Bóbita'!F38+'4D MMMH'!F38+'4E Könyvtár'!F38+'4F Segítő Kéz'!F38+'4G Szérüskert'!F38</f>
        <v>301814</v>
      </c>
      <c r="H6" s="588">
        <f>'2B Önk kiad'!H9+'3A PH'!H41+'4H VG bev kiad'!G38+'4A Walla'!G38+'4B Nyitnikék'!G38+'4C Bóbita'!G38+'4D MMMH'!G38+'4E Könyvtár'!G38+'4F Segítő Kéz'!G38+'4G Szérüskert'!G38-1</f>
        <v>17759</v>
      </c>
      <c r="I6" s="588">
        <f>'2B Önk kiad'!I9+'3A PH'!I41</f>
        <v>16</v>
      </c>
      <c r="J6" s="588">
        <f t="shared" si="9"/>
        <v>319589</v>
      </c>
      <c r="K6" s="588">
        <f>'2B Önk kiad'!K9+'3A PH'!K41+'4H VG bev kiad'!I38+'4A Walla'!I38+'4B Nyitnikék'!I38+'4C Bóbita'!I38+'4D MMMH'!I38+'4E Könyvtár'!I38+'4F Segítő Kéz'!I38+'4G Szérüskert'!I38</f>
        <v>301814</v>
      </c>
      <c r="L6" s="588">
        <f>'2B Önk kiad'!L9+'3A PH'!L41+'4H VG bev kiad'!J38+'4A Walla'!J38+'4B Nyitnikék'!J38+'4C Bóbita'!J38+'4D MMMH'!J38+'4E Könyvtár'!J38+'4F Segítő Kéz'!J38+'4G Szérüskert'!J38-1</f>
        <v>18849</v>
      </c>
      <c r="M6" s="588" t="e">
        <f>'2B Önk kiad'!M9+'3A PH'!M41+'4H VG bev kiad'!#REF!+'4A Walla'!#REF!+'4B Nyitnikék'!#REF!+'4C Bóbita'!#REF!+'4D MMMH'!#REF!+'4E Könyvtár'!#REF!+'4F Segítő Kéz'!#REF!+'4G Szérüskert'!#REF!</f>
        <v>#REF!</v>
      </c>
      <c r="N6" s="588" t="e">
        <f t="shared" si="10"/>
        <v>#REF!</v>
      </c>
      <c r="O6" s="588">
        <f>'2B Önk kiad'!O9+'3A PH'!O41+'4H VG bev kiad'!L38+'4A Walla'!L38+'4B Nyitnikék'!L38+'4C Bóbita'!L38+'4D MMMH'!L38+'4E Könyvtár'!L38+'4F Segítő Kéz'!L38+'4G Szérüskert'!L38</f>
        <v>252718</v>
      </c>
      <c r="P6" s="588">
        <f>'2B Önk kiad'!P9+'3A PH'!P41+'4H VG bev kiad'!M38+'4A Walla'!M38+'4B Nyitnikék'!M38+'4C Bóbita'!M38+'4D MMMH'!M38+'4E Könyvtár'!M38+'4F Segítő Kéz'!M38+'4G Szérüskert'!M38</f>
        <v>10248</v>
      </c>
      <c r="Q6" s="588">
        <f>'2B Önk kiad'!Q9+'3A PH'!Q41</f>
        <v>0</v>
      </c>
      <c r="R6" s="588">
        <f t="shared" si="11"/>
        <v>262966</v>
      </c>
      <c r="S6" s="967">
        <f>'2B Önk kiad'!S9+'3A PH'!S41+'4H VG bev kiad'!O38+'4A Walla'!O38+'4B Nyitnikék'!O38+'4C Bóbita'!O38+'4D MMMH'!O38+'4E Könyvtár'!O38+'4F Segítő Kéz'!O38+'4G Szérüskert'!O38</f>
        <v>294264.864</v>
      </c>
      <c r="T6" s="967">
        <f>'2B Önk kiad'!T9+'3A PH'!T41+'4H VG bev kiad'!P38+'4A Walla'!P38+'4B Nyitnikék'!P38+'4C Bóbita'!P38+'4D MMMH'!P38+'4E Könyvtár'!P38+'4F Segítő Kéz'!P38+'4G Szérüskert'!P38</f>
        <v>11400</v>
      </c>
      <c r="U6" s="967">
        <f>'2B Önk kiad'!U9+'3A PH'!U41</f>
        <v>7</v>
      </c>
      <c r="V6" s="967">
        <f t="shared" si="12"/>
        <v>305671.864</v>
      </c>
      <c r="W6" s="588">
        <f>'2B Önk kiad'!W9+'3A PH'!W41+'4H VG bev kiad'!R38+'4A Walla'!R38+'4B Nyitnikék'!R38+'4C Bóbita'!R38+'4D MMMH'!R38+'4E Könyvtár'!R38+'4F Segítő Kéz'!R38+'4G Szérüskert'!R38</f>
        <v>303525</v>
      </c>
      <c r="X6" s="588">
        <f>'2B Önk kiad'!X9+'3A PH'!X41+'4H VG bev kiad'!S38+'4A Walla'!S38+'4B Nyitnikék'!S38+'4C Bóbita'!S38+'4D MMMH'!S38+'4E Könyvtár'!S38+'4F Segítő Kéz'!S38+'4G Szérüskert'!S38</f>
        <v>11523</v>
      </c>
      <c r="Y6" s="588">
        <f>'2B Önk kiad'!Y9+'3A PH'!Y41</f>
        <v>7</v>
      </c>
      <c r="Z6" s="588">
        <f t="shared" si="13"/>
        <v>315055</v>
      </c>
      <c r="AA6" s="588">
        <f>'2B Önk kiad'!AA9+'3A PH'!AA41+'4H VG bev kiad'!U38+'4A Walla'!U38+'4B Nyitnikék'!U38+'4C Bóbita'!U38+'4D MMMH'!U38+'4E Könyvtár'!U38+'4F Segítő Kéz'!U38+'4G Szérüskert'!U38</f>
        <v>303525</v>
      </c>
      <c r="AB6" s="588">
        <f>'2B Önk kiad'!AB9+'3A PH'!AB41+'4H VG bev kiad'!V38+'4A Walla'!V38+'4B Nyitnikék'!V38+'4C Bóbita'!V38+'4D MMMH'!V38+'4E Könyvtár'!V38+'4F Segítő Kéz'!V38+'4G Szérüskert'!V38</f>
        <v>11536</v>
      </c>
      <c r="AC6" s="588">
        <f>'2B Önk kiad'!AC9+'3A PH'!AC41</f>
        <v>7</v>
      </c>
      <c r="AD6" s="588">
        <f t="shared" si="14"/>
        <v>315068</v>
      </c>
      <c r="AE6" s="967">
        <f>'2B Önk kiad'!AE9+'3A PH'!AE41+'4H VG bev kiad'!X38+'4A Walla'!X38+'4B Nyitnikék'!X38+'4C Bóbita'!X38+'4D MMMH'!X38+'4E Könyvtár'!X38+'4F Segítő Kéz'!X38+'4G Szérüskert'!X38</f>
        <v>310367</v>
      </c>
      <c r="AF6" s="967">
        <f>'2B Önk kiad'!AF9+'3A PH'!AF41+'4H VG bev kiad'!Y38+'4A Walla'!Y38+'4B Nyitnikék'!Y38+'4C Bóbita'!Y38+'4D MMMH'!Y38+'4E Könyvtár'!Y38+'4F Segítő Kéz'!Y38+'4G Szérüskert'!Y38</f>
        <v>11536</v>
      </c>
      <c r="AG6" s="967">
        <f>'2B Önk kiad'!AG9+'3A PH'!AG41</f>
        <v>7</v>
      </c>
      <c r="AH6" s="967">
        <f t="shared" si="15"/>
        <v>321910</v>
      </c>
      <c r="AI6" s="605"/>
    </row>
    <row r="7" spans="1:35" x14ac:dyDescent="0.25">
      <c r="A7" s="586" t="s">
        <v>315</v>
      </c>
      <c r="B7" s="587" t="s">
        <v>292</v>
      </c>
      <c r="C7" s="589">
        <f>'2B Önk kiad'!C10+'3A PH'!C42+'4H VG bev kiad'!C39+'4A Walla'!C39+'4B Nyitnikék'!C39+'4C Bóbita'!C39+'4D MMMH'!C39+'4E Könyvtár'!C39+'4F Segítő Kéz'!C39+'4G Szérüskert'!C39</f>
        <v>1286418.2</v>
      </c>
      <c r="D7" s="589">
        <f>'2B Önk kiad'!D10+'3A PH'!D42+'4H VG bev kiad'!D39+'4A Walla'!D39+'4B Nyitnikék'!D39+'4C Bóbita'!D39+'4D MMMH'!D39+'4E Könyvtár'!D39+'4F Segítő Kéz'!D39+'4G Szérüskert'!D39</f>
        <v>163697</v>
      </c>
      <c r="E7" s="589">
        <f>'2B Önk kiad'!E10+'3A PH'!E42</f>
        <v>4234</v>
      </c>
      <c r="F7" s="589">
        <f t="shared" si="8"/>
        <v>1454349.2</v>
      </c>
      <c r="G7" s="589">
        <f>'2B Önk kiad'!G10+'3A PH'!G42+'4H VG bev kiad'!F39+'4A Walla'!F39+'4B Nyitnikék'!F39+'4C Bóbita'!F39+'4D MMMH'!F39+'4E Könyvtár'!F39+'4F Segítő Kéz'!F39+'4G Szérüskert'!F39</f>
        <v>1900489</v>
      </c>
      <c r="H7" s="589">
        <f>'2B Önk kiad'!H10+'3A PH'!H42+'4H VG bev kiad'!G39+'4A Walla'!G39+'4B Nyitnikék'!G39+'4C Bóbita'!G39+'4D MMMH'!G39+'4E Könyvtár'!G39+'4F Segítő Kéz'!G39+'4G Szérüskert'!G39</f>
        <v>242626</v>
      </c>
      <c r="I7" s="589">
        <f>'2B Önk kiad'!I10+'3A PH'!I42</f>
        <v>4234</v>
      </c>
      <c r="J7" s="589">
        <f>SUM(G7:I7)</f>
        <v>2147349</v>
      </c>
      <c r="K7" s="589">
        <f>'2B Önk kiad'!K10+'3A PH'!K42+'4H VG bev kiad'!I39+'4A Walla'!I39+'4B Nyitnikék'!I39+'4C Bóbita'!I39+'4D MMMH'!I39+'4E Könyvtár'!I39+'4F Segítő Kéz'!I39+'4G Szérüskert'!I39</f>
        <v>1807880</v>
      </c>
      <c r="L7" s="589">
        <f>'2B Önk kiad'!L10+'3A PH'!L42+'4H VG bev kiad'!J39+'4A Walla'!J39+'4B Nyitnikék'!J39+'4C Bóbita'!J39+'4D MMMH'!J39+'4E Könyvtár'!J39+'4F Segítő Kéz'!J39+'4G Szérüskert'!J39</f>
        <v>956321</v>
      </c>
      <c r="M7" s="589" t="e">
        <f>'2B Önk kiad'!M10+'3A PH'!M42+'4H VG bev kiad'!#REF!+'4A Walla'!#REF!+'4B Nyitnikék'!#REF!+'4C Bóbita'!#REF!+'4D MMMH'!#REF!+'4E Könyvtár'!#REF!+'4F Segítő Kéz'!#REF!+'4G Szérüskert'!#REF!</f>
        <v>#REF!</v>
      </c>
      <c r="N7" s="589" t="e">
        <f>SUM(K7:M7)</f>
        <v>#REF!</v>
      </c>
      <c r="O7" s="589">
        <f>'2B Önk kiad'!O10+'3A PH'!O42+'4H VG bev kiad'!L39+'4A Walla'!L39+'4B Nyitnikék'!L39+'4C Bóbita'!L39+'4D MMMH'!L39+'4E Könyvtár'!L39+'4F Segítő Kéz'!L39+'4G Szérüskert'!L39</f>
        <v>1560497</v>
      </c>
      <c r="P7" s="589">
        <f>'2B Önk kiad'!P10+'3A PH'!P42+'4H VG bev kiad'!M39+'4A Walla'!M39+'4B Nyitnikék'!M39+'4C Bóbita'!M39+'4D MMMH'!M39+'4E Könyvtár'!M39+'4F Segítő Kéz'!M39+'4G Szérüskert'!M39</f>
        <v>770873</v>
      </c>
      <c r="Q7" s="589">
        <f>'2B Önk kiad'!Q10+'3A PH'!Q42</f>
        <v>3877</v>
      </c>
      <c r="R7" s="589">
        <f>SUM(O7:Q7)</f>
        <v>2335247</v>
      </c>
      <c r="S7" s="968">
        <f>'2B Önk kiad'!S10+'3A PH'!S42+'4H VG bev kiad'!O39+'4A Walla'!O39+'4B Nyitnikék'!O39+'4C Bóbita'!O39+'4D MMMH'!O39+'4E Könyvtár'!O39+'4F Segítő Kéz'!O39+'4G Szérüskert'!O39</f>
        <v>1223614.3103149605</v>
      </c>
      <c r="T7" s="968">
        <f>'2B Önk kiad'!T10+'3A PH'!T42+'4H VG bev kiad'!P39+'4A Walla'!P39+'4B Nyitnikék'!P39+'4C Bóbita'!P39+'4D MMMH'!P39+'4E Könyvtár'!P39+'4F Segítő Kéz'!P39+'4G Szérüskert'!P39</f>
        <v>219702.41999999998</v>
      </c>
      <c r="U7" s="968">
        <f>'2B Önk kiad'!U10+'3A PH'!U42</f>
        <v>3230</v>
      </c>
      <c r="V7" s="968">
        <f>SUM(S7:U7)</f>
        <v>1446546.7303149605</v>
      </c>
      <c r="W7" s="589">
        <f>'2B Önk kiad'!W10+'3A PH'!W42+'4H VG bev kiad'!R39+'4A Walla'!R39+'4B Nyitnikék'!R39+'4C Bóbita'!R39+'4D MMMH'!R39+'4E Könyvtár'!R39+'4F Segítő Kéz'!R39+'4G Szérüskert'!R39</f>
        <v>1365031.68</v>
      </c>
      <c r="X7" s="589">
        <f>'2B Önk kiad'!X10+'3A PH'!X42+'4H VG bev kiad'!S39+'4A Walla'!S39+'4B Nyitnikék'!S39+'4C Bóbita'!S39+'4D MMMH'!S39+'4E Könyvtár'!S39+'4F Segítő Kéz'!S39+'4G Szérüskert'!S39</f>
        <v>249382</v>
      </c>
      <c r="Y7" s="589">
        <f>'2B Önk kiad'!Y10+'3A PH'!Y42</f>
        <v>3230</v>
      </c>
      <c r="Z7" s="589">
        <f>SUM(W7:Y7)</f>
        <v>1617643.68</v>
      </c>
      <c r="AA7" s="589">
        <f>'2B Önk kiad'!AA10+'3A PH'!AA42+'4H VG bev kiad'!U39+'4A Walla'!U39+'4B Nyitnikék'!U39+'4C Bóbita'!U39+'4D MMMH'!U39+'4E Könyvtár'!U39+'4F Segítő Kéz'!U39+'4G Szérüskert'!U39+1</f>
        <v>1405522.68</v>
      </c>
      <c r="AB7" s="589">
        <f>'2B Önk kiad'!AB10+'3A PH'!AB42+'4H VG bev kiad'!V39+'4A Walla'!V39+'4B Nyitnikék'!V39+'4C Bóbita'!V39+'4D MMMH'!V39+'4E Könyvtár'!V39+'4F Segítő Kéz'!V39+'4G Szérüskert'!V39</f>
        <v>261860</v>
      </c>
      <c r="AC7" s="589">
        <f>'2B Önk kiad'!AC10+'3A PH'!AC42</f>
        <v>3230</v>
      </c>
      <c r="AD7" s="589">
        <f>SUM(AA7:AC7)</f>
        <v>1670612.68</v>
      </c>
      <c r="AE7" s="968">
        <f>'2B Önk kiad'!AE10+'3A PH'!AE42+'4H VG bev kiad'!X39+'4A Walla'!X39+'4B Nyitnikék'!X39+'4C Bóbita'!X39+'4D MMMH'!X39+'4E Könyvtár'!X39+'4F Segítő Kéz'!X39+'4G Szérüskert'!X39</f>
        <v>1656231.68</v>
      </c>
      <c r="AF7" s="968">
        <f>'2B Önk kiad'!AF10+'3A PH'!AF42+'4H VG bev kiad'!Y39+'4A Walla'!Y39+'4B Nyitnikék'!Y39+'4C Bóbita'!Y39+'4D MMMH'!Y39+'4E Könyvtár'!Y39+'4F Segítő Kéz'!Y39+'4G Szérüskert'!Y39</f>
        <v>262678</v>
      </c>
      <c r="AG7" s="968">
        <f>'2B Önk kiad'!AG10+'3A PH'!AG42</f>
        <v>3230</v>
      </c>
      <c r="AH7" s="968">
        <f>SUM(AE7:AG7)</f>
        <v>1922139.68</v>
      </c>
      <c r="AI7" s="605"/>
    </row>
    <row r="8" spans="1:35" x14ac:dyDescent="0.25">
      <c r="A8" s="586" t="s">
        <v>336</v>
      </c>
      <c r="B8" s="587" t="s">
        <v>337</v>
      </c>
      <c r="C8" s="589">
        <f>'2B Önk kiad'!C11+'3A PH'!C43+'4H VG bev kiad'!C40+'4A Walla'!C40+'4B Nyitnikék'!C40+'4C Bóbita'!C40+'4D MMMH'!C40+'4E Könyvtár'!C40+'4F Segítő Kéz'!C40+'4G Szérüskert'!C40</f>
        <v>0</v>
      </c>
      <c r="D8" s="589">
        <f>'2B Önk kiad'!D11+'3A PH'!D43+'4H VG bev kiad'!D40+'4A Walla'!D40+'4B Nyitnikék'!D40+'4C Bóbita'!D40+'4D MMMH'!D40+'4E Könyvtár'!D40+'4F Segítő Kéz'!D40+'4G Szérüskert'!D40</f>
        <v>30000</v>
      </c>
      <c r="E8" s="589">
        <f>'2B Önk kiad'!E11+'3A PH'!E43</f>
        <v>0</v>
      </c>
      <c r="F8" s="589">
        <f t="shared" si="8"/>
        <v>30000</v>
      </c>
      <c r="G8" s="589">
        <f>'2B Önk kiad'!G11+'3A PH'!G43+'4H VG bev kiad'!F40+'4A Walla'!F40+'4B Nyitnikék'!F40+'4C Bóbita'!F40+'4D MMMH'!F40+'4E Könyvtár'!F40+'4F Segítő Kéz'!F40+'4G Szérüskert'!F40</f>
        <v>0</v>
      </c>
      <c r="H8" s="589">
        <f>'2B Önk kiad'!H11+'3A PH'!H43+'4H VG bev kiad'!G40+'4A Walla'!G40+'4B Nyitnikék'!G40+'4C Bóbita'!G40+'4D MMMH'!G40+'4E Könyvtár'!G40+'4F Segítő Kéz'!G40+'4G Szérüskert'!G40</f>
        <v>30223</v>
      </c>
      <c r="I8" s="589">
        <f>'2B Önk kiad'!I11+'3A PH'!I43</f>
        <v>0</v>
      </c>
      <c r="J8" s="589">
        <f t="shared" si="9"/>
        <v>30223</v>
      </c>
      <c r="K8" s="589">
        <f>'2B Önk kiad'!K11+'3A PH'!K43+'4H VG bev kiad'!I40+'4A Walla'!I40+'4B Nyitnikék'!I40+'4C Bóbita'!I40+'4D MMMH'!I40+'4E Könyvtár'!I40+'4F Segítő Kéz'!I40+'4G Szérüskert'!I40</f>
        <v>0</v>
      </c>
      <c r="L8" s="589">
        <f>'2B Önk kiad'!L11+'3A PH'!L43+'4H VG bev kiad'!J40+'4A Walla'!J40+'4B Nyitnikék'!J40+'4C Bóbita'!J40+'4D MMMH'!J40+'4E Könyvtár'!J40+'4F Segítő Kéz'!J40+'4G Szérüskert'!J40</f>
        <v>30223</v>
      </c>
      <c r="M8" s="589" t="e">
        <f>'2B Önk kiad'!M11+'3A PH'!M43+'4H VG bev kiad'!#REF!+'4A Walla'!#REF!+'4B Nyitnikék'!#REF!+'4C Bóbita'!#REF!+'4D MMMH'!#REF!+'4E Könyvtár'!#REF!+'4F Segítő Kéz'!#REF!+'4G Szérüskert'!#REF!</f>
        <v>#REF!</v>
      </c>
      <c r="N8" s="589" t="e">
        <f t="shared" ref="N8:N14" si="16">SUM(K8:M8)</f>
        <v>#REF!</v>
      </c>
      <c r="O8" s="589">
        <f>'2B Önk kiad'!O11+'3A PH'!O43+'4H VG bev kiad'!L40+'4A Walla'!L40+'4B Nyitnikék'!L40+'4C Bóbita'!L40+'4D MMMH'!L40+'4E Könyvtár'!L40+'4F Segítő Kéz'!L40+'4G Szérüskert'!L40</f>
        <v>0</v>
      </c>
      <c r="P8" s="589">
        <f>'2B Önk kiad'!P11+'3A PH'!P43+'4H VG bev kiad'!M40+'4A Walla'!M40+'4B Nyitnikék'!M40+'4C Bóbita'!M40+'4D MMMH'!M40+'4E Könyvtár'!M40+'4F Segítő Kéz'!M40+'4G Szérüskert'!M40</f>
        <v>11767</v>
      </c>
      <c r="Q8" s="589">
        <f>'2B Önk kiad'!Q11+'3A PH'!Q43</f>
        <v>0</v>
      </c>
      <c r="R8" s="589">
        <f t="shared" ref="R8:R14" si="17">SUM(O8:Q8)</f>
        <v>11767</v>
      </c>
      <c r="S8" s="968">
        <f>'2B Önk kiad'!S11+'3A PH'!S43+'4H VG bev kiad'!O40+'4A Walla'!O40+'4B Nyitnikék'!O40+'4C Bóbita'!O40+'4D MMMH'!O40+'4E Könyvtár'!O40+'4F Segítő Kéz'!O40+'4G Szérüskert'!O40</f>
        <v>18000</v>
      </c>
      <c r="T8" s="968">
        <f>'2B Önk kiad'!T11+'3A PH'!T43+'4H VG bev kiad'!P40+'4A Walla'!P40+'4B Nyitnikék'!P40+'4C Bóbita'!P40+'4D MMMH'!P40+'4E Könyvtár'!P40+'4F Segítő Kéz'!P40+'4G Szérüskert'!P40</f>
        <v>16000</v>
      </c>
      <c r="U8" s="968">
        <f>'2B Önk kiad'!U11+'3A PH'!U43</f>
        <v>0</v>
      </c>
      <c r="V8" s="968">
        <f t="shared" ref="V8:V14" si="18">SUM(S8:U8)</f>
        <v>34000</v>
      </c>
      <c r="W8" s="589">
        <f>'2B Önk kiad'!W11+'3A PH'!W43+'4H VG bev kiad'!R40+'4A Walla'!R40+'4B Nyitnikék'!R40+'4C Bóbita'!R40+'4D MMMH'!R40+'4E Könyvtár'!R40+'4F Segítő Kéz'!R40+'4G Szérüskert'!R40</f>
        <v>20455</v>
      </c>
      <c r="X8" s="589">
        <f>'2B Önk kiad'!X11+'3A PH'!X43+'4H VG bev kiad'!S40+'4A Walla'!S40+'4B Nyitnikék'!S40+'4C Bóbita'!S40+'4D MMMH'!S40+'4E Könyvtár'!S40+'4F Segítő Kéz'!S40+'4G Szérüskert'!S40</f>
        <v>16000</v>
      </c>
      <c r="Y8" s="589">
        <f>'2B Önk kiad'!Y11+'3A PH'!Y43</f>
        <v>0</v>
      </c>
      <c r="Z8" s="589">
        <f t="shared" ref="Z8:Z14" si="19">SUM(W8:Y8)</f>
        <v>36455</v>
      </c>
      <c r="AA8" s="589">
        <f>'2B Önk kiad'!AA11+'3A PH'!AA43+'4H VG bev kiad'!U40+'4A Walla'!U40+'4B Nyitnikék'!U40+'4C Bóbita'!U40+'4D MMMH'!U40+'4E Könyvtár'!U40+'4F Segítő Kéz'!U40+'4G Szérüskert'!U40</f>
        <v>20455</v>
      </c>
      <c r="AB8" s="589">
        <f>'2B Önk kiad'!AB11+'3A PH'!AB43+'4H VG bev kiad'!V40+'4A Walla'!V40+'4B Nyitnikék'!V40+'4C Bóbita'!V40+'4D MMMH'!V40+'4E Könyvtár'!V40+'4F Segítő Kéz'!V40+'4G Szérüskert'!V40</f>
        <v>15340</v>
      </c>
      <c r="AC8" s="589">
        <f>'2B Önk kiad'!AC11+'3A PH'!AC43</f>
        <v>0</v>
      </c>
      <c r="AD8" s="589">
        <f t="shared" ref="AD8:AD14" si="20">SUM(AA8:AC8)</f>
        <v>35795</v>
      </c>
      <c r="AE8" s="968">
        <f>'2B Önk kiad'!AE11+'3A PH'!AE43+'4H VG bev kiad'!X40+'4A Walla'!X40+'4B Nyitnikék'!X40+'4C Bóbita'!YX40+'4D MMMH'!X40+'4E Könyvtár'!X40+'4F Segítő Kéz'!X40+'4G Szérüskert'!X40</f>
        <v>20455</v>
      </c>
      <c r="AF8" s="968">
        <f>'2B Önk kiad'!AF11+'3A PH'!AF43+'4H VG bev kiad'!Y40+'4A Walla'!Y40+'4B Nyitnikék'!Y40+'4C Bóbita'!Y40+'4D MMMH'!Y40+'4E Könyvtár'!Y40+'4F Segítő Kéz'!Y40+'4G Szérüskert'!Y40</f>
        <v>15340</v>
      </c>
      <c r="AG8" s="968">
        <f>'2B Önk kiad'!AG11+'3A PH'!AG43</f>
        <v>0</v>
      </c>
      <c r="AH8" s="968">
        <f t="shared" ref="AH8:AH14" si="21">SUM(AE8:AG8)</f>
        <v>35795</v>
      </c>
      <c r="AI8" s="605"/>
    </row>
    <row r="9" spans="1:35" x14ac:dyDescent="0.25">
      <c r="A9" s="586" t="s">
        <v>338</v>
      </c>
      <c r="B9" s="587" t="s">
        <v>339</v>
      </c>
      <c r="C9" s="589">
        <f>'2B Önk kiad'!C12+'3A PH'!C44+'4H VG bev kiad'!C41+'4A Walla'!C41+'4B Nyitnikék'!C41+'4C Bóbita'!C41+'4D MMMH'!C41+'4E Könyvtár'!C41+'4F Segítő Kéz'!C41+'4G Szérüskert'!C41</f>
        <v>516362</v>
      </c>
      <c r="D9" s="589">
        <f>'2B Önk kiad'!D12+'3A PH'!D44+'4H VG bev kiad'!D41+'4A Walla'!D41+'4B Nyitnikék'!D41+'4C Bóbita'!D41+'4D MMMH'!D41+'4E Könyvtár'!D41+'4F Segítő Kéz'!D41+'4G Szérüskert'!D41</f>
        <v>291519</v>
      </c>
      <c r="E9" s="589">
        <f>'2B Önk kiad'!E12+'3A PH'!E44</f>
        <v>0</v>
      </c>
      <c r="F9" s="589">
        <f t="shared" si="8"/>
        <v>807881</v>
      </c>
      <c r="G9" s="589">
        <f>'2B Önk kiad'!G12+'3A PH'!G44+'4H VG bev kiad'!F41+'4A Walla'!F41+'4B Nyitnikék'!F41+'4C Bóbita'!F41+'4D MMMH'!F41+'4E Könyvtár'!F41+'4F Segítő Kéz'!F41+'4G Szérüskert'!F41</f>
        <v>333220</v>
      </c>
      <c r="H9" s="589" t="e">
        <f>'2B Önk kiad'!H12+'3A PH'!H44+'4H VG bev kiad'!G41+'4A Walla'!G41+'4B Nyitnikék'!G41+'4C Bóbita'!G41+'4D MMMH'!G41+'4E Könyvtár'!G41+'4F Segítő Kéz'!G41+'4G Szérüskert'!G41</f>
        <v>#REF!</v>
      </c>
      <c r="I9" s="589" t="e">
        <f>'2B Önk kiad'!I12+'3A PH'!I44</f>
        <v>#REF!</v>
      </c>
      <c r="J9" s="589" t="e">
        <f t="shared" si="9"/>
        <v>#REF!</v>
      </c>
      <c r="K9" s="589">
        <f>'2B Önk kiad'!K12+'3A PH'!K44+'4H VG bev kiad'!I41+'4A Walla'!I41+'4B Nyitnikék'!I41+'4C Bóbita'!I41+'4D MMMH'!I41+'4E Könyvtár'!I41+'4F Segítő Kéz'!I41+'4G Szérüskert'!I41</f>
        <v>414638</v>
      </c>
      <c r="L9" s="589">
        <f>'2B Önk kiad'!L12+'3A PH'!L44+'4H VG bev kiad'!J41+'4A Walla'!J41+'4B Nyitnikék'!J41+'4C Bóbita'!J41+'4D MMMH'!J41+'4E Könyvtár'!J41+'4F Segítő Kéz'!J41+'4G Szérüskert'!J41</f>
        <v>426584</v>
      </c>
      <c r="M9" s="589" t="e">
        <f>'2B Önk kiad'!M12+'3A PH'!M44+'4H VG bev kiad'!#REF!+'4A Walla'!#REF!+'4B Nyitnikék'!#REF!+'4C Bóbita'!#REF!+'4D MMMH'!#REF!+'4E Könyvtár'!#REF!+'4F Segítő Kéz'!#REF!+'4G Szérüskert'!#REF!</f>
        <v>#REF!</v>
      </c>
      <c r="N9" s="589" t="e">
        <f t="shared" si="16"/>
        <v>#REF!</v>
      </c>
      <c r="O9" s="589">
        <f>'2B Önk kiad'!O12+'3A PH'!O44+'4H VG bev kiad'!L41+'4A Walla'!L41+'4B Nyitnikék'!L41+'4C Bóbita'!L41+'4D MMMH'!L41+'4E Könyvtár'!L41+'4F Segítő Kéz'!L41+'4G Szérüskert'!L41</f>
        <v>11012</v>
      </c>
      <c r="P9" s="589">
        <f>'2B Önk kiad'!P12+'3A PH'!P44+'4H VG bev kiad'!M41+'4A Walla'!M41+'4B Nyitnikék'!M41+'4C Bóbita'!M41+'4D MMMH'!M41+'4E Könyvtár'!M41+'4F Segítő Kéz'!M41+'4G Szérüskert'!M41</f>
        <v>388106</v>
      </c>
      <c r="Q9" s="589">
        <f>'2B Önk kiad'!Q12+'3A PH'!Q44</f>
        <v>0</v>
      </c>
      <c r="R9" s="589">
        <f t="shared" si="17"/>
        <v>399118</v>
      </c>
      <c r="S9" s="968">
        <f>'2B Önk kiad'!S12+'3A PH'!S44+'4H VG bev kiad'!O41+'4A Walla'!O41+'4B Nyitnikék'!O41+'4C Bóbita'!O41+'4D MMMH'!O41+'4E Könyvtár'!O41+'4F Segítő Kéz'!O41+'4G Szérüskert'!O41</f>
        <v>510505</v>
      </c>
      <c r="T9" s="968">
        <f>'2B Önk kiad'!T12+'3A PH'!T44+'4H VG bev kiad'!P41+'4A Walla'!P41+'4B Nyitnikék'!P41+'4C Bóbita'!P41+'4D MMMH'!P41+'4E Könyvtár'!P41+'4F Segítő Kéz'!P41+'4G Szérüskert'!P41</f>
        <v>297355</v>
      </c>
      <c r="U9" s="968">
        <f>'2B Önk kiad'!U12+'3A PH'!U44</f>
        <v>0</v>
      </c>
      <c r="V9" s="968">
        <f t="shared" si="18"/>
        <v>807860</v>
      </c>
      <c r="W9" s="589">
        <f>'2B Önk kiad'!W12+'3A PH'!W44+'4H VG bev kiad'!R41+'4A Walla'!R41+'4B Nyitnikék'!R41+'4C Bóbita'!R41+'4D MMMH'!R41+'4E Könyvtár'!R41+'4F Segítő Kéz'!R41+'4G Szérüskert'!R41</f>
        <v>474348</v>
      </c>
      <c r="X9" s="589">
        <f>'2B Önk kiad'!X12+'3A PH'!X44+'4H VG bev kiad'!S41+'4A Walla'!S41+'4B Nyitnikék'!S41+'4C Bóbita'!S41+'4D MMMH'!S41+'4E Könyvtár'!S41+'4F Segítő Kéz'!S41+'4G Szérüskert'!S41</f>
        <v>309495</v>
      </c>
      <c r="Y9" s="589">
        <f>'2B Önk kiad'!Y12+'3A PH'!Y44</f>
        <v>0</v>
      </c>
      <c r="Z9" s="589">
        <f t="shared" si="19"/>
        <v>783843</v>
      </c>
      <c r="AA9" s="589">
        <f>'2B Önk kiad'!AA12+'3A PH'!AA44+'4H VG bev kiad'!U41+'4A Walla'!U41+'4B Nyitnikék'!U41+'4C Bóbita'!U41+'4D MMMH'!U41+'4E Könyvtár'!U41+'4F Segítő Kéz'!U41+'4G Szérüskert'!U41</f>
        <v>394965</v>
      </c>
      <c r="AB9" s="589">
        <f>'2B Önk kiad'!AB12+'3A PH'!AB44+'4H VG bev kiad'!V41+'4A Walla'!V41+'4B Nyitnikék'!V41+'4C Bóbita'!V41+'4D MMMH'!V41+'4E Könyvtár'!V41+'4F Segítő Kéz'!V41+'4G Szérüskert'!V41</f>
        <v>377644</v>
      </c>
      <c r="AC9" s="589">
        <f>'2B Önk kiad'!AC12+'3A PH'!AC44</f>
        <v>0</v>
      </c>
      <c r="AD9" s="589">
        <f t="shared" si="20"/>
        <v>772609</v>
      </c>
      <c r="AE9" s="968">
        <f>'2B Önk kiad'!AE12+'3A PH'!AE44+'4H VG bev kiad'!X41+'4A Walla'!X41+'4B Nyitnikék'!X41+'4C Bóbita'!X41+'4D MMMH'!X41+'4E Könyvtár'!X41+'4F Segítő Kéz'!X41+'4G Szérüskert'!X41</f>
        <v>362274</v>
      </c>
      <c r="AF9" s="968">
        <f>'2B Önk kiad'!AF12+'3A PH'!AF44+'4H VG bev kiad'!Y41+'4A Walla'!Y41+'4B Nyitnikék'!Y41+'4C Bóbita'!Y41+'4D MMMH'!Y41+'4E Könyvtár'!Y41+'4F Segítő Kéz'!Y41+'4G Szérüskert'!Y41</f>
        <v>387470</v>
      </c>
      <c r="AG9" s="968">
        <f>'2B Önk kiad'!AG12+'3A PH'!AG44</f>
        <v>0</v>
      </c>
      <c r="AH9" s="968">
        <f t="shared" si="21"/>
        <v>749744</v>
      </c>
      <c r="AI9" s="605"/>
    </row>
    <row r="10" spans="1:35" ht="14.25" hidden="1" customHeight="1" x14ac:dyDescent="0.25">
      <c r="A10" s="590"/>
      <c r="B10" s="591" t="s">
        <v>671</v>
      </c>
      <c r="C10" s="593"/>
      <c r="D10" s="593"/>
      <c r="E10" s="593"/>
      <c r="F10" s="593">
        <f t="shared" si="8"/>
        <v>0</v>
      </c>
      <c r="G10" s="593"/>
      <c r="H10" s="593"/>
      <c r="I10" s="593"/>
      <c r="J10" s="593">
        <f t="shared" si="9"/>
        <v>0</v>
      </c>
      <c r="K10" s="593"/>
      <c r="L10" s="593"/>
      <c r="M10" s="593"/>
      <c r="N10" s="593">
        <f t="shared" si="16"/>
        <v>0</v>
      </c>
      <c r="O10" s="593"/>
      <c r="P10" s="593"/>
      <c r="Q10" s="593"/>
      <c r="R10" s="593">
        <f t="shared" si="17"/>
        <v>0</v>
      </c>
      <c r="S10" s="593"/>
      <c r="T10" s="593"/>
      <c r="U10" s="593"/>
      <c r="V10" s="593">
        <f t="shared" si="18"/>
        <v>0</v>
      </c>
      <c r="W10" s="593"/>
      <c r="X10" s="593"/>
      <c r="Y10" s="593"/>
      <c r="Z10" s="593">
        <f t="shared" si="19"/>
        <v>0</v>
      </c>
      <c r="AA10" s="593"/>
      <c r="AB10" s="593"/>
      <c r="AC10" s="593"/>
      <c r="AD10" s="593">
        <f t="shared" si="20"/>
        <v>0</v>
      </c>
      <c r="AE10" s="593"/>
      <c r="AF10" s="593"/>
      <c r="AG10" s="593"/>
      <c r="AH10" s="593">
        <f t="shared" si="21"/>
        <v>0</v>
      </c>
    </row>
    <row r="11" spans="1:35" s="578" customFormat="1" ht="28.5" hidden="1" customHeight="1" x14ac:dyDescent="0.25">
      <c r="A11" s="590"/>
      <c r="B11" s="591" t="s">
        <v>672</v>
      </c>
      <c r="C11" s="593"/>
      <c r="D11" s="593"/>
      <c r="E11" s="593"/>
      <c r="F11" s="593">
        <f t="shared" si="8"/>
        <v>0</v>
      </c>
      <c r="G11" s="593"/>
      <c r="H11" s="593"/>
      <c r="I11" s="593"/>
      <c r="J11" s="593">
        <f t="shared" si="9"/>
        <v>0</v>
      </c>
      <c r="K11" s="593"/>
      <c r="L11" s="593"/>
      <c r="M11" s="593"/>
      <c r="N11" s="593">
        <f t="shared" si="16"/>
        <v>0</v>
      </c>
      <c r="O11" s="593"/>
      <c r="P11" s="593"/>
      <c r="Q11" s="593"/>
      <c r="R11" s="593">
        <f t="shared" si="17"/>
        <v>0</v>
      </c>
      <c r="S11" s="593"/>
      <c r="T11" s="593"/>
      <c r="U11" s="593"/>
      <c r="V11" s="593">
        <f t="shared" si="18"/>
        <v>0</v>
      </c>
      <c r="W11" s="593"/>
      <c r="X11" s="593"/>
      <c r="Y11" s="593"/>
      <c r="Z11" s="593">
        <f t="shared" si="19"/>
        <v>0</v>
      </c>
      <c r="AA11" s="593"/>
      <c r="AB11" s="593"/>
      <c r="AC11" s="593"/>
      <c r="AD11" s="593">
        <f t="shared" si="20"/>
        <v>0</v>
      </c>
      <c r="AE11" s="593"/>
      <c r="AF11" s="593"/>
      <c r="AG11" s="593"/>
      <c r="AH11" s="593">
        <f t="shared" si="21"/>
        <v>0</v>
      </c>
    </row>
    <row r="12" spans="1:35" s="578" customFormat="1" ht="28.5" hidden="1" customHeight="1" x14ac:dyDescent="0.25">
      <c r="A12" s="590"/>
      <c r="B12" s="591" t="s">
        <v>673</v>
      </c>
      <c r="C12" s="593"/>
      <c r="D12" s="593"/>
      <c r="E12" s="593"/>
      <c r="F12" s="593">
        <f t="shared" si="8"/>
        <v>0</v>
      </c>
      <c r="G12" s="593"/>
      <c r="H12" s="593"/>
      <c r="I12" s="593"/>
      <c r="J12" s="593">
        <f t="shared" si="9"/>
        <v>0</v>
      </c>
      <c r="K12" s="593"/>
      <c r="L12" s="593"/>
      <c r="M12" s="593"/>
      <c r="N12" s="593">
        <f t="shared" si="16"/>
        <v>0</v>
      </c>
      <c r="O12" s="593"/>
      <c r="P12" s="593"/>
      <c r="Q12" s="593"/>
      <c r="R12" s="593">
        <f t="shared" si="17"/>
        <v>0</v>
      </c>
      <c r="S12" s="593"/>
      <c r="T12" s="593"/>
      <c r="U12" s="593"/>
      <c r="V12" s="593">
        <f t="shared" si="18"/>
        <v>0</v>
      </c>
      <c r="W12" s="593"/>
      <c r="X12" s="593"/>
      <c r="Y12" s="593"/>
      <c r="Z12" s="593">
        <f t="shared" si="19"/>
        <v>0</v>
      </c>
      <c r="AA12" s="593"/>
      <c r="AB12" s="593"/>
      <c r="AC12" s="593"/>
      <c r="AD12" s="593">
        <f t="shared" si="20"/>
        <v>0</v>
      </c>
      <c r="AE12" s="593"/>
      <c r="AF12" s="593"/>
      <c r="AG12" s="593"/>
      <c r="AH12" s="593">
        <f t="shared" si="21"/>
        <v>0</v>
      </c>
    </row>
    <row r="13" spans="1:35" ht="28.5" hidden="1" customHeight="1" x14ac:dyDescent="0.25">
      <c r="A13" s="590"/>
      <c r="B13" s="591" t="s">
        <v>674</v>
      </c>
      <c r="C13" s="595"/>
      <c r="D13" s="595"/>
      <c r="E13" s="595"/>
      <c r="F13" s="595">
        <f t="shared" si="8"/>
        <v>0</v>
      </c>
      <c r="G13" s="595"/>
      <c r="H13" s="595"/>
      <c r="I13" s="595"/>
      <c r="J13" s="595">
        <f t="shared" si="9"/>
        <v>0</v>
      </c>
      <c r="K13" s="595"/>
      <c r="L13" s="595"/>
      <c r="M13" s="595"/>
      <c r="N13" s="595">
        <f t="shared" si="16"/>
        <v>0</v>
      </c>
      <c r="O13" s="595"/>
      <c r="P13" s="595"/>
      <c r="Q13" s="595"/>
      <c r="R13" s="595">
        <f t="shared" si="17"/>
        <v>0</v>
      </c>
      <c r="S13" s="595"/>
      <c r="T13" s="595"/>
      <c r="U13" s="595"/>
      <c r="V13" s="595">
        <f t="shared" si="18"/>
        <v>0</v>
      </c>
      <c r="W13" s="595"/>
      <c r="X13" s="595"/>
      <c r="Y13" s="595"/>
      <c r="Z13" s="595">
        <f t="shared" si="19"/>
        <v>0</v>
      </c>
      <c r="AA13" s="595"/>
      <c r="AB13" s="595"/>
      <c r="AC13" s="595"/>
      <c r="AD13" s="595">
        <f t="shared" si="20"/>
        <v>0</v>
      </c>
      <c r="AE13" s="595"/>
      <c r="AF13" s="595"/>
      <c r="AG13" s="595"/>
      <c r="AH13" s="595">
        <f t="shared" si="21"/>
        <v>0</v>
      </c>
    </row>
    <row r="14" spans="1:35" ht="14.25" hidden="1" customHeight="1" x14ac:dyDescent="0.25">
      <c r="A14" s="590"/>
      <c r="B14" s="591" t="s">
        <v>675</v>
      </c>
      <c r="C14" s="593"/>
      <c r="D14" s="593"/>
      <c r="E14" s="593"/>
      <c r="F14" s="593">
        <f t="shared" si="8"/>
        <v>0</v>
      </c>
      <c r="G14" s="593"/>
      <c r="H14" s="593"/>
      <c r="I14" s="593"/>
      <c r="J14" s="593">
        <f t="shared" si="9"/>
        <v>0</v>
      </c>
      <c r="K14" s="593"/>
      <c r="L14" s="593"/>
      <c r="M14" s="593"/>
      <c r="N14" s="593">
        <f t="shared" si="16"/>
        <v>0</v>
      </c>
      <c r="O14" s="593"/>
      <c r="P14" s="593"/>
      <c r="Q14" s="593"/>
      <c r="R14" s="593">
        <f t="shared" si="17"/>
        <v>0</v>
      </c>
      <c r="S14" s="593"/>
      <c r="T14" s="593"/>
      <c r="U14" s="593"/>
      <c r="V14" s="593">
        <f t="shared" si="18"/>
        <v>0</v>
      </c>
      <c r="W14" s="593"/>
      <c r="X14" s="593"/>
      <c r="Y14" s="593"/>
      <c r="Z14" s="593">
        <f t="shared" si="19"/>
        <v>0</v>
      </c>
      <c r="AA14" s="593"/>
      <c r="AB14" s="593"/>
      <c r="AC14" s="593"/>
      <c r="AD14" s="593">
        <f t="shared" si="20"/>
        <v>0</v>
      </c>
      <c r="AE14" s="593"/>
      <c r="AF14" s="593"/>
      <c r="AG14" s="593"/>
      <c r="AH14" s="593">
        <f t="shared" si="21"/>
        <v>0</v>
      </c>
    </row>
    <row r="15" spans="1:35" ht="30" x14ac:dyDescent="0.25">
      <c r="A15" s="583" t="s">
        <v>318</v>
      </c>
      <c r="B15" s="584" t="s">
        <v>340</v>
      </c>
      <c r="C15" s="596">
        <f t="shared" ref="C15:E15" si="22">SUM(C16:C18)</f>
        <v>1098534.74</v>
      </c>
      <c r="D15" s="596">
        <f t="shared" si="22"/>
        <v>744223.5</v>
      </c>
      <c r="E15" s="596">
        <f t="shared" si="22"/>
        <v>0</v>
      </c>
      <c r="F15" s="596">
        <f>SUM(C15:E15)+1</f>
        <v>1842759.24</v>
      </c>
      <c r="G15" s="596">
        <f t="shared" ref="G15:I15" si="23">SUM(G16:G18)</f>
        <v>1332626</v>
      </c>
      <c r="H15" s="596">
        <f t="shared" si="23"/>
        <v>683967.5</v>
      </c>
      <c r="I15" s="596">
        <f t="shared" si="23"/>
        <v>0</v>
      </c>
      <c r="J15" s="596">
        <f>SUM(G15:I15)+1</f>
        <v>2016594.5</v>
      </c>
      <c r="K15" s="596" t="e">
        <f t="shared" ref="K15:M15" si="24">SUM(K16:K18)</f>
        <v>#REF!</v>
      </c>
      <c r="L15" s="596" t="e">
        <f t="shared" si="24"/>
        <v>#REF!</v>
      </c>
      <c r="M15" s="596" t="e">
        <f t="shared" si="24"/>
        <v>#REF!</v>
      </c>
      <c r="N15" s="596" t="e">
        <f>SUM(K15:M15)+1</f>
        <v>#REF!</v>
      </c>
      <c r="O15" s="596">
        <f t="shared" ref="O15:Q15" si="25">SUM(O16:O18)</f>
        <v>1494053</v>
      </c>
      <c r="P15" s="596">
        <f t="shared" si="25"/>
        <v>285815</v>
      </c>
      <c r="Q15" s="596">
        <f t="shared" si="25"/>
        <v>0</v>
      </c>
      <c r="R15" s="596">
        <f>SUM(O15:Q15)</f>
        <v>1779868</v>
      </c>
      <c r="S15" s="596">
        <f t="shared" ref="S15:U15" si="26">SUM(S16:S18)</f>
        <v>1071368.6499999999</v>
      </c>
      <c r="T15" s="596">
        <f t="shared" si="26"/>
        <v>324950</v>
      </c>
      <c r="U15" s="596">
        <f t="shared" si="26"/>
        <v>0</v>
      </c>
      <c r="V15" s="596">
        <f>SUM(S15:U15)</f>
        <v>1396318.65</v>
      </c>
      <c r="W15" s="596">
        <f t="shared" ref="W15:Y15" si="27">SUM(W16:W18)</f>
        <v>1219443.6499999999</v>
      </c>
      <c r="X15" s="596">
        <f t="shared" si="27"/>
        <v>399341</v>
      </c>
      <c r="Y15" s="596">
        <f t="shared" si="27"/>
        <v>0</v>
      </c>
      <c r="Z15" s="596">
        <f>SUM(W15:Y15)</f>
        <v>1618784.65</v>
      </c>
      <c r="AA15" s="596">
        <f t="shared" ref="AA15:AC15" si="28">SUM(AA16:AA18)</f>
        <v>1293964.6499999999</v>
      </c>
      <c r="AB15" s="596">
        <f t="shared" si="28"/>
        <v>290499</v>
      </c>
      <c r="AC15" s="596">
        <f t="shared" si="28"/>
        <v>0</v>
      </c>
      <c r="AD15" s="596">
        <f>SUM(AA15:AC15)</f>
        <v>1584463.65</v>
      </c>
      <c r="AE15" s="596">
        <f t="shared" ref="AE15:AG15" si="29">SUM(AE16:AE18)</f>
        <v>1359120</v>
      </c>
      <c r="AF15" s="596">
        <f t="shared" si="29"/>
        <v>354733</v>
      </c>
      <c r="AG15" s="596">
        <f t="shared" si="29"/>
        <v>0</v>
      </c>
      <c r="AH15" s="596">
        <f>SUM(AE15:AG15)</f>
        <v>1713853</v>
      </c>
      <c r="AI15" s="605"/>
    </row>
    <row r="16" spans="1:35" x14ac:dyDescent="0.25">
      <c r="A16" s="586" t="s">
        <v>311</v>
      </c>
      <c r="B16" s="587" t="s">
        <v>351</v>
      </c>
      <c r="C16" s="589">
        <f>'2B Önk kiad'!C22+'3A PH'!C46+'4H VG bev kiad'!C43+'4A Walla'!C43+'4B Nyitnikék'!C43+'4C Bóbita'!C43+'4D MMMH'!C43+'4E Könyvtár'!C43+'4F Segítő Kéz'!C43+'4G Szérüskert'!C43</f>
        <v>936169.74</v>
      </c>
      <c r="D16" s="589">
        <f>'2B Önk kiad'!D22+'3A PH'!D46+'4H VG bev kiad'!D43+'4A Walla'!D43+'4B Nyitnikék'!D43+'4C Bóbita'!D43+'4D MMMH'!D43+'4E Könyvtár'!D43+'4F Segítő Kéz'!D43+'4G Szérüskert'!D43</f>
        <v>611140.5</v>
      </c>
      <c r="E16" s="589">
        <f>'2B Önk kiad'!E22+'3A PH'!E46</f>
        <v>0</v>
      </c>
      <c r="F16" s="589">
        <f t="shared" si="8"/>
        <v>1547310.24</v>
      </c>
      <c r="G16" s="589">
        <f>'2B Önk kiad'!G22+'3A PH'!G46+'4H VG bev kiad'!F43+'4A Walla'!F43+'4B Nyitnikék'!F43+'4C Bóbita'!F43+'4D MMMH'!F43+'4E Könyvtár'!F43+'4F Segítő Kéz'!F43+'4G Szérüskert'!F43</f>
        <v>1196770</v>
      </c>
      <c r="H16" s="589">
        <f>'2B Önk kiad'!H22+'3A PH'!H46+'4H VG bev kiad'!G43+'4A Walla'!G43+'4B Nyitnikék'!G43+'4C Bóbita'!G43+'4D MMMH'!G43+'4E Könyvtár'!G43+'4F Segítő Kéz'!G43+'4G Szérüskert'!G43-1</f>
        <v>568629.5</v>
      </c>
      <c r="I16" s="589">
        <f>'2B Önk kiad'!I22+'3A PH'!I46</f>
        <v>0</v>
      </c>
      <c r="J16" s="589">
        <f>SUM(G16:I16)+1</f>
        <v>1765400.5</v>
      </c>
      <c r="K16" s="589">
        <f>'2B Önk kiad'!K22+'3A PH'!K46+'4H VG bev kiad'!I43+'4A Walla'!I43+'4B Nyitnikék'!I43+'4C Bóbita'!I43+'4D MMMH'!I43+'4E Könyvtár'!I43+'4F Segítő Kéz'!I43+'4G Szérüskert'!I43</f>
        <v>1435902.4</v>
      </c>
      <c r="L16" s="589" t="e">
        <f>'2B Önk kiad'!L22+'3A PH'!L46+'4H VG bev kiad'!J43+'4A Walla'!J43+'4B Nyitnikék'!J43+'4C Bóbita'!J43+'4D MMMH'!J43+'4E Könyvtár'!J43+'4F Segítő Kéz'!J43+'4G Szérüskert'!J43-1</f>
        <v>#REF!</v>
      </c>
      <c r="M16" s="589" t="e">
        <f>'2B Önk kiad'!M22+'3A PH'!M46+'4H VG bev kiad'!#REF!+'4A Walla'!#REF!+'4B Nyitnikék'!#REF!+'4C Bóbita'!#REF!+'4D MMMH'!#REF!+'4E Könyvtár'!#REF!+'4F Segítő Kéz'!#REF!+'4G Szérüskert'!#REF!</f>
        <v>#REF!</v>
      </c>
      <c r="N16" s="589" t="e">
        <f>SUM(K16:M16)+1</f>
        <v>#REF!</v>
      </c>
      <c r="O16" s="589">
        <f>'2B Önk kiad'!O22+'3A PH'!O46+'4H VG bev kiad'!L43+'4A Walla'!L43+'4B Nyitnikék'!L43+'4C Bóbita'!L43+'4D MMMH'!L43+'4E Könyvtár'!L43+'4F Segítő Kéz'!L43+'4G Szérüskert'!L43</f>
        <v>1406408</v>
      </c>
      <c r="P16" s="589">
        <f>'2B Önk kiad'!P22+'3A PH'!P46+'4H VG bev kiad'!M43+'4A Walla'!M43+'4B Nyitnikék'!M43+'4C Bóbita'!M43+'4D MMMH'!M43+'4E Könyvtár'!M43+'4F Segítő Kéz'!M43+'4G Szérüskert'!M43</f>
        <v>175205</v>
      </c>
      <c r="Q16" s="589">
        <f>'2B Önk kiad'!Q22+'3A PH'!Q46</f>
        <v>0</v>
      </c>
      <c r="R16" s="589">
        <f>SUM(O16:Q16)</f>
        <v>1581613</v>
      </c>
      <c r="S16" s="968">
        <f>'2B Önk kiad'!S22+'3A PH'!S46+'4H VG bev kiad'!O43+'4A Walla'!O43+'4B Nyitnikék'!O43+'4C Bóbita'!O43+'4D MMMH'!O43+'4E Könyvtár'!O43+'4F Segítő Kéz'!O43+'4G Szérüskert'!O43</f>
        <v>702130.65</v>
      </c>
      <c r="T16" s="968">
        <f>'2B Önk kiad'!T22+'3A PH'!T46+'4H VG bev kiad'!P43+'4A Walla'!P43+'4B Nyitnikék'!P43+'4C Bóbita'!P43+'4D MMMH'!P43+'4E Könyvtár'!P43+'4F Segítő Kéz'!P43+'4G Szérüskert'!P43</f>
        <v>255750</v>
      </c>
      <c r="U16" s="968">
        <f>'2B Önk kiad'!U22+'3A PH'!U46</f>
        <v>0</v>
      </c>
      <c r="V16" s="968">
        <f>SUM(S16:U16)</f>
        <v>957880.65</v>
      </c>
      <c r="W16" s="589">
        <f>'2B Önk kiad'!W22+'3A PH'!W46+'4H VG bev kiad'!R43+'4A Walla'!R43+'4B Nyitnikék'!R43+'4C Bóbita'!R43+'4D MMMH'!R43+'4E Könyvtár'!R43+'4F Segítő Kéz'!R43+'4G Szérüskert'!R43</f>
        <v>888444.65</v>
      </c>
      <c r="X16" s="589">
        <f>'2B Önk kiad'!X22+'3A PH'!X46+'4H VG bev kiad'!S43+'4A Walla'!S43+'4B Nyitnikék'!S43+'4C Bóbita'!S43+'4D MMMH'!S43+'4E Könyvtár'!S43+'4F Segítő Kéz'!S43+'4G Szérüskert'!S43</f>
        <v>303617</v>
      </c>
      <c r="Y16" s="589">
        <f>'2B Önk kiad'!Y22+'3A PH'!Y46</f>
        <v>0</v>
      </c>
      <c r="Z16" s="589">
        <f>SUM(W16:Y16)</f>
        <v>1192061.6499999999</v>
      </c>
      <c r="AA16" s="589">
        <f>'2B Önk kiad'!AA22+'3A PH'!AA46+'4H VG bev kiad'!U43+'4A Walla'!U43+'4B Nyitnikék'!U43+'4C Bóbita'!U43+'4D MMMH'!U43+'4E Könyvtár'!U43+'4F Segítő Kéz'!U43+'4G Szérüskert'!U43</f>
        <v>964529.65</v>
      </c>
      <c r="AB16" s="589">
        <f>'2B Önk kiad'!AB22+'3A PH'!AB46+'4H VG bev kiad'!V43+'4A Walla'!V43+'4B Nyitnikék'!V43+'4C Bóbita'!V43+'4D MMMH'!V43+'4E Könyvtár'!V43+'4F Segítő Kéz'!V43+'4G Szérüskert'!V43</f>
        <v>200213</v>
      </c>
      <c r="AC16" s="589">
        <f>'2B Önk kiad'!AC22+'3A PH'!AC46</f>
        <v>0</v>
      </c>
      <c r="AD16" s="589">
        <f>SUM(AA16:AC16)</f>
        <v>1164742.6499999999</v>
      </c>
      <c r="AE16" s="968">
        <f>'2B Önk kiad'!AE22+'3A PH'!AE46+'4H VG bev kiad'!X43+'4A Walla'!X43+'4B Nyitnikék'!X43+'4C Bóbita'!X43+'4D MMMH'!X43+'4E Könyvtár'!X43+'4F Segítő Kéz'!X43+'4G Szérüskert'!X43+1</f>
        <v>989223</v>
      </c>
      <c r="AF16" s="968">
        <f>'2B Önk kiad'!AF22+'3A PH'!AF46+'4H VG bev kiad'!Y43+'4A Walla'!Y43+'4B Nyitnikék'!Y43+'4C Bóbita'!Y43+'4D MMMH'!Y43+'4E Könyvtár'!Y43+'4F Segítő Kéz'!Y43+'4G Szérüskert'!Y43</f>
        <v>291955</v>
      </c>
      <c r="AG16" s="968">
        <f>'2B Önk kiad'!AG22+'3A PH'!AG46</f>
        <v>0</v>
      </c>
      <c r="AH16" s="968">
        <f>SUM(AE16:AG16)</f>
        <v>1281178</v>
      </c>
      <c r="AI16" s="605"/>
    </row>
    <row r="17" spans="1:36" x14ac:dyDescent="0.25">
      <c r="A17" s="586" t="s">
        <v>322</v>
      </c>
      <c r="B17" s="587" t="s">
        <v>342</v>
      </c>
      <c r="C17" s="589">
        <f>'2B Önk kiad'!C23+'3A PH'!C47+'4H VG bev kiad'!C44+'4A Walla'!C44+'4B Nyitnikék'!C44+'4C Bóbita'!C44+'4D MMMH'!C44+'4E Könyvtár'!C44+'4F Segítő Kéz'!C44+'4G Szérüskert'!C44</f>
        <v>161665</v>
      </c>
      <c r="D17" s="589">
        <f>'2B Önk kiad'!D23+'3A PH'!D47+'4H VG bev kiad'!D44+'4A Walla'!D44+'4B Nyitnikék'!D44+'4C Bóbita'!D44+'4D MMMH'!D44+'4E Könyvtár'!D44+'4F Segítő Kéz'!D44+'4G Szérüskert'!D44</f>
        <v>133083</v>
      </c>
      <c r="E17" s="589">
        <f>'2B Önk kiad'!E23+'3A PH'!E47</f>
        <v>0</v>
      </c>
      <c r="F17" s="589">
        <f t="shared" si="8"/>
        <v>294748</v>
      </c>
      <c r="G17" s="589">
        <f>'2B Önk kiad'!G23+'3A PH'!G47+'4H VG bev kiad'!F44+'4A Walla'!F44+'4B Nyitnikék'!F44+'4C Bóbita'!F44+'4D MMMH'!F44+'4E Könyvtár'!F44+'4F Segítő Kéz'!F44+'4G Szérüskert'!F44</f>
        <v>133584</v>
      </c>
      <c r="H17" s="589">
        <f>'2B Önk kiad'!H23+'3A PH'!H47+'4H VG bev kiad'!G44+'4A Walla'!G44+'4B Nyitnikék'!G44+'4C Bóbita'!G44+'4D MMMH'!G44+'4E Könyvtár'!G44+'4F Segítő Kéz'!G44+'4G Szérüskert'!G44</f>
        <v>114338</v>
      </c>
      <c r="I17" s="589">
        <f>'2B Önk kiad'!I23+'3A PH'!I47</f>
        <v>0</v>
      </c>
      <c r="J17" s="589">
        <f t="shared" si="9"/>
        <v>247922</v>
      </c>
      <c r="K17" s="589" t="e">
        <f>'2B Önk kiad'!K23+'3A PH'!K47+'4H VG bev kiad'!I44+'4A Walla'!I44+'4B Nyitnikék'!I44+'4C Bóbita'!I44+'4D MMMH'!I44+'4E Könyvtár'!I44+'4F Segítő Kéz'!I44+'4G Szérüskert'!I44</f>
        <v>#REF!</v>
      </c>
      <c r="L17" s="589" t="e">
        <f>'2B Önk kiad'!L23+'3A PH'!L47+'4H VG bev kiad'!J44+'4A Walla'!J44+'4B Nyitnikék'!J44+'4C Bóbita'!J44+'4D MMMH'!J44+'4E Könyvtár'!J44+'4F Segítő Kéz'!J44+'4G Szérüskert'!J44</f>
        <v>#REF!</v>
      </c>
      <c r="M17" s="589" t="e">
        <f>'2B Önk kiad'!M23+'3A PH'!M47+'4H VG bev kiad'!#REF!+'4A Walla'!#REF!+'4B Nyitnikék'!#REF!+'4C Bóbita'!#REF!+'4D MMMH'!#REF!+'4E Könyvtár'!#REF!+'4F Segítő Kéz'!#REF!+'4G Szérüskert'!#REF!</f>
        <v>#REF!</v>
      </c>
      <c r="N17" s="589" t="e">
        <f t="shared" ref="N17:N23" si="30">SUM(K17:M17)</f>
        <v>#REF!</v>
      </c>
      <c r="O17" s="589">
        <f>'2B Önk kiad'!O23+'3A PH'!O47+'4H VG bev kiad'!L44+'4A Walla'!L44+'4B Nyitnikék'!L44+'4C Bóbita'!L44+'4D MMMH'!L44+'4E Könyvtár'!L44+'4F Segítő Kéz'!L44+'4G Szérüskert'!L44</f>
        <v>87073</v>
      </c>
      <c r="P17" s="589">
        <f>'2B Önk kiad'!P23+'3A PH'!P47+'4H VG bev kiad'!M44+'4A Walla'!M44+'4B Nyitnikék'!M44+'4C Bóbita'!M44+'4D MMMH'!M44+'4E Könyvtár'!M44+'4F Segítő Kéz'!M44+'4G Szérüskert'!M44</f>
        <v>110610</v>
      </c>
      <c r="Q17" s="589">
        <f>'2B Önk kiad'!Q23+'3A PH'!Q47</f>
        <v>0</v>
      </c>
      <c r="R17" s="589">
        <f t="shared" ref="R17:R23" si="31">SUM(O17:Q17)</f>
        <v>197683</v>
      </c>
      <c r="S17" s="968">
        <f>'2B Önk kiad'!S23+'3A PH'!S47+'4H VG bev kiad'!O44+'4A Walla'!O44+'4B Nyitnikék'!O44+'4C Bóbita'!O44+'4D MMMH'!O44+'4E Könyvtár'!O44+'4F Segítő Kéz'!O44+'4G Szérüskert'!O44</f>
        <v>368538</v>
      </c>
      <c r="T17" s="968">
        <f>'2B Önk kiad'!T23+'3A PH'!T47+'4H VG bev kiad'!P44+'4A Walla'!P44+'4B Nyitnikék'!P44+'4C Bóbita'!P44+'4D MMMH'!P44+'4E Könyvtár'!P44+'4F Segítő Kéz'!P44+'4G Szérüskert'!P44</f>
        <v>69200</v>
      </c>
      <c r="U17" s="968">
        <f>'2B Önk kiad'!U23+'3A PH'!U47</f>
        <v>0</v>
      </c>
      <c r="V17" s="968">
        <f t="shared" ref="V17:V23" si="32">SUM(S17:U17)</f>
        <v>437738</v>
      </c>
      <c r="W17" s="589">
        <f>'2B Önk kiad'!W23+'3A PH'!W47+'4H VG bev kiad'!R44+'4A Walla'!R44+'4B Nyitnikék'!R44+'4C Bóbita'!R44+'4D MMMH'!R44+'4E Könyvtár'!R44+'4F Segítő Kéz'!R44+'4G Szérüskert'!R44</f>
        <v>329580</v>
      </c>
      <c r="X17" s="589">
        <f>'2B Önk kiad'!X23+'3A PH'!X47+'4H VG bev kiad'!S44+'4A Walla'!S44+'4B Nyitnikék'!S44+'4C Bóbita'!S44+'4D MMMH'!S44+'4E Könyvtár'!S44+'4F Segítő Kéz'!S44+'4G Szérüskert'!S44</f>
        <v>83117</v>
      </c>
      <c r="Y17" s="589">
        <f>'2B Önk kiad'!Y23+'3A PH'!Y47</f>
        <v>0</v>
      </c>
      <c r="Z17" s="589">
        <f t="shared" ref="Z17:Z23" si="33">SUM(W17:Y17)</f>
        <v>412697</v>
      </c>
      <c r="AA17" s="589">
        <f>'2B Önk kiad'!AA23+'3A PH'!AA47+'4H VG bev kiad'!U44+'4A Walla'!U44+'4B Nyitnikék'!U44+'4C Bóbita'!U44+'4D MMMH'!U44+'4E Könyvtár'!U44+'4F Segítő Kéz'!U44+'4G Szérüskert'!U44</f>
        <v>327976</v>
      </c>
      <c r="AB17" s="589">
        <f>'2B Önk kiad'!AB23+'3A PH'!AB47+'4H VG bev kiad'!V44+'4A Walla'!V44+'4B Nyitnikék'!V44+'4C Bóbita'!V44+'4D MMMH'!V44+'4E Könyvtár'!V44+'4F Segítő Kéz'!V44+'4G Szérüskert'!V44</f>
        <v>75679</v>
      </c>
      <c r="AC17" s="589">
        <f>'2B Önk kiad'!AC23+'3A PH'!AC47</f>
        <v>0</v>
      </c>
      <c r="AD17" s="589">
        <f t="shared" ref="AD17:AD23" si="34">SUM(AA17:AC17)</f>
        <v>403655</v>
      </c>
      <c r="AE17" s="968">
        <f>'2B Önk kiad'!AE23+'3A PH'!AE47+'4H VG bev kiad'!X44+'4A Walla'!X44+'4B Nyitnikék'!X44+'4C Bóbita'!X44+'4D MMMH'!X44+'4E Könyvtár'!X44+'4F Segítő Kéz'!X44+'4G Szérüskert'!X44</f>
        <v>365438</v>
      </c>
      <c r="AF17" s="968">
        <f>'2B Önk kiad'!AF23+'3A PH'!AF47+'4H VG bev kiad'!Y44+'4A Walla'!Y44+'4B Nyitnikék'!Y44+'4C Bóbita'!Y44+'4D MMMH'!Y44+'4E Könyvtár'!Y44+'4F Segítő Kéz'!Y44+'4G Szérüskert'!Y44</f>
        <v>47476</v>
      </c>
      <c r="AG17" s="968">
        <f>'2B Önk kiad'!AG23+'3A PH'!AG47</f>
        <v>0</v>
      </c>
      <c r="AH17" s="968">
        <f t="shared" ref="AH17:AH23" si="35">SUM(AE17:AG17)</f>
        <v>412914</v>
      </c>
      <c r="AI17" s="605"/>
    </row>
    <row r="18" spans="1:36" x14ac:dyDescent="0.25">
      <c r="A18" s="586" t="s">
        <v>315</v>
      </c>
      <c r="B18" s="587" t="s">
        <v>343</v>
      </c>
      <c r="C18" s="588">
        <f>'2B Önk kiad'!C24+'3A PH'!C48+'4H VG bev kiad'!C45+'4A Walla'!C45+'4B Nyitnikék'!C45+'4C Bóbita'!C45+'4D MMMH'!C45+'4E Könyvtár'!C45+'4F Segítő Kéz'!C45+'4G Szérüskert'!C45</f>
        <v>700</v>
      </c>
      <c r="D18" s="588">
        <f>'2B Önk kiad'!D24+'3A PH'!D48+'4H VG bev kiad'!D45+'4A Walla'!D45+'4B Nyitnikék'!D45+'4C Bóbita'!D45+'4D MMMH'!D45+'4E Könyvtár'!D45+'4F Segítő Kéz'!D45+'4G Szérüskert'!D45</f>
        <v>0</v>
      </c>
      <c r="E18" s="588">
        <f>'2B Önk kiad'!E24+'3A PH'!E48</f>
        <v>0</v>
      </c>
      <c r="F18" s="588">
        <f t="shared" si="8"/>
        <v>700</v>
      </c>
      <c r="G18" s="588">
        <f>'2B Önk kiad'!G24+'3A PH'!G48+'4H VG bev kiad'!F45+'4A Walla'!F45+'4B Nyitnikék'!F45+'4C Bóbita'!F45+'4D MMMH'!F45+'4E Könyvtár'!F45+'4F Segítő Kéz'!F45+'4G Szérüskert'!F45</f>
        <v>2272</v>
      </c>
      <c r="H18" s="588">
        <f>'2B Önk kiad'!H24+'3A PH'!H48+'4H VG bev kiad'!G45+'4A Walla'!G45+'4B Nyitnikék'!G45+'4C Bóbita'!G45+'4D MMMH'!G45+'4E Könyvtár'!G45+'4F Segítő Kéz'!G45+'4G Szérüskert'!G45</f>
        <v>1000</v>
      </c>
      <c r="I18" s="588">
        <f>'2B Önk kiad'!I24+'3A PH'!I48</f>
        <v>0</v>
      </c>
      <c r="J18" s="588">
        <f t="shared" si="9"/>
        <v>3272</v>
      </c>
      <c r="K18" s="588">
        <f>'2B Önk kiad'!K24+'3A PH'!K48+'4H VG bev kiad'!I45+'4A Walla'!I45+'4B Nyitnikék'!I45+'4C Bóbita'!I45+'4D MMMH'!I45+'4E Könyvtár'!I45+'4F Segítő Kéz'!I45+'4G Szérüskert'!I45</f>
        <v>2272</v>
      </c>
      <c r="L18" s="588">
        <f>'2B Önk kiad'!L24+'3A PH'!L48+'4H VG bev kiad'!J45+'4A Walla'!J45+'4B Nyitnikék'!J45+'4C Bóbita'!J45+'4D MMMH'!J45+'4E Könyvtár'!J45+'4F Segítő Kéz'!J45+'4G Szérüskert'!J45</f>
        <v>0</v>
      </c>
      <c r="M18" s="588" t="e">
        <f>'2B Önk kiad'!M24+'3A PH'!M48+'4H VG bev kiad'!#REF!+'4A Walla'!#REF!+'4B Nyitnikék'!#REF!+'4C Bóbita'!#REF!+'4D MMMH'!#REF!+'4E Könyvtár'!#REF!+'4F Segítő Kéz'!#REF!+'4G Szérüskert'!#REF!</f>
        <v>#REF!</v>
      </c>
      <c r="N18" s="588" t="e">
        <f t="shared" si="30"/>
        <v>#REF!</v>
      </c>
      <c r="O18" s="588">
        <f>'2B Önk kiad'!O24+'3A PH'!O48+'4H VG bev kiad'!L45+'4A Walla'!L45+'4B Nyitnikék'!L45+'4C Bóbita'!L45+'4D MMMH'!L45+'4E Könyvtár'!L45+'4F Segítő Kéz'!L45+'4G Szérüskert'!L45</f>
        <v>572</v>
      </c>
      <c r="P18" s="588">
        <f>'2B Önk kiad'!P24+'3A PH'!P48+'4H VG bev kiad'!M45+'4A Walla'!M45+'4B Nyitnikék'!M45+'4C Bóbita'!M45+'4D MMMH'!M45+'4E Könyvtár'!M45+'4F Segítő Kéz'!M45+'4G Szérüskert'!M45</f>
        <v>0</v>
      </c>
      <c r="Q18" s="588">
        <f>'2B Önk kiad'!Q24+'3A PH'!Q48</f>
        <v>0</v>
      </c>
      <c r="R18" s="588">
        <f t="shared" si="31"/>
        <v>572</v>
      </c>
      <c r="S18" s="967">
        <f>'2B Önk kiad'!S24+'3A PH'!S48</f>
        <v>700</v>
      </c>
      <c r="T18" s="967">
        <f>'2B Önk kiad'!T24+'3A PH'!T48+'4H VG bev kiad'!P45+'4A Walla'!P45+'4B Nyitnikék'!P45+'4C Bóbita'!P45+'4D MMMH'!P45+'4E Könyvtár'!P45+'4F Segítő Kéz'!P45+'4G Szérüskert'!P45</f>
        <v>0</v>
      </c>
      <c r="U18" s="967">
        <f>'2B Önk kiad'!U24+'3A PH'!U48</f>
        <v>0</v>
      </c>
      <c r="V18" s="967">
        <f t="shared" si="32"/>
        <v>700</v>
      </c>
      <c r="W18" s="588">
        <f>'2B Önk kiad'!W24+'3A PH'!W48</f>
        <v>1419</v>
      </c>
      <c r="X18" s="588">
        <f>'2B Önk kiad'!X24+'3A PH'!X48+'4H VG bev kiad'!T45+'4A Walla'!T45+'4B Nyitnikék'!T45+'4C Bóbita'!T45+'4D MMMH'!T45+'4E Könyvtár'!T45+'4F Segítő Kéz'!T45+'4G Szérüskert'!T45</f>
        <v>12607</v>
      </c>
      <c r="Y18" s="588">
        <f>'2B Önk kiad'!Y24+'3A PH'!Y48</f>
        <v>0</v>
      </c>
      <c r="Z18" s="588">
        <f t="shared" si="33"/>
        <v>14026</v>
      </c>
      <c r="AA18" s="588">
        <f>'2B Önk kiad'!AA24</f>
        <v>1459</v>
      </c>
      <c r="AB18" s="588">
        <f>'2B Önk kiad'!AB24</f>
        <v>14607</v>
      </c>
      <c r="AC18" s="588">
        <f>'2B Önk kiad'!AC24+'3A PH'!AC48</f>
        <v>0</v>
      </c>
      <c r="AD18" s="588">
        <f t="shared" si="34"/>
        <v>16066</v>
      </c>
      <c r="AE18" s="967">
        <f>'2B Önk kiad'!AE24</f>
        <v>4459</v>
      </c>
      <c r="AF18" s="967">
        <f>'2B Önk kiad'!AF24</f>
        <v>15302</v>
      </c>
      <c r="AG18" s="967">
        <f>'2B Önk kiad'!AG24+'3A PH'!AG48</f>
        <v>0</v>
      </c>
      <c r="AH18" s="967">
        <f t="shared" si="35"/>
        <v>19761</v>
      </c>
      <c r="AI18" s="605"/>
    </row>
    <row r="19" spans="1:36" ht="28.5" hidden="1" customHeight="1" x14ac:dyDescent="0.25">
      <c r="A19" s="590"/>
      <c r="B19" s="591" t="s">
        <v>679</v>
      </c>
      <c r="C19" s="592"/>
      <c r="D19" s="592"/>
      <c r="E19" s="592"/>
      <c r="F19" s="592">
        <f t="shared" si="8"/>
        <v>0</v>
      </c>
      <c r="G19" s="592"/>
      <c r="H19" s="592"/>
      <c r="I19" s="592"/>
      <c r="J19" s="592">
        <f t="shared" si="9"/>
        <v>0</v>
      </c>
      <c r="K19" s="592"/>
      <c r="L19" s="592"/>
      <c r="M19" s="592"/>
      <c r="N19" s="592">
        <f t="shared" si="30"/>
        <v>0</v>
      </c>
      <c r="O19" s="592"/>
      <c r="P19" s="592"/>
      <c r="Q19" s="592"/>
      <c r="R19" s="592">
        <f t="shared" si="31"/>
        <v>0</v>
      </c>
      <c r="S19" s="592"/>
      <c r="T19" s="592"/>
      <c r="U19" s="592"/>
      <c r="V19" s="592">
        <f t="shared" si="32"/>
        <v>0</v>
      </c>
      <c r="W19" s="592"/>
      <c r="X19" s="592"/>
      <c r="Y19" s="592"/>
      <c r="Z19" s="592">
        <f t="shared" si="33"/>
        <v>0</v>
      </c>
      <c r="AA19" s="592"/>
      <c r="AB19" s="592"/>
      <c r="AC19" s="592"/>
      <c r="AD19" s="592">
        <f t="shared" si="34"/>
        <v>0</v>
      </c>
      <c r="AE19" s="592"/>
      <c r="AF19" s="592"/>
      <c r="AG19" s="592"/>
      <c r="AH19" s="592">
        <f t="shared" si="35"/>
        <v>0</v>
      </c>
    </row>
    <row r="20" spans="1:36" ht="28.5" hidden="1" customHeight="1" x14ac:dyDescent="0.25">
      <c r="A20" s="590"/>
      <c r="B20" s="591" t="s">
        <v>680</v>
      </c>
      <c r="C20" s="592"/>
      <c r="D20" s="592"/>
      <c r="E20" s="592"/>
      <c r="F20" s="592">
        <f t="shared" si="8"/>
        <v>0</v>
      </c>
      <c r="G20" s="592"/>
      <c r="H20" s="592"/>
      <c r="I20" s="592"/>
      <c r="J20" s="592">
        <f t="shared" si="9"/>
        <v>0</v>
      </c>
      <c r="K20" s="592"/>
      <c r="L20" s="592"/>
      <c r="M20" s="592"/>
      <c r="N20" s="592">
        <f t="shared" si="30"/>
        <v>0</v>
      </c>
      <c r="O20" s="592"/>
      <c r="P20" s="592"/>
      <c r="Q20" s="592"/>
      <c r="R20" s="592">
        <f t="shared" si="31"/>
        <v>0</v>
      </c>
      <c r="S20" s="592"/>
      <c r="T20" s="592"/>
      <c r="U20" s="592"/>
      <c r="V20" s="592">
        <f t="shared" si="32"/>
        <v>0</v>
      </c>
      <c r="W20" s="592"/>
      <c r="X20" s="592"/>
      <c r="Y20" s="592"/>
      <c r="Z20" s="592">
        <f t="shared" si="33"/>
        <v>0</v>
      </c>
      <c r="AA20" s="592"/>
      <c r="AB20" s="592"/>
      <c r="AC20" s="592"/>
      <c r="AD20" s="592">
        <f t="shared" si="34"/>
        <v>0</v>
      </c>
      <c r="AE20" s="592"/>
      <c r="AF20" s="592"/>
      <c r="AG20" s="592"/>
      <c r="AH20" s="592">
        <f t="shared" si="35"/>
        <v>0</v>
      </c>
    </row>
    <row r="21" spans="1:36" ht="14.25" hidden="1" customHeight="1" x14ac:dyDescent="0.25">
      <c r="A21" s="590"/>
      <c r="B21" s="591" t="s">
        <v>681</v>
      </c>
      <c r="C21" s="592"/>
      <c r="D21" s="592"/>
      <c r="E21" s="592"/>
      <c r="F21" s="592">
        <f t="shared" si="8"/>
        <v>0</v>
      </c>
      <c r="G21" s="592"/>
      <c r="H21" s="592"/>
      <c r="I21" s="592"/>
      <c r="J21" s="592">
        <f t="shared" si="9"/>
        <v>0</v>
      </c>
      <c r="K21" s="592"/>
      <c r="L21" s="592"/>
      <c r="M21" s="592"/>
      <c r="N21" s="592">
        <f t="shared" si="30"/>
        <v>0</v>
      </c>
      <c r="O21" s="592"/>
      <c r="P21" s="592"/>
      <c r="Q21" s="592"/>
      <c r="R21" s="592">
        <f t="shared" si="31"/>
        <v>0</v>
      </c>
      <c r="S21" s="592"/>
      <c r="T21" s="592"/>
      <c r="U21" s="592"/>
      <c r="V21" s="592">
        <f t="shared" si="32"/>
        <v>0</v>
      </c>
      <c r="W21" s="592"/>
      <c r="X21" s="592"/>
      <c r="Y21" s="592"/>
      <c r="Z21" s="592">
        <f t="shared" si="33"/>
        <v>0</v>
      </c>
      <c r="AA21" s="592"/>
      <c r="AB21" s="592"/>
      <c r="AC21" s="592"/>
      <c r="AD21" s="592">
        <f t="shared" si="34"/>
        <v>0</v>
      </c>
      <c r="AE21" s="592"/>
      <c r="AF21" s="592"/>
      <c r="AG21" s="592"/>
      <c r="AH21" s="592">
        <f t="shared" si="35"/>
        <v>0</v>
      </c>
    </row>
    <row r="22" spans="1:36" ht="28.5" hidden="1" customHeight="1" x14ac:dyDescent="0.25">
      <c r="A22" s="590"/>
      <c r="B22" s="591" t="s">
        <v>682</v>
      </c>
      <c r="C22" s="592"/>
      <c r="D22" s="592"/>
      <c r="E22" s="592"/>
      <c r="F22" s="592">
        <f t="shared" si="8"/>
        <v>0</v>
      </c>
      <c r="G22" s="592"/>
      <c r="H22" s="592"/>
      <c r="I22" s="592"/>
      <c r="J22" s="592">
        <f t="shared" si="9"/>
        <v>0</v>
      </c>
      <c r="K22" s="592"/>
      <c r="L22" s="592"/>
      <c r="M22" s="592"/>
      <c r="N22" s="592">
        <f t="shared" si="30"/>
        <v>0</v>
      </c>
      <c r="O22" s="592"/>
      <c r="P22" s="592"/>
      <c r="Q22" s="592"/>
      <c r="R22" s="592">
        <f t="shared" si="31"/>
        <v>0</v>
      </c>
      <c r="S22" s="592"/>
      <c r="T22" s="592"/>
      <c r="U22" s="592"/>
      <c r="V22" s="592">
        <f t="shared" si="32"/>
        <v>0</v>
      </c>
      <c r="W22" s="592"/>
      <c r="X22" s="592"/>
      <c r="Y22" s="592"/>
      <c r="Z22" s="592">
        <f t="shared" si="33"/>
        <v>0</v>
      </c>
      <c r="AA22" s="592"/>
      <c r="AB22" s="592"/>
      <c r="AC22" s="592"/>
      <c r="AD22" s="592">
        <f t="shared" si="34"/>
        <v>0</v>
      </c>
      <c r="AE22" s="592"/>
      <c r="AF22" s="592"/>
      <c r="AG22" s="592"/>
      <c r="AH22" s="592">
        <f t="shared" si="35"/>
        <v>0</v>
      </c>
    </row>
    <row r="23" spans="1:36" ht="28.5" hidden="1" customHeight="1" x14ac:dyDescent="0.25">
      <c r="A23" s="590"/>
      <c r="B23" s="591" t="s">
        <v>683</v>
      </c>
      <c r="C23" s="592"/>
      <c r="D23" s="592"/>
      <c r="E23" s="592"/>
      <c r="F23" s="592">
        <f t="shared" si="8"/>
        <v>0</v>
      </c>
      <c r="G23" s="592"/>
      <c r="H23" s="592"/>
      <c r="I23" s="592"/>
      <c r="J23" s="592">
        <f t="shared" si="9"/>
        <v>0</v>
      </c>
      <c r="K23" s="592"/>
      <c r="L23" s="592"/>
      <c r="M23" s="592"/>
      <c r="N23" s="592">
        <f t="shared" si="30"/>
        <v>0</v>
      </c>
      <c r="O23" s="592"/>
      <c r="P23" s="592"/>
      <c r="Q23" s="592"/>
      <c r="R23" s="592">
        <f t="shared" si="31"/>
        <v>0</v>
      </c>
      <c r="S23" s="592"/>
      <c r="T23" s="592"/>
      <c r="U23" s="592"/>
      <c r="V23" s="592">
        <f t="shared" si="32"/>
        <v>0</v>
      </c>
      <c r="W23" s="592"/>
      <c r="X23" s="592"/>
      <c r="Y23" s="592"/>
      <c r="Z23" s="592">
        <f t="shared" si="33"/>
        <v>0</v>
      </c>
      <c r="AA23" s="592"/>
      <c r="AB23" s="592"/>
      <c r="AC23" s="592"/>
      <c r="AD23" s="592">
        <f t="shared" si="34"/>
        <v>0</v>
      </c>
      <c r="AE23" s="592"/>
      <c r="AF23" s="592"/>
      <c r="AG23" s="592"/>
      <c r="AH23" s="592">
        <f t="shared" si="35"/>
        <v>0</v>
      </c>
    </row>
    <row r="24" spans="1:36" x14ac:dyDescent="0.25">
      <c r="A24" s="597"/>
      <c r="B24" s="598" t="s">
        <v>593</v>
      </c>
      <c r="C24" s="599">
        <f t="shared" ref="C24:E24" si="36">C4+C15</f>
        <v>4626268.9400000004</v>
      </c>
      <c r="D24" s="599">
        <f t="shared" si="36"/>
        <v>1334244.5</v>
      </c>
      <c r="E24" s="599">
        <f t="shared" si="36"/>
        <v>4290</v>
      </c>
      <c r="F24" s="599">
        <f>SUM(C24:E24)+1</f>
        <v>5964804.4400000004</v>
      </c>
      <c r="G24" s="599">
        <f>G4+G15+1</f>
        <v>5329671</v>
      </c>
      <c r="H24" s="599" t="e">
        <f>H4+H15+1</f>
        <v>#REF!</v>
      </c>
      <c r="I24" s="599" t="e">
        <f t="shared" ref="I24" si="37">I4+I15</f>
        <v>#REF!</v>
      </c>
      <c r="J24" s="599" t="e">
        <f>SUM(G24:I24)-1</f>
        <v>#REF!</v>
      </c>
      <c r="K24" s="599" t="e">
        <f>K4+K15+1</f>
        <v>#REF!</v>
      </c>
      <c r="L24" s="599" t="e">
        <f>L4+L15+1</f>
        <v>#REF!</v>
      </c>
      <c r="M24" s="599" t="e">
        <f t="shared" ref="M24" si="38">M4+M15</f>
        <v>#REF!</v>
      </c>
      <c r="N24" s="599" t="e">
        <f>SUM(K24:M24)-1</f>
        <v>#REF!</v>
      </c>
      <c r="O24" s="599">
        <f>O4+O15</f>
        <v>4508290</v>
      </c>
      <c r="P24" s="599">
        <f>P4+P15</f>
        <v>1645849</v>
      </c>
      <c r="Q24" s="599">
        <f t="shared" ref="Q24" si="39">Q4+Q15</f>
        <v>4037</v>
      </c>
      <c r="R24" s="599">
        <f>SUM(O24:Q24)</f>
        <v>6158176</v>
      </c>
      <c r="S24" s="599">
        <f>S4+S15</f>
        <v>4608106.4243149608</v>
      </c>
      <c r="T24" s="599">
        <f>T4+T15</f>
        <v>962879.41999999993</v>
      </c>
      <c r="U24" s="599">
        <f t="shared" ref="U24" si="40">U4+U15</f>
        <v>3277</v>
      </c>
      <c r="V24" s="599">
        <f>SUM(S24:U24)</f>
        <v>5574262.8443149608</v>
      </c>
      <c r="W24" s="599">
        <f>W4+W15+1</f>
        <v>4920476.33</v>
      </c>
      <c r="X24" s="599">
        <f>X4+X15</f>
        <v>1079409</v>
      </c>
      <c r="Y24" s="599">
        <f t="shared" ref="Y24" si="41">Y4+Y15</f>
        <v>3277</v>
      </c>
      <c r="Z24" s="599">
        <f>SUM(W24:Y24)</f>
        <v>6003162.3300000001</v>
      </c>
      <c r="AA24" s="599">
        <f>AA4+AA15+1</f>
        <v>4956045.33</v>
      </c>
      <c r="AB24" s="599">
        <f>AB4+AB15</f>
        <v>1050650</v>
      </c>
      <c r="AC24" s="599">
        <f t="shared" ref="AC24" si="42">AC4+AC15</f>
        <v>3277</v>
      </c>
      <c r="AD24" s="599">
        <f>SUM(AA24:AC24)</f>
        <v>6009972.3300000001</v>
      </c>
      <c r="AE24" s="599">
        <f>AE4+AE15</f>
        <v>5240370.68</v>
      </c>
      <c r="AF24" s="599">
        <f>AF4+AF15</f>
        <v>1125670</v>
      </c>
      <c r="AG24" s="599">
        <f t="shared" ref="AG24" si="43">AG4+AG15</f>
        <v>3277</v>
      </c>
      <c r="AH24" s="599">
        <f>SUM(AE24:AG24)</f>
        <v>6369317.6799999997</v>
      </c>
      <c r="AI24" s="605"/>
      <c r="AJ24" s="551"/>
    </row>
    <row r="25" spans="1:36" x14ac:dyDescent="0.25">
      <c r="A25" s="583" t="s">
        <v>328</v>
      </c>
      <c r="B25" s="584" t="s">
        <v>596</v>
      </c>
      <c r="C25" s="585">
        <f t="shared" ref="C25:E25" si="44">C26+C32</f>
        <v>0</v>
      </c>
      <c r="D25" s="585">
        <f t="shared" si="44"/>
        <v>0</v>
      </c>
      <c r="E25" s="585">
        <f t="shared" si="44"/>
        <v>410430</v>
      </c>
      <c r="F25" s="585">
        <f t="shared" si="8"/>
        <v>410430</v>
      </c>
      <c r="G25" s="585">
        <f t="shared" ref="G25:I25" si="45">G26+G32</f>
        <v>0</v>
      </c>
      <c r="H25" s="585">
        <f t="shared" si="45"/>
        <v>0</v>
      </c>
      <c r="I25" s="585">
        <f t="shared" si="45"/>
        <v>711873</v>
      </c>
      <c r="J25" s="585">
        <f t="shared" si="9"/>
        <v>711873</v>
      </c>
      <c r="K25" s="585">
        <f t="shared" ref="K25:M25" si="46">K26+K32</f>
        <v>0</v>
      </c>
      <c r="L25" s="585">
        <f t="shared" si="46"/>
        <v>0</v>
      </c>
      <c r="M25" s="585">
        <f t="shared" si="46"/>
        <v>411619</v>
      </c>
      <c r="N25" s="585">
        <f t="shared" ref="N25:N35" si="47">SUM(K25:M25)</f>
        <v>411619</v>
      </c>
      <c r="O25" s="585">
        <f t="shared" ref="O25:Q25" si="48">O26+O32</f>
        <v>0</v>
      </c>
      <c r="P25" s="585">
        <f t="shared" si="48"/>
        <v>0</v>
      </c>
      <c r="Q25" s="585">
        <f t="shared" si="48"/>
        <v>311873</v>
      </c>
      <c r="R25" s="585">
        <f t="shared" ref="R25:R35" si="49">SUM(O25:Q25)</f>
        <v>311873</v>
      </c>
      <c r="S25" s="585">
        <f t="shared" ref="S25:U25" si="50">S26+S32</f>
        <v>180645</v>
      </c>
      <c r="T25" s="585">
        <f t="shared" si="50"/>
        <v>0</v>
      </c>
      <c r="U25" s="585">
        <f t="shared" si="50"/>
        <v>17063</v>
      </c>
      <c r="V25" s="585">
        <f t="shared" ref="V25:V34" si="51">SUM(S25:U25)</f>
        <v>197708</v>
      </c>
      <c r="W25" s="585">
        <f t="shared" ref="W25:Y25" si="52">W26+W32</f>
        <v>180645</v>
      </c>
      <c r="X25" s="585">
        <f t="shared" si="52"/>
        <v>0</v>
      </c>
      <c r="Y25" s="585">
        <f t="shared" si="52"/>
        <v>149361</v>
      </c>
      <c r="Z25" s="585">
        <f t="shared" ref="Z25:Z34" si="53">SUM(W25:Y25)</f>
        <v>330006</v>
      </c>
      <c r="AA25" s="585">
        <f t="shared" ref="AA25:AC25" si="54">AA26+AA32</f>
        <v>180645</v>
      </c>
      <c r="AB25" s="585">
        <f t="shared" si="54"/>
        <v>0</v>
      </c>
      <c r="AC25" s="585">
        <f t="shared" si="54"/>
        <v>287390</v>
      </c>
      <c r="AD25" s="585">
        <f t="shared" ref="AD25:AD34" si="55">SUM(AA25:AC25)</f>
        <v>468035</v>
      </c>
      <c r="AE25" s="585">
        <f t="shared" ref="AE25:AG25" si="56">AE26+AE32</f>
        <v>180645</v>
      </c>
      <c r="AF25" s="585">
        <f t="shared" si="56"/>
        <v>0</v>
      </c>
      <c r="AG25" s="585">
        <f t="shared" si="56"/>
        <v>500016</v>
      </c>
      <c r="AH25" s="585">
        <f t="shared" ref="AH25:AH34" si="57">SUM(AE25:AG25)</f>
        <v>680661</v>
      </c>
      <c r="AI25" s="605"/>
    </row>
    <row r="26" spans="1:36" x14ac:dyDescent="0.25">
      <c r="A26" s="586" t="s">
        <v>311</v>
      </c>
      <c r="B26" s="587" t="s">
        <v>599</v>
      </c>
      <c r="C26" s="600">
        <f t="shared" ref="C26:E26" si="58">SUM(C27:C31)</f>
        <v>0</v>
      </c>
      <c r="D26" s="600">
        <f t="shared" si="58"/>
        <v>0</v>
      </c>
      <c r="E26" s="600">
        <f t="shared" si="58"/>
        <v>410430</v>
      </c>
      <c r="F26" s="600">
        <f t="shared" si="8"/>
        <v>410430</v>
      </c>
      <c r="G26" s="600">
        <f t="shared" ref="G26:I26" si="59">SUM(G27:G31)</f>
        <v>0</v>
      </c>
      <c r="H26" s="600">
        <f t="shared" si="59"/>
        <v>0</v>
      </c>
      <c r="I26" s="600">
        <f t="shared" si="59"/>
        <v>711873</v>
      </c>
      <c r="J26" s="600">
        <f t="shared" si="9"/>
        <v>711873</v>
      </c>
      <c r="K26" s="600">
        <f t="shared" ref="K26:M26" si="60">SUM(K27:K31)</f>
        <v>0</v>
      </c>
      <c r="L26" s="600">
        <f t="shared" si="60"/>
        <v>0</v>
      </c>
      <c r="M26" s="600">
        <f t="shared" si="60"/>
        <v>411619</v>
      </c>
      <c r="N26" s="600">
        <f t="shared" si="47"/>
        <v>411619</v>
      </c>
      <c r="O26" s="600">
        <f t="shared" ref="O26:Q26" si="61">SUM(O27:O31)</f>
        <v>0</v>
      </c>
      <c r="P26" s="600">
        <f t="shared" si="61"/>
        <v>0</v>
      </c>
      <c r="Q26" s="600">
        <f t="shared" si="61"/>
        <v>311873</v>
      </c>
      <c r="R26" s="600">
        <f t="shared" si="49"/>
        <v>311873</v>
      </c>
      <c r="S26" s="600">
        <f t="shared" ref="S26:U26" si="62">SUM(S27:S31)</f>
        <v>180645</v>
      </c>
      <c r="T26" s="600">
        <f t="shared" si="62"/>
        <v>0</v>
      </c>
      <c r="U26" s="600">
        <f t="shared" si="62"/>
        <v>17063</v>
      </c>
      <c r="V26" s="600">
        <f t="shared" si="51"/>
        <v>197708</v>
      </c>
      <c r="W26" s="600">
        <f t="shared" ref="W26:Y26" si="63">SUM(W27:W31)</f>
        <v>180645</v>
      </c>
      <c r="X26" s="600">
        <f t="shared" si="63"/>
        <v>0</v>
      </c>
      <c r="Y26" s="600">
        <f t="shared" si="63"/>
        <v>149361</v>
      </c>
      <c r="Z26" s="600">
        <f t="shared" si="53"/>
        <v>330006</v>
      </c>
      <c r="AA26" s="600">
        <f t="shared" ref="AA26:AC26" si="64">SUM(AA27:AA31)</f>
        <v>180645</v>
      </c>
      <c r="AB26" s="600">
        <f t="shared" si="64"/>
        <v>0</v>
      </c>
      <c r="AC26" s="600">
        <f t="shared" si="64"/>
        <v>287390</v>
      </c>
      <c r="AD26" s="600">
        <f t="shared" si="55"/>
        <v>468035</v>
      </c>
      <c r="AE26" s="600">
        <f t="shared" ref="AE26:AG26" si="65">SUM(AE27:AE31)</f>
        <v>180645</v>
      </c>
      <c r="AF26" s="600">
        <f t="shared" si="65"/>
        <v>0</v>
      </c>
      <c r="AG26" s="600">
        <f t="shared" si="65"/>
        <v>500016</v>
      </c>
      <c r="AH26" s="600">
        <f t="shared" si="57"/>
        <v>680661</v>
      </c>
      <c r="AI26" s="605"/>
    </row>
    <row r="27" spans="1:36" ht="30" x14ac:dyDescent="0.25">
      <c r="A27" s="590"/>
      <c r="B27" s="601" t="s">
        <v>684</v>
      </c>
      <c r="C27" s="594">
        <f>'2B Önk kiad'!C33</f>
        <v>0</v>
      </c>
      <c r="D27" s="594">
        <f>'2B Önk kiad'!D33</f>
        <v>0</v>
      </c>
      <c r="E27" s="594">
        <f>'2B Önk kiad'!E33</f>
        <v>0</v>
      </c>
      <c r="F27" s="594">
        <f t="shared" si="8"/>
        <v>0</v>
      </c>
      <c r="G27" s="594">
        <f>'2B Önk kiad'!G33</f>
        <v>0</v>
      </c>
      <c r="H27" s="594">
        <f>'2B Önk kiad'!H33</f>
        <v>0</v>
      </c>
      <c r="I27" s="594">
        <f>'2B Önk kiad'!I33</f>
        <v>0</v>
      </c>
      <c r="J27" s="594">
        <f t="shared" si="9"/>
        <v>0</v>
      </c>
      <c r="K27" s="594">
        <f>'2B Önk kiad'!K33</f>
        <v>0</v>
      </c>
      <c r="L27" s="594">
        <f>'2B Önk kiad'!L33</f>
        <v>0</v>
      </c>
      <c r="M27" s="594">
        <f>'2B Önk kiad'!M33</f>
        <v>0</v>
      </c>
      <c r="N27" s="594">
        <f t="shared" si="47"/>
        <v>0</v>
      </c>
      <c r="O27" s="594">
        <f>'2B Önk kiad'!O33</f>
        <v>0</v>
      </c>
      <c r="P27" s="594">
        <f>'2B Önk kiad'!P33</f>
        <v>0</v>
      </c>
      <c r="Q27" s="594">
        <f>'2B Önk kiad'!Q33</f>
        <v>0</v>
      </c>
      <c r="R27" s="594">
        <f t="shared" si="49"/>
        <v>0</v>
      </c>
      <c r="S27" s="969">
        <f>'2B Önk kiad'!S33</f>
        <v>180645</v>
      </c>
      <c r="T27" s="969">
        <f>'2B Önk kiad'!T33</f>
        <v>0</v>
      </c>
      <c r="U27" s="969">
        <f>'2B Önk kiad'!U33</f>
        <v>0</v>
      </c>
      <c r="V27" s="969">
        <f t="shared" si="51"/>
        <v>180645</v>
      </c>
      <c r="W27" s="594">
        <f>'2B Önk kiad'!W33</f>
        <v>180645</v>
      </c>
      <c r="X27" s="594">
        <f>'2B Önk kiad'!X33</f>
        <v>0</v>
      </c>
      <c r="Y27" s="594">
        <f>'2B Önk kiad'!Y33</f>
        <v>0</v>
      </c>
      <c r="Z27" s="594">
        <f t="shared" si="53"/>
        <v>180645</v>
      </c>
      <c r="AA27" s="594">
        <f>'2B Önk kiad'!AA33</f>
        <v>180645</v>
      </c>
      <c r="AB27" s="594">
        <f>'2B Önk kiad'!AB33</f>
        <v>0</v>
      </c>
      <c r="AC27" s="594">
        <f>'2B Önk kiad'!AC33</f>
        <v>0</v>
      </c>
      <c r="AD27" s="594">
        <f t="shared" si="55"/>
        <v>180645</v>
      </c>
      <c r="AE27" s="969">
        <f>'2B Önk kiad'!AE33</f>
        <v>180645</v>
      </c>
      <c r="AF27" s="969">
        <f>'2B Önk kiad'!AF33</f>
        <v>0</v>
      </c>
      <c r="AG27" s="969">
        <f>'2B Önk kiad'!AG33</f>
        <v>0</v>
      </c>
      <c r="AH27" s="969">
        <f t="shared" si="57"/>
        <v>180645</v>
      </c>
    </row>
    <row r="28" spans="1:36" x14ac:dyDescent="0.25">
      <c r="A28" s="590"/>
      <c r="B28" s="772" t="s">
        <v>687</v>
      </c>
      <c r="C28" s="594">
        <f>'2B Önk kiad'!C36</f>
        <v>0</v>
      </c>
      <c r="D28" s="594">
        <f>'2B Önk kiad'!D36</f>
        <v>0</v>
      </c>
      <c r="E28" s="594">
        <f>'2B Önk kiad'!E36</f>
        <v>0</v>
      </c>
      <c r="F28" s="594">
        <f t="shared" si="8"/>
        <v>0</v>
      </c>
      <c r="G28" s="594">
        <f>'2B Önk kiad'!G36</f>
        <v>0</v>
      </c>
      <c r="H28" s="594">
        <f>'2B Önk kiad'!H36</f>
        <v>0</v>
      </c>
      <c r="I28" s="594">
        <f>'2B Önk kiad'!I36</f>
        <v>0</v>
      </c>
      <c r="J28" s="594">
        <f t="shared" si="9"/>
        <v>0</v>
      </c>
      <c r="K28" s="594">
        <f>'2B Önk kiad'!K36</f>
        <v>0</v>
      </c>
      <c r="L28" s="594">
        <f>'2B Önk kiad'!L36</f>
        <v>0</v>
      </c>
      <c r="M28" s="594">
        <f>'2B Önk kiad'!M36</f>
        <v>0</v>
      </c>
      <c r="N28" s="594">
        <f t="shared" si="47"/>
        <v>0</v>
      </c>
      <c r="O28" s="594">
        <f>'2B Önk kiad'!O36</f>
        <v>0</v>
      </c>
      <c r="P28" s="594">
        <f>'2B Önk kiad'!P36</f>
        <v>0</v>
      </c>
      <c r="Q28" s="594">
        <f>'2B Önk kiad'!Q36</f>
        <v>0</v>
      </c>
      <c r="R28" s="594">
        <f t="shared" si="49"/>
        <v>0</v>
      </c>
      <c r="S28" s="969">
        <f>'2B Önk kiad'!S36</f>
        <v>0</v>
      </c>
      <c r="T28" s="969">
        <f>'2B Önk kiad'!T36</f>
        <v>0</v>
      </c>
      <c r="U28" s="969">
        <f>'2B Önk kiad'!U36</f>
        <v>0</v>
      </c>
      <c r="V28" s="969">
        <f t="shared" si="51"/>
        <v>0</v>
      </c>
      <c r="W28" s="594">
        <f>'2B Önk kiad'!W36</f>
        <v>0</v>
      </c>
      <c r="X28" s="594">
        <f>'2B Önk kiad'!X36</f>
        <v>0</v>
      </c>
      <c r="Y28" s="594">
        <f>'2B Önk kiad'!Y36</f>
        <v>0</v>
      </c>
      <c r="Z28" s="594">
        <f t="shared" si="53"/>
        <v>0</v>
      </c>
      <c r="AA28" s="594">
        <f>'2B Önk kiad'!AA36</f>
        <v>0</v>
      </c>
      <c r="AB28" s="594">
        <f>'2B Önk kiad'!AB36</f>
        <v>0</v>
      </c>
      <c r="AC28" s="594">
        <f>'2B Önk kiad'!AC36</f>
        <v>0</v>
      </c>
      <c r="AD28" s="594">
        <f t="shared" si="55"/>
        <v>0</v>
      </c>
      <c r="AE28" s="969">
        <f>'2B Önk kiad'!AE36</f>
        <v>0</v>
      </c>
      <c r="AF28" s="969">
        <f>'2B Önk kiad'!AF36</f>
        <v>0</v>
      </c>
      <c r="AG28" s="969">
        <f>'2B Önk kiad'!AG36</f>
        <v>0</v>
      </c>
      <c r="AH28" s="969">
        <f t="shared" si="57"/>
        <v>0</v>
      </c>
    </row>
    <row r="29" spans="1:36" ht="30" x14ac:dyDescent="0.25">
      <c r="A29" s="590"/>
      <c r="B29" s="601" t="s">
        <v>694</v>
      </c>
      <c r="C29" s="594">
        <f>'2B Önk kiad'!C37</f>
        <v>0</v>
      </c>
      <c r="D29" s="594">
        <f>'2B Önk kiad'!D37</f>
        <v>0</v>
      </c>
      <c r="E29" s="594">
        <f>'2B Önk kiad'!E37</f>
        <v>10430</v>
      </c>
      <c r="F29" s="594">
        <f t="shared" si="8"/>
        <v>10430</v>
      </c>
      <c r="G29" s="594">
        <f>'2B Önk kiad'!G37</f>
        <v>0</v>
      </c>
      <c r="H29" s="594">
        <f>'2B Önk kiad'!H37</f>
        <v>0</v>
      </c>
      <c r="I29" s="594">
        <f>'2B Önk kiad'!I37</f>
        <v>311873</v>
      </c>
      <c r="J29" s="594">
        <f t="shared" si="9"/>
        <v>311873</v>
      </c>
      <c r="K29" s="594">
        <f>'2B Önk kiad'!K37</f>
        <v>0</v>
      </c>
      <c r="L29" s="594">
        <f>'2B Önk kiad'!L37</f>
        <v>0</v>
      </c>
      <c r="M29" s="594">
        <f>'2B Önk kiad'!M37</f>
        <v>11619</v>
      </c>
      <c r="N29" s="594">
        <f t="shared" si="47"/>
        <v>11619</v>
      </c>
      <c r="O29" s="594">
        <f>'2B Önk kiad'!O37</f>
        <v>0</v>
      </c>
      <c r="P29" s="594">
        <f>'2B Önk kiad'!P37</f>
        <v>0</v>
      </c>
      <c r="Q29" s="594">
        <f>'2B Önk kiad'!Q37</f>
        <v>311873</v>
      </c>
      <c r="R29" s="594">
        <f t="shared" si="49"/>
        <v>311873</v>
      </c>
      <c r="S29" s="969">
        <f>'2B Önk kiad'!S37</f>
        <v>0</v>
      </c>
      <c r="T29" s="969">
        <f>'2B Önk kiad'!T37</f>
        <v>0</v>
      </c>
      <c r="U29" s="969">
        <f>'2B Önk kiad'!U37</f>
        <v>17063</v>
      </c>
      <c r="V29" s="969">
        <f t="shared" si="51"/>
        <v>17063</v>
      </c>
      <c r="W29" s="594">
        <f>'2B Önk kiad'!W37</f>
        <v>0</v>
      </c>
      <c r="X29" s="594">
        <f>'2B Önk kiad'!X37</f>
        <v>0</v>
      </c>
      <c r="Y29" s="594">
        <f>'2B Önk kiad'!Y37</f>
        <v>149361</v>
      </c>
      <c r="Z29" s="594">
        <f t="shared" si="53"/>
        <v>149361</v>
      </c>
      <c r="AA29" s="594">
        <f>'2B Önk kiad'!AA37</f>
        <v>0</v>
      </c>
      <c r="AB29" s="594">
        <f>'2B Önk kiad'!AB37</f>
        <v>0</v>
      </c>
      <c r="AC29" s="594">
        <f>'2B Önk kiad'!AC37</f>
        <v>287390</v>
      </c>
      <c r="AD29" s="594">
        <f t="shared" si="55"/>
        <v>287390</v>
      </c>
      <c r="AE29" s="969">
        <f>'2B Önk kiad'!AE37</f>
        <v>0</v>
      </c>
      <c r="AF29" s="969">
        <f>'2B Önk kiad'!AF37</f>
        <v>0</v>
      </c>
      <c r="AG29" s="969">
        <f>'2B Önk kiad'!AG37</f>
        <v>500016</v>
      </c>
      <c r="AH29" s="969">
        <f t="shared" si="57"/>
        <v>500016</v>
      </c>
    </row>
    <row r="30" spans="1:36" ht="30" x14ac:dyDescent="0.25">
      <c r="A30" s="590"/>
      <c r="B30" s="601" t="s">
        <v>695</v>
      </c>
      <c r="C30" s="594">
        <f>'2B Önk kiad'!C39</f>
        <v>0</v>
      </c>
      <c r="D30" s="594">
        <f>'2B Önk kiad'!D39</f>
        <v>0</v>
      </c>
      <c r="E30" s="594">
        <f>'2B Önk kiad'!E39</f>
        <v>400000</v>
      </c>
      <c r="F30" s="594">
        <f t="shared" si="8"/>
        <v>400000</v>
      </c>
      <c r="G30" s="594">
        <f>'2B Önk kiad'!G39</f>
        <v>0</v>
      </c>
      <c r="H30" s="594">
        <f>'2B Önk kiad'!H39</f>
        <v>0</v>
      </c>
      <c r="I30" s="594">
        <f>'2B Önk kiad'!I39</f>
        <v>400000</v>
      </c>
      <c r="J30" s="594">
        <f t="shared" si="9"/>
        <v>400000</v>
      </c>
      <c r="K30" s="594">
        <f>'2B Önk kiad'!K39</f>
        <v>0</v>
      </c>
      <c r="L30" s="594">
        <f>'2B Önk kiad'!L39</f>
        <v>0</v>
      </c>
      <c r="M30" s="594">
        <f>'2B Önk kiad'!M39</f>
        <v>400000</v>
      </c>
      <c r="N30" s="594">
        <f t="shared" si="47"/>
        <v>400000</v>
      </c>
      <c r="O30" s="594">
        <f>'2B Önk kiad'!O39</f>
        <v>0</v>
      </c>
      <c r="P30" s="594">
        <f>'2B Önk kiad'!P39</f>
        <v>0</v>
      </c>
      <c r="Q30" s="594">
        <f>'2B Önk kiad'!Q39</f>
        <v>0</v>
      </c>
      <c r="R30" s="594">
        <f t="shared" si="49"/>
        <v>0</v>
      </c>
      <c r="S30" s="969">
        <f>'2B Önk kiad'!S39</f>
        <v>0</v>
      </c>
      <c r="T30" s="969">
        <f>'2B Önk kiad'!T39</f>
        <v>0</v>
      </c>
      <c r="U30" s="969">
        <f>'2B Önk kiad'!U39</f>
        <v>0</v>
      </c>
      <c r="V30" s="969">
        <f t="shared" si="51"/>
        <v>0</v>
      </c>
      <c r="W30" s="594">
        <f>'2B Önk kiad'!W39</f>
        <v>0</v>
      </c>
      <c r="X30" s="594">
        <f>'2B Önk kiad'!X39</f>
        <v>0</v>
      </c>
      <c r="Y30" s="594">
        <f>'2B Önk kiad'!Y39</f>
        <v>0</v>
      </c>
      <c r="Z30" s="594">
        <f t="shared" si="53"/>
        <v>0</v>
      </c>
      <c r="AA30" s="594">
        <f>'2B Önk kiad'!AA39</f>
        <v>0</v>
      </c>
      <c r="AB30" s="594">
        <f>'2B Önk kiad'!AB39</f>
        <v>0</v>
      </c>
      <c r="AC30" s="594">
        <f>'2B Önk kiad'!AC39</f>
        <v>0</v>
      </c>
      <c r="AD30" s="594">
        <f t="shared" si="55"/>
        <v>0</v>
      </c>
      <c r="AE30" s="969">
        <f>'2B Önk kiad'!AE39</f>
        <v>0</v>
      </c>
      <c r="AF30" s="969">
        <f>'2B Önk kiad'!AF39</f>
        <v>0</v>
      </c>
      <c r="AG30" s="969">
        <f>'2B Önk kiad'!AG39</f>
        <v>0</v>
      </c>
      <c r="AH30" s="969">
        <f t="shared" si="57"/>
        <v>0</v>
      </c>
    </row>
    <row r="31" spans="1:36" x14ac:dyDescent="0.25">
      <c r="A31" s="590"/>
      <c r="B31" s="601" t="s">
        <v>696</v>
      </c>
      <c r="C31" s="594">
        <f>'2B Önk kiad'!C40</f>
        <v>0</v>
      </c>
      <c r="D31" s="594">
        <f>'2B Önk kiad'!D40</f>
        <v>0</v>
      </c>
      <c r="E31" s="594">
        <f>'2B Önk kiad'!E40</f>
        <v>0</v>
      </c>
      <c r="F31" s="594">
        <f t="shared" si="8"/>
        <v>0</v>
      </c>
      <c r="G31" s="594">
        <f>'2B Önk kiad'!G40</f>
        <v>0</v>
      </c>
      <c r="H31" s="594">
        <f>'2B Önk kiad'!H40</f>
        <v>0</v>
      </c>
      <c r="I31" s="594">
        <f>'2B Önk kiad'!I40</f>
        <v>0</v>
      </c>
      <c r="J31" s="594">
        <f t="shared" si="9"/>
        <v>0</v>
      </c>
      <c r="K31" s="594">
        <f>'2B Önk kiad'!K40</f>
        <v>0</v>
      </c>
      <c r="L31" s="594">
        <f>'2B Önk kiad'!L40</f>
        <v>0</v>
      </c>
      <c r="M31" s="594">
        <f>'2B Önk kiad'!M40</f>
        <v>0</v>
      </c>
      <c r="N31" s="594">
        <f t="shared" si="47"/>
        <v>0</v>
      </c>
      <c r="O31" s="594">
        <f>'2B Önk kiad'!O40</f>
        <v>0</v>
      </c>
      <c r="P31" s="594">
        <f>'2B Önk kiad'!P40</f>
        <v>0</v>
      </c>
      <c r="Q31" s="594">
        <f>'2B Önk kiad'!Q40</f>
        <v>0</v>
      </c>
      <c r="R31" s="594">
        <f t="shared" si="49"/>
        <v>0</v>
      </c>
      <c r="S31" s="969">
        <f>'2B Önk kiad'!S40</f>
        <v>0</v>
      </c>
      <c r="T31" s="969">
        <f>'2B Önk kiad'!T40</f>
        <v>0</v>
      </c>
      <c r="U31" s="969">
        <f>'2B Önk kiad'!U40</f>
        <v>0</v>
      </c>
      <c r="V31" s="969">
        <f t="shared" si="51"/>
        <v>0</v>
      </c>
      <c r="W31" s="594">
        <f>'2B Önk kiad'!W40</f>
        <v>0</v>
      </c>
      <c r="X31" s="594">
        <f>'2B Önk kiad'!X40</f>
        <v>0</v>
      </c>
      <c r="Y31" s="594">
        <f>'2B Önk kiad'!Y40</f>
        <v>0</v>
      </c>
      <c r="Z31" s="594">
        <f t="shared" si="53"/>
        <v>0</v>
      </c>
      <c r="AA31" s="594">
        <f>'2B Önk kiad'!AA40</f>
        <v>0</v>
      </c>
      <c r="AB31" s="594">
        <f>'2B Önk kiad'!AB40</f>
        <v>0</v>
      </c>
      <c r="AC31" s="594">
        <f>'2B Önk kiad'!AC40</f>
        <v>0</v>
      </c>
      <c r="AD31" s="594">
        <f t="shared" si="55"/>
        <v>0</v>
      </c>
      <c r="AE31" s="969">
        <f>'2B Önk kiad'!AE40</f>
        <v>0</v>
      </c>
      <c r="AF31" s="969">
        <f>'2B Önk kiad'!AF40</f>
        <v>0</v>
      </c>
      <c r="AG31" s="969">
        <f>'2B Önk kiad'!AG40</f>
        <v>0</v>
      </c>
      <c r="AH31" s="969">
        <f t="shared" si="57"/>
        <v>0</v>
      </c>
    </row>
    <row r="32" spans="1:36" x14ac:dyDescent="0.25">
      <c r="A32" s="586" t="s">
        <v>322</v>
      </c>
      <c r="B32" s="587" t="s">
        <v>600</v>
      </c>
      <c r="C32" s="600">
        <f t="shared" ref="C32:E32" si="66">SUM(C33:C34)</f>
        <v>0</v>
      </c>
      <c r="D32" s="600">
        <f t="shared" si="66"/>
        <v>0</v>
      </c>
      <c r="E32" s="600">
        <f t="shared" si="66"/>
        <v>0</v>
      </c>
      <c r="F32" s="600">
        <f t="shared" si="8"/>
        <v>0</v>
      </c>
      <c r="G32" s="600">
        <f t="shared" ref="G32:I32" si="67">SUM(G33:G34)</f>
        <v>0</v>
      </c>
      <c r="H32" s="600">
        <f t="shared" si="67"/>
        <v>0</v>
      </c>
      <c r="I32" s="600">
        <f t="shared" si="67"/>
        <v>0</v>
      </c>
      <c r="J32" s="600">
        <f t="shared" si="9"/>
        <v>0</v>
      </c>
      <c r="K32" s="600">
        <f t="shared" ref="K32:M32" si="68">SUM(K33:K34)</f>
        <v>0</v>
      </c>
      <c r="L32" s="600">
        <f t="shared" si="68"/>
        <v>0</v>
      </c>
      <c r="M32" s="600">
        <f t="shared" si="68"/>
        <v>0</v>
      </c>
      <c r="N32" s="600">
        <f t="shared" si="47"/>
        <v>0</v>
      </c>
      <c r="O32" s="600">
        <f t="shared" ref="O32:Q32" si="69">SUM(O33:O34)</f>
        <v>0</v>
      </c>
      <c r="P32" s="600">
        <f t="shared" si="69"/>
        <v>0</v>
      </c>
      <c r="Q32" s="600">
        <f t="shared" si="69"/>
        <v>0</v>
      </c>
      <c r="R32" s="600">
        <f t="shared" si="49"/>
        <v>0</v>
      </c>
      <c r="S32" s="600">
        <f t="shared" ref="S32:U32" si="70">SUM(S33:S34)</f>
        <v>0</v>
      </c>
      <c r="T32" s="600">
        <f t="shared" si="70"/>
        <v>0</v>
      </c>
      <c r="U32" s="600">
        <f t="shared" si="70"/>
        <v>0</v>
      </c>
      <c r="V32" s="600">
        <f t="shared" si="51"/>
        <v>0</v>
      </c>
      <c r="W32" s="600">
        <f t="shared" ref="W32:Y32" si="71">SUM(W33:W34)</f>
        <v>0</v>
      </c>
      <c r="X32" s="600">
        <f t="shared" si="71"/>
        <v>0</v>
      </c>
      <c r="Y32" s="600">
        <f t="shared" si="71"/>
        <v>0</v>
      </c>
      <c r="Z32" s="600">
        <f t="shared" si="53"/>
        <v>0</v>
      </c>
      <c r="AA32" s="600">
        <f t="shared" ref="AA32:AC32" si="72">SUM(AA33:AA34)</f>
        <v>0</v>
      </c>
      <c r="AB32" s="600">
        <f t="shared" si="72"/>
        <v>0</v>
      </c>
      <c r="AC32" s="600">
        <f t="shared" si="72"/>
        <v>0</v>
      </c>
      <c r="AD32" s="600">
        <f t="shared" si="55"/>
        <v>0</v>
      </c>
      <c r="AE32" s="600">
        <f t="shared" ref="AE32:AG32" si="73">SUM(AE33:AE34)</f>
        <v>0</v>
      </c>
      <c r="AF32" s="600">
        <f t="shared" si="73"/>
        <v>0</v>
      </c>
      <c r="AG32" s="600">
        <f t="shared" si="73"/>
        <v>0</v>
      </c>
      <c r="AH32" s="600">
        <f t="shared" si="57"/>
        <v>0</v>
      </c>
    </row>
    <row r="33" spans="1:34" x14ac:dyDescent="0.25">
      <c r="A33" s="590"/>
      <c r="B33" s="601" t="s">
        <v>692</v>
      </c>
      <c r="C33" s="594">
        <f>'2B Önk kiad'!C42</f>
        <v>0</v>
      </c>
      <c r="D33" s="594">
        <f>'2B Önk kiad'!D42</f>
        <v>0</v>
      </c>
      <c r="E33" s="594">
        <f>'2B Önk kiad'!E42</f>
        <v>0</v>
      </c>
      <c r="F33" s="594">
        <f t="shared" si="8"/>
        <v>0</v>
      </c>
      <c r="G33" s="594">
        <f>'2B Önk kiad'!G42</f>
        <v>0</v>
      </c>
      <c r="H33" s="594">
        <f>'2B Önk kiad'!H42</f>
        <v>0</v>
      </c>
      <c r="I33" s="594">
        <f>'2B Önk kiad'!I42</f>
        <v>0</v>
      </c>
      <c r="J33" s="594">
        <f t="shared" si="9"/>
        <v>0</v>
      </c>
      <c r="K33" s="594">
        <f>'2B Önk kiad'!K42</f>
        <v>0</v>
      </c>
      <c r="L33" s="594">
        <f>'2B Önk kiad'!L42</f>
        <v>0</v>
      </c>
      <c r="M33" s="594">
        <f>'2B Önk kiad'!M42</f>
        <v>0</v>
      </c>
      <c r="N33" s="594">
        <f t="shared" si="47"/>
        <v>0</v>
      </c>
      <c r="O33" s="594">
        <f>'2B Önk kiad'!O42</f>
        <v>0</v>
      </c>
      <c r="P33" s="594">
        <f>'2B Önk kiad'!P42</f>
        <v>0</v>
      </c>
      <c r="Q33" s="594">
        <f>'2B Önk kiad'!Q42</f>
        <v>0</v>
      </c>
      <c r="R33" s="594">
        <f t="shared" si="49"/>
        <v>0</v>
      </c>
      <c r="S33" s="969">
        <f>'2B Önk kiad'!S42</f>
        <v>0</v>
      </c>
      <c r="T33" s="969">
        <f>'2B Önk kiad'!T42</f>
        <v>0</v>
      </c>
      <c r="U33" s="969">
        <f>'2B Önk kiad'!U42</f>
        <v>0</v>
      </c>
      <c r="V33" s="969">
        <f t="shared" si="51"/>
        <v>0</v>
      </c>
      <c r="W33" s="594">
        <f>'2B Önk kiad'!W42</f>
        <v>0</v>
      </c>
      <c r="X33" s="594">
        <f>'2B Önk kiad'!X42</f>
        <v>0</v>
      </c>
      <c r="Y33" s="594">
        <f>'2B Önk kiad'!Y42</f>
        <v>0</v>
      </c>
      <c r="Z33" s="594">
        <f t="shared" si="53"/>
        <v>0</v>
      </c>
      <c r="AA33" s="594">
        <f>'2B Önk kiad'!AA42</f>
        <v>0</v>
      </c>
      <c r="AB33" s="594">
        <f>'2B Önk kiad'!AB42</f>
        <v>0</v>
      </c>
      <c r="AC33" s="594">
        <f>'2B Önk kiad'!AC42</f>
        <v>0</v>
      </c>
      <c r="AD33" s="594">
        <f t="shared" si="55"/>
        <v>0</v>
      </c>
      <c r="AE33" s="969">
        <f>'2B Önk kiad'!AE42</f>
        <v>0</v>
      </c>
      <c r="AF33" s="969">
        <f>'2B Önk kiad'!AF42</f>
        <v>0</v>
      </c>
      <c r="AG33" s="969">
        <f>'2B Önk kiad'!AG42</f>
        <v>0</v>
      </c>
      <c r="AH33" s="969">
        <f t="shared" si="57"/>
        <v>0</v>
      </c>
    </row>
    <row r="34" spans="1:34" x14ac:dyDescent="0.25">
      <c r="A34" s="590"/>
      <c r="B34" s="601" t="s">
        <v>693</v>
      </c>
      <c r="C34" s="594">
        <f>'2B Önk kiad'!C43</f>
        <v>0</v>
      </c>
      <c r="D34" s="594">
        <f>'2B Önk kiad'!D43</f>
        <v>0</v>
      </c>
      <c r="E34" s="594">
        <f>'2B Önk kiad'!E43</f>
        <v>0</v>
      </c>
      <c r="F34" s="594">
        <f t="shared" si="8"/>
        <v>0</v>
      </c>
      <c r="G34" s="594">
        <f>'2B Önk kiad'!G43</f>
        <v>0</v>
      </c>
      <c r="H34" s="594">
        <f>'2B Önk kiad'!H43</f>
        <v>0</v>
      </c>
      <c r="I34" s="594">
        <f>'2B Önk kiad'!I43</f>
        <v>0</v>
      </c>
      <c r="J34" s="594">
        <f t="shared" si="9"/>
        <v>0</v>
      </c>
      <c r="K34" s="594">
        <f>'2B Önk kiad'!K43</f>
        <v>0</v>
      </c>
      <c r="L34" s="594">
        <f>'2B Önk kiad'!L43</f>
        <v>0</v>
      </c>
      <c r="M34" s="594">
        <f>'2B Önk kiad'!M43</f>
        <v>0</v>
      </c>
      <c r="N34" s="594">
        <f t="shared" si="47"/>
        <v>0</v>
      </c>
      <c r="O34" s="594">
        <f>'2B Önk kiad'!O43</f>
        <v>0</v>
      </c>
      <c r="P34" s="594">
        <f>'2B Önk kiad'!P43</f>
        <v>0</v>
      </c>
      <c r="Q34" s="594">
        <f>'2B Önk kiad'!Q43</f>
        <v>0</v>
      </c>
      <c r="R34" s="594">
        <f t="shared" si="49"/>
        <v>0</v>
      </c>
      <c r="S34" s="969">
        <f>'2B Önk kiad'!S43</f>
        <v>0</v>
      </c>
      <c r="T34" s="969">
        <f>'2B Önk kiad'!T43</f>
        <v>0</v>
      </c>
      <c r="U34" s="969">
        <f>'2B Önk kiad'!U43</f>
        <v>0</v>
      </c>
      <c r="V34" s="969">
        <f t="shared" si="51"/>
        <v>0</v>
      </c>
      <c r="W34" s="594">
        <f>'2B Önk kiad'!W43</f>
        <v>0</v>
      </c>
      <c r="X34" s="594">
        <f>'2B Önk kiad'!X43</f>
        <v>0</v>
      </c>
      <c r="Y34" s="594">
        <f>'2B Önk kiad'!Y43</f>
        <v>0</v>
      </c>
      <c r="Z34" s="594">
        <f t="shared" si="53"/>
        <v>0</v>
      </c>
      <c r="AA34" s="594">
        <f>'2B Önk kiad'!AA43</f>
        <v>0</v>
      </c>
      <c r="AB34" s="594">
        <f>'2B Önk kiad'!AB43</f>
        <v>0</v>
      </c>
      <c r="AC34" s="594">
        <f>'2B Önk kiad'!AC43</f>
        <v>0</v>
      </c>
      <c r="AD34" s="594">
        <f t="shared" si="55"/>
        <v>0</v>
      </c>
      <c r="AE34" s="969">
        <f>'2B Önk kiad'!AE43</f>
        <v>0</v>
      </c>
      <c r="AF34" s="969">
        <f>'2B Önk kiad'!AF43</f>
        <v>0</v>
      </c>
      <c r="AG34" s="969">
        <f>'2B Önk kiad'!AG43</f>
        <v>0</v>
      </c>
      <c r="AH34" s="969">
        <f t="shared" si="57"/>
        <v>0</v>
      </c>
    </row>
    <row r="35" spans="1:34" x14ac:dyDescent="0.25">
      <c r="A35" s="602"/>
      <c r="B35" s="603" t="s">
        <v>344</v>
      </c>
      <c r="C35" s="604">
        <f t="shared" ref="C35:E35" si="74">C24+C25</f>
        <v>4626268.9400000004</v>
      </c>
      <c r="D35" s="604">
        <f t="shared" si="74"/>
        <v>1334244.5</v>
      </c>
      <c r="E35" s="604">
        <f t="shared" si="74"/>
        <v>414720</v>
      </c>
      <c r="F35" s="604">
        <f>SUM(C35:E35)+1</f>
        <v>6375234.4400000004</v>
      </c>
      <c r="G35" s="604">
        <f t="shared" ref="G35:I35" si="75">G24+G25</f>
        <v>5329671</v>
      </c>
      <c r="H35" s="604" t="e">
        <f>H24+H25</f>
        <v>#REF!</v>
      </c>
      <c r="I35" s="604" t="e">
        <f t="shared" si="75"/>
        <v>#REF!</v>
      </c>
      <c r="J35" s="604" t="e">
        <f t="shared" si="9"/>
        <v>#REF!</v>
      </c>
      <c r="K35" s="604" t="e">
        <f t="shared" ref="K35" si="76">K24+K25</f>
        <v>#REF!</v>
      </c>
      <c r="L35" s="604" t="e">
        <f>L24+L25</f>
        <v>#REF!</v>
      </c>
      <c r="M35" s="604" t="e">
        <f t="shared" ref="M35" si="77">M24+M25</f>
        <v>#REF!</v>
      </c>
      <c r="N35" s="604" t="e">
        <f t="shared" si="47"/>
        <v>#REF!</v>
      </c>
      <c r="O35" s="604">
        <f t="shared" ref="O35" si="78">O24+O25</f>
        <v>4508290</v>
      </c>
      <c r="P35" s="604">
        <f>P24+P25</f>
        <v>1645849</v>
      </c>
      <c r="Q35" s="604">
        <f t="shared" ref="Q35" si="79">Q24+Q25</f>
        <v>315910</v>
      </c>
      <c r="R35" s="604">
        <f t="shared" si="49"/>
        <v>6470049</v>
      </c>
      <c r="S35" s="604">
        <f t="shared" ref="S35" si="80">S24+S25</f>
        <v>4788751.4243149608</v>
      </c>
      <c r="T35" s="604">
        <f>T24+T25</f>
        <v>962879.41999999993</v>
      </c>
      <c r="U35" s="604">
        <f t="shared" ref="U35" si="81">U24+U25</f>
        <v>20340</v>
      </c>
      <c r="V35" s="604">
        <f>SUM(S35:U35)</f>
        <v>5771970.8443149608</v>
      </c>
      <c r="W35" s="604">
        <f t="shared" ref="W35" si="82">W24+W25</f>
        <v>5101121.33</v>
      </c>
      <c r="X35" s="604">
        <f>X24+X25</f>
        <v>1079409</v>
      </c>
      <c r="Y35" s="604">
        <f t="shared" ref="Y35" si="83">Y24+Y25</f>
        <v>152638</v>
      </c>
      <c r="Z35" s="604">
        <f>SUM(W35:Y35)</f>
        <v>6333168.3300000001</v>
      </c>
      <c r="AA35" s="604">
        <f t="shared" ref="AA35" si="84">AA24+AA25</f>
        <v>5136690.33</v>
      </c>
      <c r="AB35" s="604">
        <f>AB24+AB25</f>
        <v>1050650</v>
      </c>
      <c r="AC35" s="604">
        <f t="shared" ref="AC35" si="85">AC24+AC25</f>
        <v>290667</v>
      </c>
      <c r="AD35" s="604">
        <f>SUM(AA35:AC35)</f>
        <v>6478007.3300000001</v>
      </c>
      <c r="AE35" s="604">
        <f t="shared" ref="AE35" si="86">AE24+AE25</f>
        <v>5421015.6799999997</v>
      </c>
      <c r="AF35" s="604">
        <f>AF24+AF25</f>
        <v>1125670</v>
      </c>
      <c r="AG35" s="604">
        <f t="shared" ref="AG35" si="87">AG24+AG25</f>
        <v>503293</v>
      </c>
      <c r="AH35" s="604">
        <f>SUM(AE35:AG35)</f>
        <v>7049978.6799999997</v>
      </c>
    </row>
    <row r="36" spans="1:34" x14ac:dyDescent="0.25">
      <c r="K36" s="605"/>
      <c r="O36" s="605"/>
      <c r="S36" s="605"/>
      <c r="W36" s="605"/>
      <c r="AA36" s="605"/>
      <c r="AE36" s="605"/>
      <c r="AH36" s="605">
        <f>+AH35-AD35</f>
        <v>571971.34999999963</v>
      </c>
    </row>
    <row r="37" spans="1:34" x14ac:dyDescent="0.25">
      <c r="AH37" s="580">
        <f>6905378-6478007</f>
        <v>427371</v>
      </c>
    </row>
    <row r="50" spans="11:31" x14ac:dyDescent="0.25">
      <c r="K50" s="605"/>
      <c r="O50" s="605"/>
      <c r="S50" s="605"/>
      <c r="W50" s="605"/>
      <c r="AA50" s="605"/>
      <c r="AE50" s="605"/>
    </row>
    <row r="51" spans="11:31" x14ac:dyDescent="0.25">
      <c r="K51" s="605"/>
      <c r="O51" s="605"/>
      <c r="S51" s="605"/>
      <c r="W51" s="605"/>
      <c r="AA51" s="605"/>
      <c r="AE51" s="605"/>
    </row>
    <row r="52" spans="11:31" x14ac:dyDescent="0.25">
      <c r="K52" s="605"/>
      <c r="O52" s="605"/>
      <c r="S52" s="605"/>
      <c r="W52" s="605"/>
      <c r="AA52" s="605"/>
      <c r="AE52" s="605"/>
    </row>
  </sheetData>
  <mergeCells count="10">
    <mergeCell ref="AE2:AH2"/>
    <mergeCell ref="AA2:AD2"/>
    <mergeCell ref="A2:A3"/>
    <mergeCell ref="C2:F2"/>
    <mergeCell ref="G2:J2"/>
    <mergeCell ref="W2:Z2"/>
    <mergeCell ref="O2:R2"/>
    <mergeCell ref="S2:V2"/>
    <mergeCell ref="K2:N2"/>
    <mergeCell ref="B2:B3"/>
  </mergeCells>
  <printOptions horizontalCentered="1"/>
  <pageMargins left="0.23622047244094491" right="0.15748031496062992" top="1.1811023622047245" bottom="0.74803149606299213" header="0.31496062992125984" footer="0.31496062992125984"/>
  <pageSetup paperSize="9" scale="46" fitToHeight="0" orientation="portrait" r:id="rId1"/>
  <headerFooter>
    <oddHeader>&amp;L1/B.  melléklet a ...../2020. (.......) önkormányzati rendelethez&amp;C&amp;"-,Félkövér"&amp;16
Az Önkormányzat 2019. évi összevont kiadásai jogcímenként és feladatonként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72"/>
  <sheetViews>
    <sheetView view="pageBreakPreview" topLeftCell="A64" zoomScale="90" zoomScaleNormal="100" zoomScaleSheetLayoutView="90" workbookViewId="0">
      <selection activeCell="AH95" sqref="AH95"/>
    </sheetView>
  </sheetViews>
  <sheetFormatPr defaultRowHeight="15" x14ac:dyDescent="0.25"/>
  <cols>
    <col min="1" max="1" width="5.140625" style="41" customWidth="1"/>
    <col min="2" max="2" width="40.140625" style="42" customWidth="1"/>
    <col min="3" max="3" width="8.140625" style="241" hidden="1" customWidth="1"/>
    <col min="4" max="4" width="9.28515625" style="241" hidden="1" customWidth="1"/>
    <col min="5" max="5" width="8.28515625" style="241" hidden="1" customWidth="1"/>
    <col min="6" max="6" width="11.7109375" hidden="1" customWidth="1"/>
    <col min="7" max="7" width="8.7109375" style="241" hidden="1" customWidth="1"/>
    <col min="8" max="8" width="8.85546875" style="241" hidden="1" customWidth="1"/>
    <col min="9" max="9" width="8.7109375" style="241" hidden="1" customWidth="1"/>
    <col min="10" max="10" width="11.7109375" hidden="1" customWidth="1"/>
    <col min="11" max="12" width="9" hidden="1" customWidth="1"/>
    <col min="13" max="13" width="8.28515625" hidden="1" customWidth="1"/>
    <col min="14" max="14" width="13.7109375" hidden="1" customWidth="1"/>
    <col min="15" max="16" width="9" hidden="1" customWidth="1"/>
    <col min="17" max="17" width="8.28515625" hidden="1" customWidth="1"/>
    <col min="18" max="18" width="13.7109375" hidden="1" customWidth="1"/>
    <col min="19" max="19" width="8.85546875" customWidth="1"/>
    <col min="20" max="20" width="10.28515625" customWidth="1"/>
    <col min="21" max="21" width="8.28515625" customWidth="1"/>
    <col min="22" max="22" width="15.28515625" customWidth="1"/>
    <col min="23" max="23" width="8.85546875" hidden="1" customWidth="1"/>
    <col min="24" max="24" width="10.28515625" hidden="1" customWidth="1"/>
    <col min="25" max="25" width="8.28515625" hidden="1" customWidth="1"/>
    <col min="26" max="26" width="15.28515625" hidden="1" customWidth="1"/>
    <col min="30" max="30" width="10.7109375" customWidth="1"/>
    <col min="34" max="34" width="10.7109375" customWidth="1"/>
  </cols>
  <sheetData>
    <row r="1" spans="1:34" x14ac:dyDescent="0.25">
      <c r="F1" s="32"/>
      <c r="N1" s="32"/>
      <c r="R1" s="32"/>
      <c r="V1" s="32"/>
      <c r="Z1" s="423"/>
      <c r="AD1" s="423"/>
      <c r="AH1" s="423" t="s">
        <v>302</v>
      </c>
    </row>
    <row r="2" spans="1:34" s="31" customFormat="1" ht="45.75" customHeight="1" x14ac:dyDescent="0.25">
      <c r="A2" s="993" t="s">
        <v>305</v>
      </c>
      <c r="B2" s="995" t="s">
        <v>306</v>
      </c>
      <c r="C2" s="393" t="s">
        <v>1377</v>
      </c>
      <c r="D2" s="393" t="s">
        <v>1378</v>
      </c>
      <c r="E2" s="393" t="s">
        <v>1379</v>
      </c>
      <c r="F2" s="398" t="s">
        <v>345</v>
      </c>
      <c r="G2" s="393" t="s">
        <v>1377</v>
      </c>
      <c r="H2" s="393" t="s">
        <v>1378</v>
      </c>
      <c r="I2" s="393" t="s">
        <v>1379</v>
      </c>
      <c r="J2" s="520" t="s">
        <v>345</v>
      </c>
      <c r="K2" s="393" t="s">
        <v>1377</v>
      </c>
      <c r="L2" s="393" t="s">
        <v>1378</v>
      </c>
      <c r="M2" s="393" t="s">
        <v>1379</v>
      </c>
      <c r="N2" s="520" t="s">
        <v>345</v>
      </c>
      <c r="O2" s="393" t="s">
        <v>1377</v>
      </c>
      <c r="P2" s="393" t="s">
        <v>1378</v>
      </c>
      <c r="Q2" s="393" t="s">
        <v>1379</v>
      </c>
      <c r="R2" s="640" t="s">
        <v>345</v>
      </c>
      <c r="S2" s="393" t="s">
        <v>1377</v>
      </c>
      <c r="T2" s="393" t="s">
        <v>1378</v>
      </c>
      <c r="U2" s="393" t="s">
        <v>1379</v>
      </c>
      <c r="V2" s="640" t="s">
        <v>345</v>
      </c>
      <c r="W2" s="393" t="s">
        <v>1377</v>
      </c>
      <c r="X2" s="393" t="s">
        <v>1378</v>
      </c>
      <c r="Y2" s="393" t="s">
        <v>1379</v>
      </c>
      <c r="Z2" s="856" t="s">
        <v>345</v>
      </c>
      <c r="AA2" s="393" t="s">
        <v>1377</v>
      </c>
      <c r="AB2" s="393" t="s">
        <v>1378</v>
      </c>
      <c r="AC2" s="393" t="s">
        <v>1379</v>
      </c>
      <c r="AD2" s="878" t="s">
        <v>345</v>
      </c>
      <c r="AE2" s="393" t="s">
        <v>1377</v>
      </c>
      <c r="AF2" s="393" t="s">
        <v>1378</v>
      </c>
      <c r="AG2" s="393" t="s">
        <v>1379</v>
      </c>
      <c r="AH2" s="896" t="s">
        <v>345</v>
      </c>
    </row>
    <row r="3" spans="1:34" s="31" customFormat="1" ht="50.25" customHeight="1" x14ac:dyDescent="0.25">
      <c r="A3" s="994"/>
      <c r="B3" s="996"/>
      <c r="C3" s="997" t="s">
        <v>1494</v>
      </c>
      <c r="D3" s="994"/>
      <c r="E3" s="994"/>
      <c r="F3" s="994"/>
      <c r="G3" s="997" t="s">
        <v>1517</v>
      </c>
      <c r="H3" s="994"/>
      <c r="I3" s="994"/>
      <c r="J3" s="994"/>
      <c r="K3" s="997" t="s">
        <v>1518</v>
      </c>
      <c r="L3" s="994"/>
      <c r="M3" s="994"/>
      <c r="N3" s="994"/>
      <c r="O3" s="988" t="s">
        <v>1496</v>
      </c>
      <c r="P3" s="989"/>
      <c r="Q3" s="989"/>
      <c r="R3" s="990"/>
      <c r="S3" s="988" t="s">
        <v>1499</v>
      </c>
      <c r="T3" s="989"/>
      <c r="U3" s="989"/>
      <c r="V3" s="990"/>
      <c r="W3" s="988" t="s">
        <v>1714</v>
      </c>
      <c r="X3" s="989"/>
      <c r="Y3" s="989"/>
      <c r="Z3" s="990"/>
      <c r="AA3" s="988" t="s">
        <v>1723</v>
      </c>
      <c r="AB3" s="989"/>
      <c r="AC3" s="989"/>
      <c r="AD3" s="990"/>
      <c r="AE3" s="988" t="s">
        <v>1749</v>
      </c>
      <c r="AF3" s="989"/>
      <c r="AG3" s="989"/>
      <c r="AH3" s="990"/>
    </row>
    <row r="4" spans="1:34" s="31" customFormat="1" x14ac:dyDescent="0.25">
      <c r="A4" s="331"/>
      <c r="B4" s="332" t="s">
        <v>1039</v>
      </c>
      <c r="C4" s="374">
        <f>C5+C41+C86+C89</f>
        <v>242.5</v>
      </c>
      <c r="D4" s="416"/>
      <c r="E4" s="416"/>
      <c r="F4" s="401">
        <f>F5+F41+F86+F89+1</f>
        <v>6375234.4399999995</v>
      </c>
      <c r="G4" s="374">
        <f>G5+G41+G86+G89</f>
        <v>242.5</v>
      </c>
      <c r="H4" s="416"/>
      <c r="I4" s="416"/>
      <c r="J4" s="401">
        <f>J5+J41+J86+J89</f>
        <v>7504911.5</v>
      </c>
      <c r="K4" s="374" t="e">
        <f>K5+K41+K86+K89</f>
        <v>#REF!</v>
      </c>
      <c r="L4" s="416"/>
      <c r="M4" s="416"/>
      <c r="N4" s="401" t="e">
        <f>N5+N41+N86+N89</f>
        <v>#REF!</v>
      </c>
      <c r="O4" s="374">
        <f>O5+O41+O86+O89</f>
        <v>242.5</v>
      </c>
      <c r="P4" s="416"/>
      <c r="Q4" s="416"/>
      <c r="R4" s="401">
        <f>R5+R41+R86+R89</f>
        <v>6172301</v>
      </c>
      <c r="S4" s="374">
        <f>S5+S41+S86+S89</f>
        <v>329</v>
      </c>
      <c r="T4" s="416"/>
      <c r="U4" s="416"/>
      <c r="V4" s="401">
        <f>V5+V41+V86+V89</f>
        <v>5771970.6979999989</v>
      </c>
      <c r="W4" s="374">
        <f>W5+W41+W86+W89</f>
        <v>329</v>
      </c>
      <c r="X4" s="416"/>
      <c r="Y4" s="416"/>
      <c r="Z4" s="401">
        <f>Z5+Z41+Z86+Z89</f>
        <v>6333168.3300000001</v>
      </c>
      <c r="AA4" s="374">
        <f>AA5+AA41+AA86+AA89</f>
        <v>329</v>
      </c>
      <c r="AB4" s="416"/>
      <c r="AC4" s="416"/>
      <c r="AD4" s="401">
        <f>AD5+AD41+AD86+AD89</f>
        <v>6478007.3300000001</v>
      </c>
      <c r="AE4" s="984">
        <f>AE5+AE41+AE86+AE89</f>
        <v>329.25</v>
      </c>
      <c r="AF4" s="416"/>
      <c r="AG4" s="416"/>
      <c r="AH4" s="401">
        <f>AH5+AH41+AH86+AH89</f>
        <v>7049978.6799999997</v>
      </c>
    </row>
    <row r="5" spans="1:34" x14ac:dyDescent="0.25">
      <c r="A5" s="334" t="s">
        <v>309</v>
      </c>
      <c r="B5" s="335" t="s">
        <v>348</v>
      </c>
      <c r="C5" s="375">
        <f>SUM(C6:C40)</f>
        <v>236.5</v>
      </c>
      <c r="D5" s="375"/>
      <c r="E5" s="375"/>
      <c r="F5" s="336">
        <f>SUM(F6:F40)</f>
        <v>4626268.9399999995</v>
      </c>
      <c r="G5" s="375">
        <f>SUM(G6:G40)</f>
        <v>236.5</v>
      </c>
      <c r="H5" s="375"/>
      <c r="I5" s="375"/>
      <c r="J5" s="336">
        <f>SUM(J6:J40)</f>
        <v>5329263</v>
      </c>
      <c r="K5" s="375" t="e">
        <f>SUM(K6:K40)</f>
        <v>#REF!</v>
      </c>
      <c r="L5" s="375"/>
      <c r="M5" s="375"/>
      <c r="N5" s="336" t="e">
        <f>SUM(N6:N40)</f>
        <v>#REF!</v>
      </c>
      <c r="O5" s="375">
        <f>SUM(O6:O40)</f>
        <v>236.5</v>
      </c>
      <c r="P5" s="375"/>
      <c r="Q5" s="375"/>
      <c r="R5" s="336">
        <f>SUM(R6:R40)</f>
        <v>4913118</v>
      </c>
      <c r="S5" s="375">
        <f>SUM(S6:S40)</f>
        <v>322.5</v>
      </c>
      <c r="T5" s="375"/>
      <c r="U5" s="375"/>
      <c r="V5" s="336">
        <f>SUM(V6:V40)+1</f>
        <v>4608106.6979999989</v>
      </c>
      <c r="W5" s="375">
        <f>SUM(W6:W40)</f>
        <v>322.5</v>
      </c>
      <c r="X5" s="375"/>
      <c r="Y5" s="375"/>
      <c r="Z5" s="336">
        <f>SUM(Z6:Z40)+1</f>
        <v>4920476.33</v>
      </c>
      <c r="AA5" s="375">
        <f>SUM(AA6:AA40)</f>
        <v>322.5</v>
      </c>
      <c r="AB5" s="375"/>
      <c r="AC5" s="375"/>
      <c r="AD5" s="336">
        <f>SUM(AD6:AD40)+1</f>
        <v>4956044.33</v>
      </c>
      <c r="AE5" s="986">
        <f>SUM(AE6:AE40)</f>
        <v>322.75</v>
      </c>
      <c r="AF5" s="375"/>
      <c r="AG5" s="375"/>
      <c r="AH5" s="336">
        <f>SUM(AH6:AH40)</f>
        <v>5240369.68</v>
      </c>
    </row>
    <row r="6" spans="1:34" x14ac:dyDescent="0.25">
      <c r="A6" s="435" t="s">
        <v>1040</v>
      </c>
      <c r="B6" s="341" t="s">
        <v>698</v>
      </c>
      <c r="C6" s="376"/>
      <c r="D6" s="376"/>
      <c r="E6" s="376"/>
      <c r="F6" s="345">
        <f>'2C Önk bev kiad fel'!E7</f>
        <v>3994</v>
      </c>
      <c r="G6" s="376"/>
      <c r="H6" s="376"/>
      <c r="I6" s="376"/>
      <c r="J6" s="345">
        <f>'2C Önk bev kiad fel'!H7</f>
        <v>11035</v>
      </c>
      <c r="K6" s="376"/>
      <c r="L6" s="376"/>
      <c r="M6" s="376"/>
      <c r="N6" s="345">
        <f>'2C Önk bev kiad fel'!K7</f>
        <v>11035</v>
      </c>
      <c r="O6" s="376"/>
      <c r="P6" s="376"/>
      <c r="Q6" s="376"/>
      <c r="R6" s="345">
        <f>'2C Önk bev kiad fel'!N7</f>
        <v>6541</v>
      </c>
      <c r="S6" s="964"/>
      <c r="T6" s="964"/>
      <c r="U6" s="964"/>
      <c r="V6" s="924">
        <f>'2C Önk bev kiad fel'!Q7</f>
        <v>8510</v>
      </c>
      <c r="W6" s="376"/>
      <c r="X6" s="376"/>
      <c r="Y6" s="376"/>
      <c r="Z6" s="345">
        <f>'2C Önk bev kiad fel'!T7</f>
        <v>12023</v>
      </c>
      <c r="AA6" s="376"/>
      <c r="AB6" s="376"/>
      <c r="AC6" s="376"/>
      <c r="AD6" s="345">
        <f>'2C Önk bev kiad fel'!W7</f>
        <v>12023</v>
      </c>
      <c r="AE6" s="964"/>
      <c r="AF6" s="964"/>
      <c r="AG6" s="964"/>
      <c r="AH6" s="924">
        <f>'2C Önk bev kiad fel'!Z7</f>
        <v>12023</v>
      </c>
    </row>
    <row r="7" spans="1:34" x14ac:dyDescent="0.25">
      <c r="A7" s="435" t="s">
        <v>1041</v>
      </c>
      <c r="B7" s="341" t="s">
        <v>699</v>
      </c>
      <c r="C7" s="376"/>
      <c r="D7" s="376"/>
      <c r="E7" s="376"/>
      <c r="F7" s="345">
        <f>'2C Önk bev kiad fel'!E11</f>
        <v>2770</v>
      </c>
      <c r="G7" s="376"/>
      <c r="H7" s="376"/>
      <c r="I7" s="376"/>
      <c r="J7" s="345">
        <f>'2C Önk bev kiad fel'!H11</f>
        <v>1270</v>
      </c>
      <c r="K7" s="376"/>
      <c r="L7" s="376"/>
      <c r="M7" s="376"/>
      <c r="N7" s="345">
        <f>'2C Önk bev kiad fel'!K11</f>
        <v>1270</v>
      </c>
      <c r="O7" s="376"/>
      <c r="P7" s="376"/>
      <c r="Q7" s="376"/>
      <c r="R7" s="345">
        <f>'2C Önk bev kiad fel'!N11</f>
        <v>1270</v>
      </c>
      <c r="S7" s="964"/>
      <c r="T7" s="964"/>
      <c r="U7" s="964"/>
      <c r="V7" s="924">
        <f>'2C Önk bev kiad fel'!Q11</f>
        <v>21500</v>
      </c>
      <c r="W7" s="376"/>
      <c r="X7" s="376"/>
      <c r="Y7" s="376"/>
      <c r="Z7" s="345">
        <f>'2C Önk bev kiad fel'!T11</f>
        <v>21500</v>
      </c>
      <c r="AA7" s="376"/>
      <c r="AB7" s="376"/>
      <c r="AC7" s="376"/>
      <c r="AD7" s="345">
        <f>'2C Önk bev kiad fel'!W11</f>
        <v>21500</v>
      </c>
      <c r="AE7" s="964"/>
      <c r="AF7" s="964"/>
      <c r="AG7" s="964"/>
      <c r="AH7" s="924">
        <f>'2C Önk bev kiad fel'!Z11</f>
        <v>18604</v>
      </c>
    </row>
    <row r="8" spans="1:34" x14ac:dyDescent="0.25">
      <c r="A8" s="435" t="s">
        <v>1042</v>
      </c>
      <c r="B8" s="341" t="s">
        <v>700</v>
      </c>
      <c r="C8" s="376"/>
      <c r="D8" s="376"/>
      <c r="E8" s="376"/>
      <c r="F8" s="345">
        <f>'2C Önk bev kiad fel'!E14</f>
        <v>17969</v>
      </c>
      <c r="G8" s="376"/>
      <c r="H8" s="376"/>
      <c r="I8" s="376"/>
      <c r="J8" s="345">
        <f>'2C Önk bev kiad fel'!H14</f>
        <v>20244</v>
      </c>
      <c r="K8" s="376"/>
      <c r="L8" s="376"/>
      <c r="M8" s="376"/>
      <c r="N8" s="345">
        <f>'2C Önk bev kiad fel'!K14</f>
        <v>20244</v>
      </c>
      <c r="O8" s="376"/>
      <c r="P8" s="376"/>
      <c r="Q8" s="376"/>
      <c r="R8" s="345">
        <f>'2C Önk bev kiad fel'!N14</f>
        <v>18964</v>
      </c>
      <c r="S8" s="964"/>
      <c r="T8" s="964"/>
      <c r="U8" s="964"/>
      <c r="V8" s="924">
        <f>'2C Önk bev kiad fel'!Q14</f>
        <v>17524.868000000002</v>
      </c>
      <c r="W8" s="376"/>
      <c r="X8" s="376"/>
      <c r="Y8" s="376"/>
      <c r="Z8" s="345">
        <f>'2C Önk bev kiad fel'!T14</f>
        <v>17825</v>
      </c>
      <c r="AA8" s="376"/>
      <c r="AB8" s="376"/>
      <c r="AC8" s="376"/>
      <c r="AD8" s="345">
        <f>'2C Önk bev kiad fel'!W14</f>
        <v>22716</v>
      </c>
      <c r="AE8" s="964"/>
      <c r="AF8" s="964"/>
      <c r="AG8" s="964"/>
      <c r="AH8" s="924">
        <f>'2C Önk bev kiad fel'!Z14</f>
        <v>22716</v>
      </c>
    </row>
    <row r="9" spans="1:34" x14ac:dyDescent="0.25">
      <c r="A9" s="435" t="s">
        <v>1043</v>
      </c>
      <c r="B9" s="341" t="s">
        <v>658</v>
      </c>
      <c r="C9" s="376">
        <v>7</v>
      </c>
      <c r="D9" s="376"/>
      <c r="E9" s="376"/>
      <c r="F9" s="345">
        <f>'2C Önk bev kiad fel'!E19</f>
        <v>43832</v>
      </c>
      <c r="G9" s="376">
        <v>7</v>
      </c>
      <c r="H9" s="376"/>
      <c r="I9" s="376"/>
      <c r="J9" s="345">
        <f>'2C Önk bev kiad fel'!H19</f>
        <v>43832</v>
      </c>
      <c r="K9" s="376">
        <v>7</v>
      </c>
      <c r="L9" s="376"/>
      <c r="M9" s="376"/>
      <c r="N9" s="345" t="e">
        <f>'2C Önk bev kiad fel'!K19+'3B PH fel'!#REF!</f>
        <v>#REF!</v>
      </c>
      <c r="O9" s="376">
        <v>7</v>
      </c>
      <c r="P9" s="376"/>
      <c r="Q9" s="376"/>
      <c r="R9" s="345">
        <f>'2C Önk bev kiad fel'!N19</f>
        <v>1902</v>
      </c>
      <c r="S9" s="964">
        <v>7</v>
      </c>
      <c r="T9" s="964"/>
      <c r="U9" s="964"/>
      <c r="V9" s="924">
        <f>'2C Önk bev kiad fel'!Q19</f>
        <v>49738</v>
      </c>
      <c r="W9" s="376">
        <v>7</v>
      </c>
      <c r="X9" s="376"/>
      <c r="Y9" s="376"/>
      <c r="Z9" s="345">
        <f>'2C Önk bev kiad fel'!T19</f>
        <v>49738</v>
      </c>
      <c r="AA9" s="376">
        <v>7</v>
      </c>
      <c r="AB9" s="376"/>
      <c r="AC9" s="376"/>
      <c r="AD9" s="345">
        <f>'2C Önk bev kiad fel'!W19</f>
        <v>49738</v>
      </c>
      <c r="AE9" s="964">
        <f>'2C Önk bev kiad fel'!X19</f>
        <v>7</v>
      </c>
      <c r="AF9" s="964"/>
      <c r="AG9" s="964"/>
      <c r="AH9" s="924">
        <f>'2C Önk bev kiad fel'!Z19</f>
        <v>49738</v>
      </c>
    </row>
    <row r="10" spans="1:34" x14ac:dyDescent="0.25">
      <c r="A10" s="435" t="s">
        <v>1044</v>
      </c>
      <c r="B10" s="341" t="s">
        <v>1272</v>
      </c>
      <c r="C10" s="376"/>
      <c r="D10" s="376"/>
      <c r="E10" s="376"/>
      <c r="F10" s="345">
        <f>'2C Önk bev kiad fel'!E24</f>
        <v>1000</v>
      </c>
      <c r="G10" s="376"/>
      <c r="H10" s="376"/>
      <c r="I10" s="376"/>
      <c r="J10" s="345">
        <f>'2C Önk bev kiad fel'!H24</f>
        <v>1000</v>
      </c>
      <c r="K10" s="376"/>
      <c r="L10" s="376"/>
      <c r="M10" s="376"/>
      <c r="N10" s="345">
        <f>'2C Önk bev kiad fel'!K24</f>
        <v>1000</v>
      </c>
      <c r="O10" s="376"/>
      <c r="P10" s="376"/>
      <c r="Q10" s="376"/>
      <c r="R10" s="345">
        <f>'2C Önk bev kiad fel'!N24</f>
        <v>0</v>
      </c>
      <c r="S10" s="964"/>
      <c r="T10" s="964"/>
      <c r="U10" s="964"/>
      <c r="V10" s="924">
        <f>'2C Önk bev kiad fel'!Q24</f>
        <v>1000</v>
      </c>
      <c r="W10" s="376"/>
      <c r="X10" s="376"/>
      <c r="Y10" s="376"/>
      <c r="Z10" s="345">
        <f>'2C Önk bev kiad fel'!T24</f>
        <v>1000</v>
      </c>
      <c r="AA10" s="376"/>
      <c r="AB10" s="376"/>
      <c r="AC10" s="376"/>
      <c r="AD10" s="345">
        <f>'2C Önk bev kiad fel'!W24</f>
        <v>1000</v>
      </c>
      <c r="AE10" s="964"/>
      <c r="AF10" s="964"/>
      <c r="AG10" s="964"/>
      <c r="AH10" s="924">
        <f>'2C Önk bev kiad fel'!Z24</f>
        <v>1000</v>
      </c>
    </row>
    <row r="11" spans="1:34" x14ac:dyDescent="0.25">
      <c r="A11" s="435" t="s">
        <v>1045</v>
      </c>
      <c r="B11" s="341" t="s">
        <v>1655</v>
      </c>
      <c r="C11" s="376"/>
      <c r="D11" s="376"/>
      <c r="E11" s="376"/>
      <c r="F11" s="345">
        <f>'2C Önk bev kiad fel'!E26</f>
        <v>500</v>
      </c>
      <c r="G11" s="376"/>
      <c r="H11" s="376"/>
      <c r="I11" s="376"/>
      <c r="J11" s="345">
        <f>'2C Önk bev kiad fel'!H26</f>
        <v>500</v>
      </c>
      <c r="K11" s="376"/>
      <c r="L11" s="376"/>
      <c r="M11" s="376"/>
      <c r="N11" s="345">
        <f>'2C Önk bev kiad fel'!K26</f>
        <v>500</v>
      </c>
      <c r="O11" s="376"/>
      <c r="P11" s="376"/>
      <c r="Q11" s="376"/>
      <c r="R11" s="345">
        <f>'2C Önk bev kiad fel'!N26</f>
        <v>0</v>
      </c>
      <c r="S11" s="964"/>
      <c r="T11" s="964"/>
      <c r="U11" s="964"/>
      <c r="V11" s="924">
        <f>'2C Önk bev kiad fel'!Q26</f>
        <v>500</v>
      </c>
      <c r="W11" s="376"/>
      <c r="X11" s="376"/>
      <c r="Y11" s="376"/>
      <c r="Z11" s="345">
        <f>'2C Önk bev kiad fel'!T26</f>
        <v>500</v>
      </c>
      <c r="AA11" s="376"/>
      <c r="AB11" s="376"/>
      <c r="AC11" s="376"/>
      <c r="AD11" s="345">
        <f>'2C Önk bev kiad fel'!W26</f>
        <v>500</v>
      </c>
      <c r="AE11" s="964"/>
      <c r="AF11" s="964"/>
      <c r="AG11" s="964"/>
      <c r="AH11" s="924">
        <f>'2C Önk bev kiad fel'!Z26</f>
        <v>500</v>
      </c>
    </row>
    <row r="12" spans="1:34" x14ac:dyDescent="0.25">
      <c r="A12" s="435" t="s">
        <v>1046</v>
      </c>
      <c r="B12" s="341" t="s">
        <v>701</v>
      </c>
      <c r="C12" s="376"/>
      <c r="D12" s="376"/>
      <c r="E12" s="376"/>
      <c r="F12" s="345">
        <f>'2C Önk bev kiad fel'!E28</f>
        <v>8793</v>
      </c>
      <c r="G12" s="376"/>
      <c r="H12" s="376"/>
      <c r="I12" s="376"/>
      <c r="J12" s="345">
        <f>+'3B PH fel'!J12</f>
        <v>4126</v>
      </c>
      <c r="K12" s="376"/>
      <c r="L12" s="376"/>
      <c r="M12" s="376"/>
      <c r="N12" s="345">
        <f>'2C Önk bev kiad fel'!K28</f>
        <v>0</v>
      </c>
      <c r="O12" s="376"/>
      <c r="P12" s="376"/>
      <c r="Q12" s="376"/>
      <c r="R12" s="345">
        <f>+'3B PH fel'!R12</f>
        <v>3508</v>
      </c>
      <c r="S12" s="964"/>
      <c r="T12" s="964"/>
      <c r="U12" s="964"/>
      <c r="V12" s="924">
        <f>+'3B PH fel'!V12</f>
        <v>8565</v>
      </c>
      <c r="W12" s="376"/>
      <c r="X12" s="376"/>
      <c r="Y12" s="376"/>
      <c r="Z12" s="345">
        <f>+'3B PH fel'!Z12</f>
        <v>12426</v>
      </c>
      <c r="AA12" s="376"/>
      <c r="AB12" s="376"/>
      <c r="AC12" s="376"/>
      <c r="AD12" s="345">
        <f>+'3B PH fel'!AD12</f>
        <v>12426</v>
      </c>
      <c r="AE12" s="964"/>
      <c r="AF12" s="964"/>
      <c r="AG12" s="964"/>
      <c r="AH12" s="924">
        <f>+'3B PH fel'!AH12</f>
        <v>16973</v>
      </c>
    </row>
    <row r="13" spans="1:34" x14ac:dyDescent="0.25">
      <c r="A13" s="435" t="s">
        <v>1047</v>
      </c>
      <c r="B13" s="341" t="s">
        <v>702</v>
      </c>
      <c r="C13" s="376"/>
      <c r="D13" s="376"/>
      <c r="E13" s="376"/>
      <c r="F13" s="345">
        <f>'2C Önk bev kiad fel'!E33+'5 GSZNR fel'!E161</f>
        <v>64109.7</v>
      </c>
      <c r="G13" s="376"/>
      <c r="H13" s="376"/>
      <c r="I13" s="376"/>
      <c r="J13" s="345">
        <f>'2C Önk bev kiad fel'!H33+'5 GSZNR fel'!H161</f>
        <v>65577</v>
      </c>
      <c r="K13" s="376"/>
      <c r="L13" s="376"/>
      <c r="M13" s="376"/>
      <c r="N13" s="345" t="e">
        <f>'2C Önk bev kiad fel'!K33+#REF!</f>
        <v>#REF!</v>
      </c>
      <c r="O13" s="376"/>
      <c r="P13" s="376"/>
      <c r="Q13" s="376"/>
      <c r="R13" s="345">
        <f>'2C Önk bev kiad fel'!N33+'5 GSZNR fel'!N161</f>
        <v>63008</v>
      </c>
      <c r="S13" s="964"/>
      <c r="T13" s="964"/>
      <c r="U13" s="964"/>
      <c r="V13" s="924">
        <f>'2C Önk bev kiad fel'!Q33+'5 GSZNR fel'!Q161</f>
        <v>88400</v>
      </c>
      <c r="W13" s="376"/>
      <c r="X13" s="376"/>
      <c r="Y13" s="376"/>
      <c r="Z13" s="345">
        <f>'2C Önk bev kiad fel'!T33+'5 GSZNR fel'!T161</f>
        <v>88400</v>
      </c>
      <c r="AA13" s="376"/>
      <c r="AB13" s="376"/>
      <c r="AC13" s="376"/>
      <c r="AD13" s="345">
        <f>'2C Önk bev kiad fel'!W33+'5 GSZNR fel'!W161</f>
        <v>100361</v>
      </c>
      <c r="AE13" s="964"/>
      <c r="AF13" s="964"/>
      <c r="AG13" s="964"/>
      <c r="AH13" s="924">
        <f>'2C Önk bev kiad fel'!Z33+'5 GSZNR fel'!Z161</f>
        <v>99069</v>
      </c>
    </row>
    <row r="14" spans="1:34" x14ac:dyDescent="0.25">
      <c r="A14" s="435" t="s">
        <v>1048</v>
      </c>
      <c r="B14" s="370" t="s">
        <v>703</v>
      </c>
      <c r="C14" s="376"/>
      <c r="D14" s="376"/>
      <c r="E14" s="376"/>
      <c r="F14" s="345">
        <f>'2C Önk bev kiad fel'!E37</f>
        <v>1000</v>
      </c>
      <c r="G14" s="376"/>
      <c r="H14" s="376"/>
      <c r="I14" s="376"/>
      <c r="J14" s="345">
        <f>'2C Önk bev kiad fel'!H37</f>
        <v>1000</v>
      </c>
      <c r="K14" s="376"/>
      <c r="L14" s="376"/>
      <c r="M14" s="376"/>
      <c r="N14" s="345">
        <f>'2C Önk bev kiad fel'!K37</f>
        <v>1000</v>
      </c>
      <c r="O14" s="376"/>
      <c r="P14" s="376"/>
      <c r="Q14" s="376"/>
      <c r="R14" s="345">
        <f>'2C Önk bev kiad fel'!N37</f>
        <v>450</v>
      </c>
      <c r="S14" s="964"/>
      <c r="T14" s="964"/>
      <c r="U14" s="964"/>
      <c r="V14" s="924">
        <f>'2C Önk bev kiad fel'!Q37</f>
        <v>5513</v>
      </c>
      <c r="W14" s="376"/>
      <c r="X14" s="376"/>
      <c r="Y14" s="376"/>
      <c r="Z14" s="345">
        <f>'2C Önk bev kiad fel'!T37</f>
        <v>8545</v>
      </c>
      <c r="AA14" s="376"/>
      <c r="AB14" s="376"/>
      <c r="AC14" s="376"/>
      <c r="AD14" s="345">
        <f>'2C Önk bev kiad fel'!W37</f>
        <v>8545</v>
      </c>
      <c r="AE14" s="964"/>
      <c r="AF14" s="964"/>
      <c r="AG14" s="964"/>
      <c r="AH14" s="924">
        <f>'2C Önk bev kiad fel'!Z37</f>
        <v>11545</v>
      </c>
    </row>
    <row r="15" spans="1:34" x14ac:dyDescent="0.25">
      <c r="A15" s="435" t="s">
        <v>1049</v>
      </c>
      <c r="B15" s="341" t="s">
        <v>704</v>
      </c>
      <c r="C15" s="376"/>
      <c r="D15" s="376"/>
      <c r="E15" s="376"/>
      <c r="F15" s="345">
        <f>'2C Önk bev kiad fel'!E40</f>
        <v>5347</v>
      </c>
      <c r="G15" s="376"/>
      <c r="H15" s="376"/>
      <c r="I15" s="376"/>
      <c r="J15" s="345">
        <f>'2C Önk bev kiad fel'!H40</f>
        <v>5347</v>
      </c>
      <c r="K15" s="376"/>
      <c r="L15" s="376"/>
      <c r="M15" s="376"/>
      <c r="N15" s="345">
        <f>'2C Önk bev kiad fel'!K40</f>
        <v>5347</v>
      </c>
      <c r="O15" s="376"/>
      <c r="P15" s="376"/>
      <c r="Q15" s="376"/>
      <c r="R15" s="345">
        <f>'2C Önk bev kiad fel'!N40</f>
        <v>6707</v>
      </c>
      <c r="S15" s="964"/>
      <c r="T15" s="964"/>
      <c r="U15" s="964"/>
      <c r="V15" s="924">
        <f>'2C Önk bev kiad fel'!Q40</f>
        <v>4331</v>
      </c>
      <c r="W15" s="376"/>
      <c r="X15" s="376"/>
      <c r="Y15" s="376"/>
      <c r="Z15" s="345">
        <f>'2C Önk bev kiad fel'!T40</f>
        <v>4331</v>
      </c>
      <c r="AA15" s="376"/>
      <c r="AB15" s="376"/>
      <c r="AC15" s="376"/>
      <c r="AD15" s="345">
        <f>'2C Önk bev kiad fel'!W40</f>
        <v>4331</v>
      </c>
      <c r="AE15" s="964"/>
      <c r="AF15" s="964"/>
      <c r="AG15" s="964"/>
      <c r="AH15" s="924">
        <f>'2C Önk bev kiad fel'!Z40</f>
        <v>3331</v>
      </c>
    </row>
    <row r="16" spans="1:34" x14ac:dyDescent="0.25">
      <c r="A16" s="435" t="s">
        <v>1050</v>
      </c>
      <c r="B16" s="341" t="s">
        <v>705</v>
      </c>
      <c r="C16" s="376">
        <v>5</v>
      </c>
      <c r="D16" s="376"/>
      <c r="E16" s="376"/>
      <c r="F16" s="345">
        <f>'2C Önk bev kiad fel'!E44+'5 GSZNR fel'!E165+'5 GSZNR fel'!E171</f>
        <v>2080619.64</v>
      </c>
      <c r="G16" s="376">
        <v>5</v>
      </c>
      <c r="H16" s="376"/>
      <c r="I16" s="376"/>
      <c r="J16" s="345">
        <f>'2C Önk bev kiad fel'!H44+'5 GSZNR fel'!H165+'5 GSZNR fel'!H171</f>
        <v>2661671</v>
      </c>
      <c r="K16" s="345" t="e">
        <f>'2C Önk bev kiad fel'!I44+#REF!+#REF!+#REF!+#REF!+#REF!</f>
        <v>#REF!</v>
      </c>
      <c r="L16" s="376"/>
      <c r="M16" s="376"/>
      <c r="N16" s="345" t="e">
        <f>'2C Önk bev kiad fel'!K44+#REF!+#REF!+#REF!+#REF!+#REF!</f>
        <v>#REF!</v>
      </c>
      <c r="O16" s="345"/>
      <c r="P16" s="376"/>
      <c r="Q16" s="376"/>
      <c r="R16" s="345">
        <f>'2C Önk bev kiad fel'!N44+'5 GSZNR fel'!N165+'5 GSZNR fel'!N171</f>
        <v>2430595</v>
      </c>
      <c r="S16" s="964">
        <f>9+11+9</f>
        <v>29</v>
      </c>
      <c r="T16" s="964"/>
      <c r="U16" s="964"/>
      <c r="V16" s="924">
        <f>'2C Önk bev kiad fel'!$Q$44+'5 GSZNR fel'!$Q$165+'5 GSZNR fel'!$Q$171</f>
        <v>977899</v>
      </c>
      <c r="W16" s="858">
        <f>9+11+9</f>
        <v>29</v>
      </c>
      <c r="X16" s="858"/>
      <c r="Y16" s="858"/>
      <c r="Z16" s="859">
        <f>'2C Önk bev kiad fel'!T44+'5 GSZNR fel'!T165+'5 GSZNR fel'!T171</f>
        <v>1013014</v>
      </c>
      <c r="AA16" s="858">
        <f>9+11+9</f>
        <v>29</v>
      </c>
      <c r="AB16" s="858"/>
      <c r="AC16" s="858"/>
      <c r="AD16" s="859">
        <f>'2C Önk bev kiad fel'!W44+'5 GSZNR fel'!W165+'5 GSZNR fel'!W171</f>
        <v>934861</v>
      </c>
      <c r="AE16" s="964">
        <f>'2C Önk bev kiad fel'!X44+'5 GSZNR fel'!X165+'5 GSZNR fel'!X171</f>
        <v>24</v>
      </c>
      <c r="AF16" s="964"/>
      <c r="AG16" s="964"/>
      <c r="AH16" s="924">
        <f>'2C Önk bev kiad fel'!Z44+'5 GSZNR fel'!Z165+'5 GSZNR fel'!Z171</f>
        <v>1099553</v>
      </c>
    </row>
    <row r="17" spans="1:34" x14ac:dyDescent="0.25">
      <c r="A17" s="435" t="s">
        <v>1051</v>
      </c>
      <c r="B17" s="341" t="s">
        <v>1529</v>
      </c>
      <c r="C17" s="376"/>
      <c r="D17" s="376"/>
      <c r="E17" s="376"/>
      <c r="F17" s="345"/>
      <c r="G17" s="376"/>
      <c r="H17" s="376"/>
      <c r="I17" s="376"/>
      <c r="J17" s="345"/>
      <c r="K17" s="345"/>
      <c r="L17" s="376"/>
      <c r="M17" s="376"/>
      <c r="N17" s="345"/>
      <c r="O17" s="345"/>
      <c r="P17" s="376"/>
      <c r="Q17" s="376"/>
      <c r="R17" s="345"/>
      <c r="S17" s="924"/>
      <c r="T17" s="964"/>
      <c r="U17" s="964"/>
      <c r="V17" s="924">
        <f>+'2C Önk bev kiad fel'!Q53</f>
        <v>883753</v>
      </c>
      <c r="W17" s="859"/>
      <c r="X17" s="858"/>
      <c r="Y17" s="858"/>
      <c r="Z17" s="859">
        <f>+'2C Önk bev kiad fel'!T53</f>
        <v>1069744</v>
      </c>
      <c r="AA17" s="859"/>
      <c r="AB17" s="858"/>
      <c r="AC17" s="858"/>
      <c r="AD17" s="859">
        <f>+'2C Önk bev kiad fel'!W53</f>
        <v>1154443</v>
      </c>
      <c r="AE17" s="924"/>
      <c r="AF17" s="964"/>
      <c r="AG17" s="964"/>
      <c r="AH17" s="924">
        <f>+'2C Önk bev kiad fel'!Z53</f>
        <v>1234331</v>
      </c>
    </row>
    <row r="18" spans="1:34" x14ac:dyDescent="0.25">
      <c r="A18" s="435" t="s">
        <v>1052</v>
      </c>
      <c r="B18" s="341" t="s">
        <v>605</v>
      </c>
      <c r="C18" s="376"/>
      <c r="D18" s="376"/>
      <c r="E18" s="376"/>
      <c r="F18" s="345">
        <f>'2C Önk bev kiad fel'!E59+'5 GSZNR fel'!E62</f>
        <v>25617</v>
      </c>
      <c r="G18" s="376"/>
      <c r="H18" s="376"/>
      <c r="I18" s="376"/>
      <c r="J18" s="345">
        <f>'2C Önk bev kiad fel'!H59+'5 GSZNR fel'!H62</f>
        <v>25475</v>
      </c>
      <c r="K18" s="376"/>
      <c r="L18" s="376"/>
      <c r="M18" s="376"/>
      <c r="N18" s="345">
        <f>'2C Önk bev kiad fel'!K59+'5 GSZNR fel'!K62</f>
        <v>25475</v>
      </c>
      <c r="O18" s="376"/>
      <c r="P18" s="376"/>
      <c r="Q18" s="376"/>
      <c r="R18" s="345">
        <f>'2C Önk bev kiad fel'!N59+'5 GSZNR fel'!N62</f>
        <v>23063</v>
      </c>
      <c r="S18" s="964"/>
      <c r="T18" s="964"/>
      <c r="U18" s="964"/>
      <c r="V18" s="924">
        <f>'2C Önk bev kiad fel'!Q59+'5 GSZNR fel'!Q62</f>
        <v>508</v>
      </c>
      <c r="W18" s="376"/>
      <c r="X18" s="376"/>
      <c r="Y18" s="376"/>
      <c r="Z18" s="345">
        <f>'2C Önk bev kiad fel'!T59+'5 GSZNR fel'!T62</f>
        <v>508</v>
      </c>
      <c r="AA18" s="376"/>
      <c r="AB18" s="376"/>
      <c r="AC18" s="376"/>
      <c r="AD18" s="345">
        <f>'2C Önk bev kiad fel'!W59+'5 GSZNR fel'!W62</f>
        <v>508</v>
      </c>
      <c r="AE18" s="964"/>
      <c r="AF18" s="964"/>
      <c r="AG18" s="964"/>
      <c r="AH18" s="924">
        <f>'2C Önk bev kiad fel'!Z59+'5 GSZNR fel'!Z62</f>
        <v>508</v>
      </c>
    </row>
    <row r="19" spans="1:34" s="47" customFormat="1" x14ac:dyDescent="0.25">
      <c r="A19" s="435" t="s">
        <v>1054</v>
      </c>
      <c r="B19" s="341" t="s">
        <v>615</v>
      </c>
      <c r="C19" s="376"/>
      <c r="D19" s="376"/>
      <c r="E19" s="376"/>
      <c r="F19" s="345">
        <f>'2C Önk bev kiad fel'!F61</f>
        <v>0</v>
      </c>
      <c r="G19" s="376"/>
      <c r="H19" s="376"/>
      <c r="I19" s="376"/>
      <c r="J19" s="345">
        <f>'2C Önk bev kiad fel'!I61</f>
        <v>0</v>
      </c>
      <c r="K19" s="376"/>
      <c r="L19" s="376"/>
      <c r="M19" s="376"/>
      <c r="N19" s="345">
        <f>'2C Önk bev kiad fel'!M61</f>
        <v>0</v>
      </c>
      <c r="O19" s="376"/>
      <c r="P19" s="376"/>
      <c r="Q19" s="376"/>
      <c r="R19" s="345">
        <f>'2C Önk bev kiad fel'!N61</f>
        <v>19081</v>
      </c>
      <c r="S19" s="964"/>
      <c r="T19" s="964"/>
      <c r="U19" s="964"/>
      <c r="V19" s="924">
        <f>'2C Önk bev kiad fel'!Q61</f>
        <v>18000</v>
      </c>
      <c r="W19" s="376"/>
      <c r="X19" s="376"/>
      <c r="Y19" s="376"/>
      <c r="Z19" s="345">
        <f>'2C Önk bev kiad fel'!T61</f>
        <v>20455</v>
      </c>
      <c r="AA19" s="376"/>
      <c r="AB19" s="376"/>
      <c r="AC19" s="376"/>
      <c r="AD19" s="345">
        <f>'2C Önk bev kiad fel'!W61</f>
        <v>20455</v>
      </c>
      <c r="AE19" s="964"/>
      <c r="AF19" s="964"/>
      <c r="AG19" s="964"/>
      <c r="AH19" s="924">
        <f>'2C Önk bev kiad fel'!Z61</f>
        <v>20455</v>
      </c>
    </row>
    <row r="20" spans="1:34" s="47" customFormat="1" x14ac:dyDescent="0.25">
      <c r="A20" s="435" t="s">
        <v>1055</v>
      </c>
      <c r="B20" s="341" t="s">
        <v>1053</v>
      </c>
      <c r="C20" s="376">
        <v>64</v>
      </c>
      <c r="D20" s="376"/>
      <c r="E20" s="376">
        <v>7</v>
      </c>
      <c r="F20" s="345">
        <f>'3B PH fel'!F6</f>
        <v>692586</v>
      </c>
      <c r="G20" s="376">
        <v>64</v>
      </c>
      <c r="H20" s="376"/>
      <c r="I20" s="376">
        <v>7</v>
      </c>
      <c r="J20" s="345">
        <f>'3B PH fel'!J6</f>
        <v>729304</v>
      </c>
      <c r="K20" s="376">
        <f>'3B PH fel'!K6</f>
        <v>69</v>
      </c>
      <c r="L20" s="376"/>
      <c r="M20" s="376">
        <v>7</v>
      </c>
      <c r="N20" s="345">
        <f>'3B PH fel'!N6</f>
        <v>729304</v>
      </c>
      <c r="O20" s="376">
        <f>'3B PH fel'!O6</f>
        <v>69</v>
      </c>
      <c r="P20" s="376"/>
      <c r="Q20" s="376">
        <v>7</v>
      </c>
      <c r="R20" s="345">
        <f>'3B PH fel'!R6</f>
        <v>662152</v>
      </c>
      <c r="S20" s="964">
        <v>74</v>
      </c>
      <c r="T20" s="964"/>
      <c r="U20" s="964">
        <v>7</v>
      </c>
      <c r="V20" s="924">
        <f>'3B PH fel'!V6</f>
        <v>721658</v>
      </c>
      <c r="W20" s="376">
        <v>74</v>
      </c>
      <c r="X20" s="376"/>
      <c r="Y20" s="376">
        <v>7</v>
      </c>
      <c r="Z20" s="345">
        <f>'3B PH fel'!Z6</f>
        <v>789023</v>
      </c>
      <c r="AA20" s="376">
        <v>74</v>
      </c>
      <c r="AB20" s="376"/>
      <c r="AC20" s="376">
        <v>7</v>
      </c>
      <c r="AD20" s="345">
        <f>'3B PH fel'!AD6</f>
        <v>788966</v>
      </c>
      <c r="AE20" s="964">
        <f>'3B PH fel'!AE6</f>
        <v>79</v>
      </c>
      <c r="AF20" s="964"/>
      <c r="AG20" s="964">
        <v>7</v>
      </c>
      <c r="AH20" s="924">
        <f>'3B PH fel'!AH6</f>
        <v>794380</v>
      </c>
    </row>
    <row r="21" spans="1:34" s="47" customFormat="1" x14ac:dyDescent="0.25">
      <c r="A21" s="435" t="s">
        <v>1056</v>
      </c>
      <c r="B21" s="341" t="s">
        <v>611</v>
      </c>
      <c r="C21" s="376"/>
      <c r="D21" s="376">
        <v>25</v>
      </c>
      <c r="E21" s="376"/>
      <c r="F21" s="345">
        <f>'2C Önk bev kiad fel'!E64</f>
        <v>10146</v>
      </c>
      <c r="G21" s="376"/>
      <c r="H21" s="376">
        <v>25</v>
      </c>
      <c r="I21" s="376"/>
      <c r="J21" s="345">
        <f>'2C Önk bev kiad fel'!H64</f>
        <v>10146</v>
      </c>
      <c r="K21" s="376"/>
      <c r="L21" s="376">
        <v>25</v>
      </c>
      <c r="M21" s="376"/>
      <c r="N21" s="345" t="e">
        <f>'2C Önk bev kiad fel'!K64+'3B PH fel'!#REF!</f>
        <v>#REF!</v>
      </c>
      <c r="O21" s="376"/>
      <c r="P21" s="376">
        <v>25</v>
      </c>
      <c r="Q21" s="376"/>
      <c r="R21" s="345">
        <f>'2C Önk bev kiad fel'!N64</f>
        <v>0</v>
      </c>
      <c r="S21" s="964"/>
      <c r="T21" s="964">
        <v>25</v>
      </c>
      <c r="U21" s="964"/>
      <c r="V21" s="924">
        <f>'2C Önk bev kiad fel'!Q64</f>
        <v>2737</v>
      </c>
      <c r="W21" s="376"/>
      <c r="X21" s="376">
        <v>25</v>
      </c>
      <c r="Y21" s="376"/>
      <c r="Z21" s="345">
        <f>'2C Önk bev kiad fel'!T64</f>
        <v>2737</v>
      </c>
      <c r="AA21" s="376"/>
      <c r="AB21" s="376">
        <v>25</v>
      </c>
      <c r="AC21" s="376"/>
      <c r="AD21" s="345">
        <f>'2C Önk bev kiad fel'!W64</f>
        <v>2737</v>
      </c>
      <c r="AE21" s="964"/>
      <c r="AF21" s="964">
        <v>25</v>
      </c>
      <c r="AG21" s="964"/>
      <c r="AH21" s="924">
        <f>'2C Önk bev kiad fel'!Z64</f>
        <v>2737</v>
      </c>
    </row>
    <row r="22" spans="1:34" s="47" customFormat="1" x14ac:dyDescent="0.25">
      <c r="A22" s="435" t="s">
        <v>1057</v>
      </c>
      <c r="B22" s="341" t="s">
        <v>555</v>
      </c>
      <c r="C22" s="376"/>
      <c r="D22" s="376"/>
      <c r="E22" s="376"/>
      <c r="F22" s="345">
        <f>+'5 GSZNR fel'!E132</f>
        <v>72321.700000000012</v>
      </c>
      <c r="G22" s="376"/>
      <c r="H22" s="376"/>
      <c r="I22" s="376"/>
      <c r="J22" s="345">
        <f>+'5 GSZNR fel'!H132</f>
        <v>80918</v>
      </c>
      <c r="K22" s="345" t="e">
        <f>#REF!</f>
        <v>#REF!</v>
      </c>
      <c r="L22" s="376"/>
      <c r="M22" s="376"/>
      <c r="N22" s="345" t="e">
        <f>#REF!</f>
        <v>#REF!</v>
      </c>
      <c r="O22" s="345"/>
      <c r="P22" s="376"/>
      <c r="Q22" s="376"/>
      <c r="R22" s="345">
        <f>+'5 GSZNR fel'!N132</f>
        <v>70992</v>
      </c>
      <c r="S22" s="964">
        <v>5</v>
      </c>
      <c r="T22" s="964"/>
      <c r="U22" s="964"/>
      <c r="V22" s="924">
        <f>+'5 GSZNR fel'!$Q$132</f>
        <v>82313</v>
      </c>
      <c r="W22" s="376">
        <v>5</v>
      </c>
      <c r="X22" s="376"/>
      <c r="Y22" s="376"/>
      <c r="Z22" s="345">
        <f>+'5 GSZNR fel'!$Q$132</f>
        <v>82313</v>
      </c>
      <c r="AA22" s="376">
        <v>5</v>
      </c>
      <c r="AB22" s="376"/>
      <c r="AC22" s="376"/>
      <c r="AD22" s="345">
        <f>+'5 GSZNR fel'!$W$132</f>
        <v>82313</v>
      </c>
      <c r="AE22" s="964">
        <f>'5 GSZNR fel'!X132</f>
        <v>5</v>
      </c>
      <c r="AF22" s="964"/>
      <c r="AG22" s="964"/>
      <c r="AH22" s="924">
        <f>+'5 GSZNR fel'!$W$132</f>
        <v>82313</v>
      </c>
    </row>
    <row r="23" spans="1:34" s="47" customFormat="1" x14ac:dyDescent="0.25">
      <c r="A23" s="435" t="s">
        <v>1058</v>
      </c>
      <c r="B23" s="341" t="s">
        <v>556</v>
      </c>
      <c r="C23" s="376"/>
      <c r="D23" s="376"/>
      <c r="E23" s="376"/>
      <c r="F23" s="345">
        <f>+'5 GSZNR fel'!E137</f>
        <v>94208.5</v>
      </c>
      <c r="G23" s="376"/>
      <c r="H23" s="376"/>
      <c r="I23" s="376"/>
      <c r="J23" s="345">
        <f>+'5 GSZNR fel'!H137</f>
        <v>105695</v>
      </c>
      <c r="K23" s="345" t="e">
        <f>#REF!</f>
        <v>#REF!</v>
      </c>
      <c r="L23" s="376"/>
      <c r="M23" s="376"/>
      <c r="N23" s="345" t="e">
        <f>#REF!</f>
        <v>#REF!</v>
      </c>
      <c r="O23" s="345"/>
      <c r="P23" s="376"/>
      <c r="Q23" s="376"/>
      <c r="R23" s="345">
        <f>+'5 GSZNR fel'!N137</f>
        <v>102436</v>
      </c>
      <c r="S23" s="964">
        <v>21</v>
      </c>
      <c r="T23" s="964"/>
      <c r="U23" s="964"/>
      <c r="V23" s="924">
        <f>+'5 GSZNR fel'!$Q$137</f>
        <v>115624</v>
      </c>
      <c r="W23" s="376">
        <v>21</v>
      </c>
      <c r="X23" s="376"/>
      <c r="Y23" s="376"/>
      <c r="Z23" s="345">
        <f>+'5 GSZNR fel'!T137</f>
        <v>115624</v>
      </c>
      <c r="AA23" s="376">
        <v>21</v>
      </c>
      <c r="AB23" s="376"/>
      <c r="AC23" s="376"/>
      <c r="AD23" s="345">
        <f>+'5 GSZNR fel'!W137</f>
        <v>115624</v>
      </c>
      <c r="AE23" s="964">
        <f>'5 GSZNR fel'!X137</f>
        <v>21</v>
      </c>
      <c r="AF23" s="964"/>
      <c r="AG23" s="964"/>
      <c r="AH23" s="924">
        <f>+'5 GSZNR fel'!Z137</f>
        <v>119624</v>
      </c>
    </row>
    <row r="24" spans="1:34" s="47" customFormat="1" x14ac:dyDescent="0.25">
      <c r="A24" s="435" t="s">
        <v>1059</v>
      </c>
      <c r="B24" s="341" t="s">
        <v>557</v>
      </c>
      <c r="C24" s="376"/>
      <c r="D24" s="376"/>
      <c r="E24" s="376"/>
      <c r="F24" s="345">
        <f>+'5 GSZNR fel'!E142</f>
        <v>55677.8</v>
      </c>
      <c r="G24" s="376"/>
      <c r="H24" s="376"/>
      <c r="I24" s="376"/>
      <c r="J24" s="345">
        <f>+'5 GSZNR fel'!H142</f>
        <v>55678</v>
      </c>
      <c r="K24" s="376"/>
      <c r="L24" s="376"/>
      <c r="M24" s="376"/>
      <c r="N24" s="345" t="e">
        <f>#REF!</f>
        <v>#REF!</v>
      </c>
      <c r="O24" s="376"/>
      <c r="P24" s="376"/>
      <c r="Q24" s="376"/>
      <c r="R24" s="345">
        <f>+'5 GSZNR fel'!N142</f>
        <v>47577</v>
      </c>
      <c r="S24" s="964"/>
      <c r="T24" s="964"/>
      <c r="U24" s="964"/>
      <c r="V24" s="924">
        <f>+'5 GSZNR fel'!Q142</f>
        <v>57550</v>
      </c>
      <c r="W24" s="376"/>
      <c r="X24" s="376"/>
      <c r="Y24" s="376"/>
      <c r="Z24" s="345">
        <f>+'5 GSZNR fel'!T142</f>
        <v>57550</v>
      </c>
      <c r="AA24" s="376"/>
      <c r="AB24" s="376"/>
      <c r="AC24" s="376"/>
      <c r="AD24" s="345">
        <f>+'5 GSZNR fel'!W142</f>
        <v>57550</v>
      </c>
      <c r="AE24" s="964"/>
      <c r="AF24" s="964"/>
      <c r="AG24" s="964"/>
      <c r="AH24" s="924">
        <f>+'5 GSZNR fel'!Z142</f>
        <v>57550</v>
      </c>
    </row>
    <row r="25" spans="1:34" s="47" customFormat="1" x14ac:dyDescent="0.25">
      <c r="A25" s="435" t="s">
        <v>1061</v>
      </c>
      <c r="B25" s="341" t="s">
        <v>558</v>
      </c>
      <c r="C25" s="376"/>
      <c r="D25" s="376"/>
      <c r="E25" s="376"/>
      <c r="F25" s="345">
        <f>+'5 GSZNR fel'!E145+'2C Önk bev kiad fel'!E68</f>
        <v>66145.5</v>
      </c>
      <c r="G25" s="376"/>
      <c r="H25" s="376"/>
      <c r="I25" s="376"/>
      <c r="J25" s="345">
        <f>+'5 GSZNR fel'!H145+'2C Önk bev kiad fel'!H68</f>
        <v>113268</v>
      </c>
      <c r="K25" s="376"/>
      <c r="L25" s="376"/>
      <c r="M25" s="376"/>
      <c r="N25" s="345" t="e">
        <f>#REF!</f>
        <v>#REF!</v>
      </c>
      <c r="O25" s="376"/>
      <c r="P25" s="376"/>
      <c r="Q25" s="376"/>
      <c r="R25" s="345">
        <f>+'5 GSZNR fel'!N145+'2C Önk bev kiad fel'!N68</f>
        <v>120202</v>
      </c>
      <c r="S25" s="964"/>
      <c r="T25" s="964"/>
      <c r="U25" s="964"/>
      <c r="V25" s="924">
        <f>+'5 GSZNR fel'!Q145+'2C Önk bev kiad fel'!Q68</f>
        <v>71000</v>
      </c>
      <c r="W25" s="376"/>
      <c r="X25" s="376"/>
      <c r="Y25" s="376"/>
      <c r="Z25" s="345">
        <f>+'5 GSZNR fel'!T145+'2C Önk bev kiad fel'!T68</f>
        <v>76139</v>
      </c>
      <c r="AA25" s="376"/>
      <c r="AB25" s="376"/>
      <c r="AC25" s="376"/>
      <c r="AD25" s="345">
        <f>+'5 GSZNR fel'!W145+'2C Önk bev kiad fel'!W68</f>
        <v>86139</v>
      </c>
      <c r="AE25" s="964"/>
      <c r="AF25" s="964"/>
      <c r="AG25" s="964"/>
      <c r="AH25" s="924">
        <f>+'5 GSZNR fel'!Z145+'2C Önk bev kiad fel'!Z68</f>
        <v>103025</v>
      </c>
    </row>
    <row r="26" spans="1:34" s="47" customFormat="1" x14ac:dyDescent="0.25">
      <c r="A26" s="435" t="s">
        <v>1062</v>
      </c>
      <c r="B26" s="341" t="s">
        <v>1060</v>
      </c>
      <c r="C26" s="376"/>
      <c r="D26" s="376"/>
      <c r="E26" s="376"/>
      <c r="F26" s="345">
        <f>+'5 GSZNR fel'!E148</f>
        <v>7561.8</v>
      </c>
      <c r="G26" s="376"/>
      <c r="H26" s="376"/>
      <c r="I26" s="376"/>
      <c r="J26" s="345">
        <f>+'5 GSZNR fel'!H148</f>
        <v>8174</v>
      </c>
      <c r="K26" s="376"/>
      <c r="L26" s="376"/>
      <c r="M26" s="376"/>
      <c r="N26" s="345" t="e">
        <f>#REF!</f>
        <v>#REF!</v>
      </c>
      <c r="O26" s="376"/>
      <c r="P26" s="376"/>
      <c r="Q26" s="376"/>
      <c r="R26" s="345">
        <f>+'5 GSZNR fel'!N148</f>
        <v>7641</v>
      </c>
      <c r="S26" s="964"/>
      <c r="T26" s="964"/>
      <c r="U26" s="964"/>
      <c r="V26" s="924">
        <f>+'5 GSZNR fel'!Q148</f>
        <v>14500</v>
      </c>
      <c r="W26" s="376"/>
      <c r="X26" s="376"/>
      <c r="Y26" s="376"/>
      <c r="Z26" s="345">
        <f>+'5 GSZNR fel'!T148</f>
        <v>14500</v>
      </c>
      <c r="AA26" s="376"/>
      <c r="AB26" s="376"/>
      <c r="AC26" s="376"/>
      <c r="AD26" s="345">
        <f>+'5 GSZNR fel'!W148</f>
        <v>14500</v>
      </c>
      <c r="AE26" s="964"/>
      <c r="AF26" s="964"/>
      <c r="AG26" s="964"/>
      <c r="AH26" s="924">
        <f>+'5 GSZNR fel'!Z148</f>
        <v>14500</v>
      </c>
    </row>
    <row r="27" spans="1:34" s="47" customFormat="1" x14ac:dyDescent="0.25">
      <c r="A27" s="435" t="s">
        <v>1063</v>
      </c>
      <c r="B27" s="341" t="s">
        <v>561</v>
      </c>
      <c r="C27" s="376"/>
      <c r="D27" s="376"/>
      <c r="E27" s="376"/>
      <c r="F27" s="345">
        <f>+'5 GSZNR fel'!E151</f>
        <v>16927</v>
      </c>
      <c r="G27" s="376"/>
      <c r="H27" s="376"/>
      <c r="I27" s="376"/>
      <c r="J27" s="345">
        <f>+'5 GSZNR fel'!H151</f>
        <v>16927</v>
      </c>
      <c r="K27" s="345" t="e">
        <f>#REF!</f>
        <v>#REF!</v>
      </c>
      <c r="L27" s="376"/>
      <c r="M27" s="376"/>
      <c r="N27" s="345" t="e">
        <f>#REF!</f>
        <v>#REF!</v>
      </c>
      <c r="O27" s="345"/>
      <c r="P27" s="376"/>
      <c r="Q27" s="376"/>
      <c r="R27" s="345">
        <f>+'5 GSZNR fel'!N151</f>
        <v>14908</v>
      </c>
      <c r="S27" s="964">
        <v>2.5</v>
      </c>
      <c r="T27" s="964"/>
      <c r="U27" s="964"/>
      <c r="V27" s="924">
        <f>+'5 GSZNR fel'!Q151</f>
        <v>13770</v>
      </c>
      <c r="W27" s="376">
        <v>2.5</v>
      </c>
      <c r="X27" s="376"/>
      <c r="Y27" s="376"/>
      <c r="Z27" s="345">
        <f>+'5 GSZNR fel'!T151</f>
        <v>13770</v>
      </c>
      <c r="AA27" s="376">
        <v>2.5</v>
      </c>
      <c r="AB27" s="376"/>
      <c r="AC27" s="376"/>
      <c r="AD27" s="345">
        <f>+'5 GSZNR fel'!W151</f>
        <v>13770</v>
      </c>
      <c r="AE27" s="985">
        <f>'5 GSZNR fel'!X151</f>
        <v>1.75</v>
      </c>
      <c r="AF27" s="964"/>
      <c r="AG27" s="964"/>
      <c r="AH27" s="924">
        <f>+'5 GSZNR fel'!Z151</f>
        <v>13770</v>
      </c>
    </row>
    <row r="28" spans="1:34" s="47" customFormat="1" x14ac:dyDescent="0.25">
      <c r="A28" s="435" t="s">
        <v>1064</v>
      </c>
      <c r="B28" s="341" t="s">
        <v>563</v>
      </c>
      <c r="C28" s="376"/>
      <c r="D28" s="376"/>
      <c r="E28" s="376"/>
      <c r="F28" s="345">
        <f>+'5 GSZNR fel'!E156</f>
        <v>15205.3</v>
      </c>
      <c r="G28" s="376"/>
      <c r="H28" s="376"/>
      <c r="I28" s="376"/>
      <c r="J28" s="345">
        <f>+'5 GSZNR fel'!H156</f>
        <v>15205</v>
      </c>
      <c r="K28" s="345" t="e">
        <f>#REF!</f>
        <v>#REF!</v>
      </c>
      <c r="L28" s="376"/>
      <c r="M28" s="376"/>
      <c r="N28" s="345" t="e">
        <f>#REF!</f>
        <v>#REF!</v>
      </c>
      <c r="O28" s="345"/>
      <c r="P28" s="376"/>
      <c r="Q28" s="376"/>
      <c r="R28" s="345">
        <f>+'5 GSZNR fel'!N156</f>
        <v>14119</v>
      </c>
      <c r="S28" s="964">
        <v>2</v>
      </c>
      <c r="T28" s="964"/>
      <c r="U28" s="964"/>
      <c r="V28" s="924">
        <f>+'5 GSZNR fel'!Q156</f>
        <v>16316</v>
      </c>
      <c r="W28" s="376">
        <v>2</v>
      </c>
      <c r="X28" s="376"/>
      <c r="Y28" s="376"/>
      <c r="Z28" s="345">
        <f>+'5 GSZNR fel'!T156</f>
        <v>16316</v>
      </c>
      <c r="AA28" s="376">
        <v>2</v>
      </c>
      <c r="AB28" s="376"/>
      <c r="AC28" s="376"/>
      <c r="AD28" s="345">
        <f>+'5 GSZNR fel'!W156</f>
        <v>16316</v>
      </c>
      <c r="AE28" s="964">
        <f>'5 GSZNR fel'!X156</f>
        <v>2</v>
      </c>
      <c r="AF28" s="964"/>
      <c r="AG28" s="964"/>
      <c r="AH28" s="924">
        <f>+'5 GSZNR fel'!Z156</f>
        <v>16316</v>
      </c>
    </row>
    <row r="29" spans="1:34" s="47" customFormat="1" x14ac:dyDescent="0.25">
      <c r="A29" s="435" t="s">
        <v>1065</v>
      </c>
      <c r="B29" s="341" t="s">
        <v>575</v>
      </c>
      <c r="C29" s="376"/>
      <c r="D29" s="376"/>
      <c r="E29" s="376"/>
      <c r="F29" s="345">
        <f>+'5 GSZNR fel'!E176+'5 GSZNR fel'!E181</f>
        <v>300666</v>
      </c>
      <c r="G29" s="376"/>
      <c r="H29" s="376"/>
      <c r="I29" s="376"/>
      <c r="J29" s="345">
        <f>+'5 GSZNR fel'!H176+'5 GSZNR fel'!H181</f>
        <v>290666</v>
      </c>
      <c r="K29" s="376"/>
      <c r="L29" s="376"/>
      <c r="M29" s="376"/>
      <c r="N29" s="345" t="e">
        <f>#REF!</f>
        <v>#REF!</v>
      </c>
      <c r="O29" s="376"/>
      <c r="P29" s="376"/>
      <c r="Q29" s="376"/>
      <c r="R29" s="345">
        <f>+'5 GSZNR fel'!N176+'5 GSZNR fel'!N181</f>
        <v>274697</v>
      </c>
      <c r="S29" s="964">
        <v>19</v>
      </c>
      <c r="T29" s="964"/>
      <c r="U29" s="964"/>
      <c r="V29" s="924">
        <f>+'5 GSZNR fel'!$Q$176+'5 GSZNR fel'!$Q$181</f>
        <v>283364</v>
      </c>
      <c r="W29" s="376">
        <v>19</v>
      </c>
      <c r="X29" s="376"/>
      <c r="Y29" s="376"/>
      <c r="Z29" s="345">
        <f>+'5 GSZNR fel'!T176+'5 GSZNR fel'!T181</f>
        <v>283364</v>
      </c>
      <c r="AA29" s="376">
        <v>19</v>
      </c>
      <c r="AB29" s="376"/>
      <c r="AC29" s="376"/>
      <c r="AD29" s="345">
        <f>+'5 GSZNR fel'!W176+'5 GSZNR fel'!W181</f>
        <v>283364</v>
      </c>
      <c r="AE29" s="964">
        <f>'5 GSZNR fel'!X176</f>
        <v>19</v>
      </c>
      <c r="AF29" s="964"/>
      <c r="AG29" s="964"/>
      <c r="AH29" s="924">
        <f>+'5 GSZNR fel'!Z176+'5 GSZNR fel'!Z181</f>
        <v>283892</v>
      </c>
    </row>
    <row r="30" spans="1:34" s="47" customFormat="1" x14ac:dyDescent="0.25">
      <c r="A30" s="435" t="s">
        <v>1066</v>
      </c>
      <c r="B30" s="341" t="s">
        <v>349</v>
      </c>
      <c r="C30" s="376">
        <v>100.5</v>
      </c>
      <c r="D30" s="376"/>
      <c r="E30" s="376"/>
      <c r="F30" s="345">
        <f>'5 GSZNR fel'!E8+'5 GSZNR fel'!E22+'5 GSZNR fel'!E36</f>
        <v>507759</v>
      </c>
      <c r="G30" s="376">
        <v>100.5</v>
      </c>
      <c r="H30" s="376"/>
      <c r="I30" s="376"/>
      <c r="J30" s="345">
        <f>'5 GSZNR fel'!H8+'5 GSZNR fel'!H22+'5 GSZNR fel'!H36</f>
        <v>512777</v>
      </c>
      <c r="K30" s="376">
        <v>100.5</v>
      </c>
      <c r="L30" s="376"/>
      <c r="M30" s="376"/>
      <c r="N30" s="345">
        <f>'5 GSZNR fel'!K8+'5 GSZNR fel'!K22+'5 GSZNR fel'!K36</f>
        <v>512777</v>
      </c>
      <c r="O30" s="376">
        <v>100.5</v>
      </c>
      <c r="P30" s="376"/>
      <c r="Q30" s="376"/>
      <c r="R30" s="345">
        <f>'5 GSZNR fel'!N8+'5 GSZNR fel'!N22+'5 GSZNR fel'!N36</f>
        <v>478134</v>
      </c>
      <c r="S30" s="964">
        <v>101</v>
      </c>
      <c r="T30" s="964"/>
      <c r="U30" s="964"/>
      <c r="V30" s="924">
        <f>'5 GSZNR fel'!Q8+'5 GSZNR fel'!Q22+'5 GSZNR fel'!Q36</f>
        <v>524530</v>
      </c>
      <c r="W30" s="376">
        <v>101</v>
      </c>
      <c r="X30" s="376"/>
      <c r="Y30" s="376"/>
      <c r="Z30" s="345">
        <f>'5 GSZNR fel'!T8+'5 GSZNR fel'!T22+'5 GSZNR fel'!T36</f>
        <v>524286</v>
      </c>
      <c r="AA30" s="376">
        <v>101</v>
      </c>
      <c r="AB30" s="376"/>
      <c r="AC30" s="376"/>
      <c r="AD30" s="345">
        <f>'5 GSZNR fel'!W8+'5 GSZNR fel'!W22+'5 GSZNR fel'!W36</f>
        <v>524286</v>
      </c>
      <c r="AE30" s="964">
        <f>'5 GSZNR fel'!X8+'5 GSZNR fel'!X22+'5 GSZNR fel'!X36</f>
        <v>101</v>
      </c>
      <c r="AF30" s="964"/>
      <c r="AG30" s="964"/>
      <c r="AH30" s="924">
        <f>'5 GSZNR fel'!Z8+'5 GSZNR fel'!Z22+'5 GSZNR fel'!Z36</f>
        <v>527197</v>
      </c>
    </row>
    <row r="31" spans="1:34" s="47" customFormat="1" x14ac:dyDescent="0.25">
      <c r="A31" s="435" t="s">
        <v>1067</v>
      </c>
      <c r="B31" s="341" t="s">
        <v>352</v>
      </c>
      <c r="C31" s="376"/>
      <c r="D31" s="376"/>
      <c r="E31" s="376"/>
      <c r="F31" s="345">
        <f>'5 GSZNR fel'!E14+'5 GSZNR fel'!E28+'5 GSZNR fel'!E42</f>
        <v>79705</v>
      </c>
      <c r="G31" s="376"/>
      <c r="H31" s="376"/>
      <c r="I31" s="376"/>
      <c r="J31" s="345">
        <f>'5 GSZNR fel'!H14+'5 GSZNR fel'!H28+'5 GSZNR fel'!H42</f>
        <v>79480</v>
      </c>
      <c r="K31" s="376"/>
      <c r="L31" s="376"/>
      <c r="M31" s="376"/>
      <c r="N31" s="345">
        <f>'5 GSZNR fel'!K14+'5 GSZNR fel'!K28+'5 GSZNR fel'!K42</f>
        <v>79480</v>
      </c>
      <c r="O31" s="376"/>
      <c r="P31" s="376"/>
      <c r="Q31" s="376"/>
      <c r="R31" s="345">
        <f>'5 GSZNR fel'!N14+'5 GSZNR fel'!N28+'5 GSZNR fel'!N42</f>
        <v>79746</v>
      </c>
      <c r="S31" s="964"/>
      <c r="T31" s="964"/>
      <c r="U31" s="964"/>
      <c r="V31" s="924">
        <f>'5 GSZNR fel'!Q14+'5 GSZNR fel'!Q28+'5 GSZNR fel'!Q42</f>
        <v>81626</v>
      </c>
      <c r="W31" s="376"/>
      <c r="X31" s="376"/>
      <c r="Y31" s="376"/>
      <c r="Z31" s="345">
        <f>'5 GSZNR fel'!T14+'5 GSZNR fel'!T28+'5 GSZNR fel'!T42</f>
        <v>81626</v>
      </c>
      <c r="AA31" s="376"/>
      <c r="AB31" s="376"/>
      <c r="AC31" s="376"/>
      <c r="AD31" s="345">
        <f>'5 GSZNR fel'!W14+'5 GSZNR fel'!W28+'5 GSZNR fel'!W42</f>
        <v>81626</v>
      </c>
      <c r="AE31" s="964"/>
      <c r="AF31" s="964"/>
      <c r="AG31" s="964"/>
      <c r="AH31" s="924">
        <f>'5 GSZNR fel'!Z14+'5 GSZNR fel'!Z28+'5 GSZNR fel'!Z42</f>
        <v>81626</v>
      </c>
    </row>
    <row r="32" spans="1:34" s="47" customFormat="1" x14ac:dyDescent="0.25">
      <c r="A32" s="435" t="s">
        <v>1068</v>
      </c>
      <c r="B32" s="341" t="s">
        <v>357</v>
      </c>
      <c r="C32" s="376">
        <v>15</v>
      </c>
      <c r="D32" s="376"/>
      <c r="E32" s="376"/>
      <c r="F32" s="345">
        <f>'5 GSZNR fel'!E50</f>
        <v>29302</v>
      </c>
      <c r="G32" s="376">
        <v>15</v>
      </c>
      <c r="H32" s="376"/>
      <c r="I32" s="376"/>
      <c r="J32" s="345">
        <f>'5 GSZNR fel'!H50</f>
        <v>41687</v>
      </c>
      <c r="K32" s="376">
        <v>15</v>
      </c>
      <c r="L32" s="376"/>
      <c r="M32" s="376"/>
      <c r="N32" s="345">
        <f>'5 GSZNR fel'!K50</f>
        <v>41687</v>
      </c>
      <c r="O32" s="376">
        <v>15</v>
      </c>
      <c r="P32" s="376"/>
      <c r="Q32" s="376"/>
      <c r="R32" s="345">
        <f>'5 GSZNR fel'!N50</f>
        <v>32838</v>
      </c>
      <c r="S32" s="964">
        <v>17</v>
      </c>
      <c r="T32" s="964"/>
      <c r="U32" s="964"/>
      <c r="V32" s="924">
        <f>'5 GSZNR fel'!Q50</f>
        <v>51689.65</v>
      </c>
      <c r="W32" s="376">
        <v>17</v>
      </c>
      <c r="X32" s="376"/>
      <c r="Y32" s="376"/>
      <c r="Z32" s="345">
        <f>'5 GSZNR fel'!T50</f>
        <v>51689.65</v>
      </c>
      <c r="AA32" s="376">
        <v>17</v>
      </c>
      <c r="AB32" s="376"/>
      <c r="AC32" s="376"/>
      <c r="AD32" s="345">
        <f>'5 GSZNR fel'!W50</f>
        <v>52569.65</v>
      </c>
      <c r="AE32" s="964">
        <f>'5 GSZNR fel'!X50</f>
        <v>17</v>
      </c>
      <c r="AF32" s="964"/>
      <c r="AG32" s="964"/>
      <c r="AH32" s="924">
        <f>'5 GSZNR fel'!Z50</f>
        <v>58221</v>
      </c>
    </row>
    <row r="33" spans="1:34" s="47" customFormat="1" x14ac:dyDescent="0.25">
      <c r="A33" s="435" t="s">
        <v>1070</v>
      </c>
      <c r="B33" s="341" t="s">
        <v>1069</v>
      </c>
      <c r="C33" s="376"/>
      <c r="D33" s="376"/>
      <c r="E33" s="376"/>
      <c r="F33" s="345">
        <f>'5 GSZNR fel'!E57</f>
        <v>144401</v>
      </c>
      <c r="G33" s="376"/>
      <c r="H33" s="376"/>
      <c r="I33" s="376"/>
      <c r="J33" s="345">
        <f>'5 GSZNR fel'!H57</f>
        <v>144635</v>
      </c>
      <c r="K33" s="376"/>
      <c r="L33" s="376"/>
      <c r="M33" s="376"/>
      <c r="N33" s="345">
        <f>'5 GSZNR fel'!K57</f>
        <v>144635</v>
      </c>
      <c r="O33" s="376"/>
      <c r="P33" s="376"/>
      <c r="Q33" s="376"/>
      <c r="R33" s="345">
        <f>'5 GSZNR fel'!N57</f>
        <v>159740</v>
      </c>
      <c r="S33" s="964"/>
      <c r="T33" s="964"/>
      <c r="U33" s="964"/>
      <c r="V33" s="924">
        <f>'5 GSZNR fel'!Q57</f>
        <v>182092</v>
      </c>
      <c r="W33" s="376"/>
      <c r="X33" s="376"/>
      <c r="Y33" s="376"/>
      <c r="Z33" s="345">
        <f>'5 GSZNR fel'!T57</f>
        <v>183295</v>
      </c>
      <c r="AA33" s="376"/>
      <c r="AB33" s="376"/>
      <c r="AC33" s="376"/>
      <c r="AD33" s="345">
        <f>'5 GSZNR fel'!W57</f>
        <v>183295</v>
      </c>
      <c r="AE33" s="964"/>
      <c r="AF33" s="964"/>
      <c r="AG33" s="964"/>
      <c r="AH33" s="924">
        <f>'5 GSZNR fel'!Z57</f>
        <v>183644</v>
      </c>
    </row>
    <row r="34" spans="1:34" s="47" customFormat="1" x14ac:dyDescent="0.25">
      <c r="A34" s="435" t="s">
        <v>1071</v>
      </c>
      <c r="B34" s="341" t="s">
        <v>360</v>
      </c>
      <c r="C34" s="376">
        <v>4</v>
      </c>
      <c r="D34" s="376"/>
      <c r="E34" s="376"/>
      <c r="F34" s="345">
        <f>'5 GSZNR fel'!E75</f>
        <v>24007</v>
      </c>
      <c r="G34" s="376">
        <v>4</v>
      </c>
      <c r="H34" s="376"/>
      <c r="I34" s="376"/>
      <c r="J34" s="345">
        <f>'5 GSZNR fel'!H75</f>
        <v>24548</v>
      </c>
      <c r="K34" s="376">
        <v>4</v>
      </c>
      <c r="L34" s="376"/>
      <c r="M34" s="376"/>
      <c r="N34" s="345">
        <f>'5 GSZNR fel'!K75</f>
        <v>24548</v>
      </c>
      <c r="O34" s="376">
        <v>4</v>
      </c>
      <c r="P34" s="376"/>
      <c r="Q34" s="376"/>
      <c r="R34" s="345">
        <f>'5 GSZNR fel'!N75</f>
        <v>22687</v>
      </c>
      <c r="S34" s="964">
        <v>4</v>
      </c>
      <c r="T34" s="964"/>
      <c r="U34" s="964"/>
      <c r="V34" s="924">
        <f>'5 GSZNR fel'!Q75</f>
        <v>27883</v>
      </c>
      <c r="W34" s="376">
        <v>4</v>
      </c>
      <c r="X34" s="376"/>
      <c r="Y34" s="376"/>
      <c r="Z34" s="345">
        <f>'5 GSZNR fel'!T75</f>
        <v>28996</v>
      </c>
      <c r="AA34" s="376">
        <v>4</v>
      </c>
      <c r="AB34" s="376"/>
      <c r="AC34" s="376"/>
      <c r="AD34" s="345">
        <f>'5 GSZNR fel'!W75</f>
        <v>28936</v>
      </c>
      <c r="AE34" s="964">
        <f>'5 GSZNR fel'!X75</f>
        <v>4</v>
      </c>
      <c r="AF34" s="964"/>
      <c r="AG34" s="964"/>
      <c r="AH34" s="924">
        <f>'5 GSZNR fel'!Z75</f>
        <v>28936</v>
      </c>
    </row>
    <row r="35" spans="1:34" s="47" customFormat="1" ht="30" x14ac:dyDescent="0.25">
      <c r="A35" s="435" t="s">
        <v>1074</v>
      </c>
      <c r="B35" s="545" t="s">
        <v>1458</v>
      </c>
      <c r="C35" s="376"/>
      <c r="D35" s="376"/>
      <c r="E35" s="376"/>
      <c r="F35" s="345">
        <f>'5 GSZNR fel'!E81</f>
        <v>2927</v>
      </c>
      <c r="G35" s="376"/>
      <c r="H35" s="376"/>
      <c r="I35" s="376"/>
      <c r="J35" s="345">
        <f>'5 GSZNR fel'!H81</f>
        <v>2927</v>
      </c>
      <c r="K35" s="376"/>
      <c r="L35" s="376"/>
      <c r="M35" s="376"/>
      <c r="N35" s="345">
        <f>'5 GSZNR fel'!K81</f>
        <v>2927</v>
      </c>
      <c r="O35" s="376"/>
      <c r="P35" s="376"/>
      <c r="Q35" s="376"/>
      <c r="R35" s="345">
        <f>'5 GSZNR fel'!N81</f>
        <v>2685</v>
      </c>
      <c r="S35" s="964"/>
      <c r="T35" s="964"/>
      <c r="U35" s="964"/>
      <c r="V35" s="924">
        <f>'5 GSZNR fel'!Q81</f>
        <v>952.5</v>
      </c>
      <c r="W35" s="376"/>
      <c r="X35" s="376"/>
      <c r="Y35" s="376"/>
      <c r="Z35" s="345">
        <f>'5 GSZNR fel'!T81</f>
        <v>953</v>
      </c>
      <c r="AA35" s="376"/>
      <c r="AB35" s="376"/>
      <c r="AC35" s="376"/>
      <c r="AD35" s="345">
        <f>'5 GSZNR fel'!W81</f>
        <v>1560</v>
      </c>
      <c r="AE35" s="964"/>
      <c r="AF35" s="964"/>
      <c r="AG35" s="964"/>
      <c r="AH35" s="924">
        <f>'5 GSZNR fel'!Z81</f>
        <v>1560</v>
      </c>
    </row>
    <row r="36" spans="1:34" s="47" customFormat="1" x14ac:dyDescent="0.25">
      <c r="A36" s="435" t="s">
        <v>1075</v>
      </c>
      <c r="B36" s="341" t="s">
        <v>363</v>
      </c>
      <c r="C36" s="376">
        <v>11</v>
      </c>
      <c r="D36" s="376"/>
      <c r="E36" s="376"/>
      <c r="F36" s="345">
        <f>'5 GSZNR fel'!E94</f>
        <v>83247</v>
      </c>
      <c r="G36" s="376">
        <v>11</v>
      </c>
      <c r="H36" s="376"/>
      <c r="I36" s="376"/>
      <c r="J36" s="345">
        <f>'5 GSZNR fel'!H94</f>
        <v>87653</v>
      </c>
      <c r="K36" s="376">
        <v>11</v>
      </c>
      <c r="L36" s="376"/>
      <c r="M36" s="376"/>
      <c r="N36" s="345">
        <f>'5 GSZNR fel'!K94</f>
        <v>87653</v>
      </c>
      <c r="O36" s="376">
        <v>11</v>
      </c>
      <c r="P36" s="376"/>
      <c r="Q36" s="376"/>
      <c r="R36" s="345">
        <f>'5 GSZNR fel'!N94</f>
        <v>82682</v>
      </c>
      <c r="S36" s="964">
        <v>11</v>
      </c>
      <c r="T36" s="964"/>
      <c r="U36" s="964"/>
      <c r="V36" s="924">
        <f>'5 GSZNR fel'!Q94</f>
        <v>94016</v>
      </c>
      <c r="W36" s="376">
        <v>11</v>
      </c>
      <c r="X36" s="376"/>
      <c r="Y36" s="376"/>
      <c r="Z36" s="345">
        <f>'5 GSZNR fel'!T94</f>
        <v>96110</v>
      </c>
      <c r="AA36" s="376">
        <v>11</v>
      </c>
      <c r="AB36" s="376"/>
      <c r="AC36" s="376"/>
      <c r="AD36" s="345">
        <f>'5 GSZNR fel'!W94</f>
        <v>96910</v>
      </c>
      <c r="AE36" s="964">
        <f>'5 GSZNR fel'!X94</f>
        <v>12</v>
      </c>
      <c r="AF36" s="964"/>
      <c r="AG36" s="964"/>
      <c r="AH36" s="924">
        <f>'5 GSZNR fel'!Z94</f>
        <v>98558</v>
      </c>
    </row>
    <row r="37" spans="1:34" s="47" customFormat="1" x14ac:dyDescent="0.25">
      <c r="A37" s="435" t="s">
        <v>1076</v>
      </c>
      <c r="B37" s="341" t="s">
        <v>364</v>
      </c>
      <c r="C37" s="376">
        <v>6</v>
      </c>
      <c r="D37" s="376"/>
      <c r="E37" s="376"/>
      <c r="F37" s="345">
        <f>'5 GSZNR fel'!E100</f>
        <v>28276</v>
      </c>
      <c r="G37" s="376">
        <v>6</v>
      </c>
      <c r="H37" s="376"/>
      <c r="I37" s="376"/>
      <c r="J37" s="345">
        <f>'5 GSZNR fel'!H100</f>
        <v>27316</v>
      </c>
      <c r="K37" s="376">
        <v>6</v>
      </c>
      <c r="L37" s="376"/>
      <c r="M37" s="376"/>
      <c r="N37" s="345">
        <f>'5 GSZNR fel'!K100</f>
        <v>27316</v>
      </c>
      <c r="O37" s="376">
        <v>6</v>
      </c>
      <c r="P37" s="376"/>
      <c r="Q37" s="376"/>
      <c r="R37" s="345">
        <f>'5 GSZNR fel'!N100</f>
        <v>25172</v>
      </c>
      <c r="S37" s="964">
        <v>6</v>
      </c>
      <c r="T37" s="964"/>
      <c r="U37" s="964"/>
      <c r="V37" s="924">
        <f>'5 GSZNR fel'!Q100</f>
        <v>28601</v>
      </c>
      <c r="W37" s="376">
        <v>6</v>
      </c>
      <c r="X37" s="376"/>
      <c r="Y37" s="376"/>
      <c r="Z37" s="345">
        <f>'5 GSZNR fel'!T100</f>
        <v>28601</v>
      </c>
      <c r="AA37" s="376">
        <v>6</v>
      </c>
      <c r="AB37" s="376"/>
      <c r="AC37" s="376"/>
      <c r="AD37" s="345">
        <f>'5 GSZNR fel'!W100</f>
        <v>28601</v>
      </c>
      <c r="AE37" s="964">
        <f>'5 GSZNR fel'!X100</f>
        <v>6</v>
      </c>
      <c r="AF37" s="964"/>
      <c r="AG37" s="964"/>
      <c r="AH37" s="924">
        <f>'5 GSZNR fel'!Z100</f>
        <v>28601</v>
      </c>
    </row>
    <row r="38" spans="1:34" s="47" customFormat="1" x14ac:dyDescent="0.25">
      <c r="A38" s="435" t="s">
        <v>1077</v>
      </c>
      <c r="B38" s="341" t="s">
        <v>365</v>
      </c>
      <c r="C38" s="376"/>
      <c r="D38" s="376"/>
      <c r="E38" s="376"/>
      <c r="F38" s="345">
        <f>'5 GSZNR fel'!E105</f>
        <v>15024</v>
      </c>
      <c r="G38" s="376"/>
      <c r="H38" s="376"/>
      <c r="I38" s="376"/>
      <c r="J38" s="345">
        <f>'5 GSZNR fel'!H105</f>
        <v>15258</v>
      </c>
      <c r="K38" s="376"/>
      <c r="L38" s="376"/>
      <c r="M38" s="376"/>
      <c r="N38" s="345">
        <f>'5 GSZNR fel'!K105</f>
        <v>15258</v>
      </c>
      <c r="O38" s="376"/>
      <c r="P38" s="376"/>
      <c r="Q38" s="376"/>
      <c r="R38" s="345">
        <f>'5 GSZNR fel'!N105</f>
        <v>18074</v>
      </c>
      <c r="S38" s="964"/>
      <c r="T38" s="964"/>
      <c r="U38" s="964"/>
      <c r="V38" s="924">
        <f>'5 GSZNR fel'!Q105</f>
        <v>17289.68</v>
      </c>
      <c r="W38" s="376"/>
      <c r="X38" s="376"/>
      <c r="Y38" s="376"/>
      <c r="Z38" s="345">
        <f>'5 GSZNR fel'!T105</f>
        <v>17289.68</v>
      </c>
      <c r="AA38" s="376"/>
      <c r="AB38" s="376"/>
      <c r="AC38" s="376"/>
      <c r="AD38" s="345">
        <f>'5 GSZNR fel'!W105</f>
        <v>17289.68</v>
      </c>
      <c r="AE38" s="964"/>
      <c r="AF38" s="964"/>
      <c r="AG38" s="964"/>
      <c r="AH38" s="924">
        <f>'5 GSZNR fel'!Z105</f>
        <v>17289.68</v>
      </c>
    </row>
    <row r="39" spans="1:34" s="47" customFormat="1" x14ac:dyDescent="0.25">
      <c r="A39" s="435" t="s">
        <v>1078</v>
      </c>
      <c r="B39" s="341" t="s">
        <v>366</v>
      </c>
      <c r="C39" s="376">
        <v>24</v>
      </c>
      <c r="D39" s="376"/>
      <c r="E39" s="376"/>
      <c r="F39" s="345">
        <f>'5 GSZNR fel'!E118</f>
        <v>116396</v>
      </c>
      <c r="G39" s="376">
        <v>24</v>
      </c>
      <c r="H39" s="376"/>
      <c r="I39" s="376"/>
      <c r="J39" s="345">
        <f>'5 GSZNR fel'!H118</f>
        <v>117696</v>
      </c>
      <c r="K39" s="376">
        <v>24</v>
      </c>
      <c r="L39" s="376"/>
      <c r="M39" s="376"/>
      <c r="N39" s="345">
        <f>'5 GSZNR fel'!K118</f>
        <v>117696</v>
      </c>
      <c r="O39" s="376">
        <v>24</v>
      </c>
      <c r="P39" s="376"/>
      <c r="Q39" s="376"/>
      <c r="R39" s="345">
        <f>'5 GSZNR fel'!N118</f>
        <v>113978</v>
      </c>
      <c r="S39" s="964">
        <v>24</v>
      </c>
      <c r="T39" s="964"/>
      <c r="U39" s="964"/>
      <c r="V39" s="924">
        <f>'5 GSZNR fel'!Q118</f>
        <v>126365</v>
      </c>
      <c r="W39" s="376">
        <v>24</v>
      </c>
      <c r="X39" s="376"/>
      <c r="Y39" s="376"/>
      <c r="Z39" s="345">
        <f>'5 GSZNR fel'!T118</f>
        <v>127797</v>
      </c>
      <c r="AA39" s="376">
        <v>24</v>
      </c>
      <c r="AB39" s="376"/>
      <c r="AC39" s="376"/>
      <c r="AD39" s="345">
        <f>'5 GSZNR fel'!W118</f>
        <v>127797</v>
      </c>
      <c r="AE39" s="964">
        <f>'5 GSZNR fel'!X118</f>
        <v>24</v>
      </c>
      <c r="AF39" s="964"/>
      <c r="AG39" s="964"/>
      <c r="AH39" s="924">
        <f>'5 GSZNR fel'!Z118</f>
        <v>127797</v>
      </c>
    </row>
    <row r="40" spans="1:34" s="47" customFormat="1" x14ac:dyDescent="0.25">
      <c r="A40" s="435" t="s">
        <v>1530</v>
      </c>
      <c r="B40" s="341" t="s">
        <v>367</v>
      </c>
      <c r="C40" s="376"/>
      <c r="D40" s="376"/>
      <c r="E40" s="376"/>
      <c r="F40" s="345">
        <f>'5 GSZNR fel'!E124</f>
        <v>8228</v>
      </c>
      <c r="G40" s="376"/>
      <c r="H40" s="376"/>
      <c r="I40" s="376"/>
      <c r="J40" s="345">
        <f>'5 GSZNR fel'!H124</f>
        <v>8228</v>
      </c>
      <c r="K40" s="376"/>
      <c r="L40" s="376"/>
      <c r="M40" s="376"/>
      <c r="N40" s="345">
        <f>'5 GSZNR fel'!K124</f>
        <v>8228</v>
      </c>
      <c r="O40" s="376"/>
      <c r="P40" s="376"/>
      <c r="Q40" s="376"/>
      <c r="R40" s="345">
        <f>'5 GSZNR fel'!N124</f>
        <v>7569</v>
      </c>
      <c r="S40" s="964"/>
      <c r="T40" s="964"/>
      <c r="U40" s="964"/>
      <c r="V40" s="924">
        <f>'5 GSZNR fel'!Q124</f>
        <v>8487</v>
      </c>
      <c r="W40" s="376"/>
      <c r="X40" s="376"/>
      <c r="Y40" s="376"/>
      <c r="Z40" s="345">
        <f>'5 GSZNR fel'!T124</f>
        <v>8487</v>
      </c>
      <c r="AA40" s="376"/>
      <c r="AB40" s="376"/>
      <c r="AC40" s="376"/>
      <c r="AD40" s="345">
        <f>'5 GSZNR fel'!W124</f>
        <v>8487</v>
      </c>
      <c r="AE40" s="964"/>
      <c r="AF40" s="964"/>
      <c r="AG40" s="964"/>
      <c r="AH40" s="924">
        <f>'5 GSZNR fel'!Z124</f>
        <v>8487</v>
      </c>
    </row>
    <row r="41" spans="1:34" x14ac:dyDescent="0.25">
      <c r="A41" s="364" t="s">
        <v>318</v>
      </c>
      <c r="B41" s="335" t="s">
        <v>353</v>
      </c>
      <c r="C41" s="375">
        <f>SUM(C42:C80)</f>
        <v>6</v>
      </c>
      <c r="D41" s="375"/>
      <c r="E41" s="375"/>
      <c r="F41" s="336">
        <f>SUM(F42:F85)</f>
        <v>1334244.5</v>
      </c>
      <c r="G41" s="375">
        <f>SUM(G42:G80)</f>
        <v>6</v>
      </c>
      <c r="H41" s="375"/>
      <c r="I41" s="375"/>
      <c r="J41" s="336">
        <f>SUM(J42:J85)</f>
        <v>1459485.5</v>
      </c>
      <c r="K41" s="375">
        <f>SUM(K42:K80)</f>
        <v>6</v>
      </c>
      <c r="L41" s="375"/>
      <c r="M41" s="375"/>
      <c r="N41" s="336" t="e">
        <f>SUM(N42:N82)</f>
        <v>#REF!</v>
      </c>
      <c r="O41" s="375">
        <f>SUM(O42:O80)</f>
        <v>6</v>
      </c>
      <c r="P41" s="375"/>
      <c r="Q41" s="375"/>
      <c r="R41" s="336">
        <f>SUM(R42:R80)</f>
        <v>943273</v>
      </c>
      <c r="S41" s="375">
        <f>SUM(S42:S80)</f>
        <v>6.5</v>
      </c>
      <c r="T41" s="375"/>
      <c r="U41" s="375"/>
      <c r="V41" s="336">
        <f>SUM(V42:V85)</f>
        <v>962879</v>
      </c>
      <c r="W41" s="375">
        <f>SUM(W42:W80)</f>
        <v>6.5</v>
      </c>
      <c r="X41" s="375"/>
      <c r="Y41" s="375"/>
      <c r="Z41" s="336">
        <f>SUM(Z42:Z85)-1</f>
        <v>1079409</v>
      </c>
      <c r="AA41" s="375">
        <f>SUM(AA42:AA80)</f>
        <v>6.5</v>
      </c>
      <c r="AB41" s="375"/>
      <c r="AC41" s="375"/>
      <c r="AD41" s="336">
        <f>SUM(AD42:AD85)</f>
        <v>1050651</v>
      </c>
      <c r="AE41" s="375">
        <f>SUM(AE42:AE80)</f>
        <v>6.5</v>
      </c>
      <c r="AF41" s="375"/>
      <c r="AG41" s="375"/>
      <c r="AH41" s="336">
        <f>SUM(AH42:AH85)</f>
        <v>1125671</v>
      </c>
    </row>
    <row r="42" spans="1:34" s="47" customFormat="1" x14ac:dyDescent="0.25">
      <c r="A42" s="435" t="s">
        <v>1079</v>
      </c>
      <c r="B42" s="341" t="s">
        <v>707</v>
      </c>
      <c r="C42" s="376"/>
      <c r="D42" s="376"/>
      <c r="E42" s="376"/>
      <c r="F42" s="345">
        <f>'2C Önk bev kiad fel'!E73</f>
        <v>6010</v>
      </c>
      <c r="G42" s="376"/>
      <c r="H42" s="376"/>
      <c r="I42" s="376"/>
      <c r="J42" s="345">
        <f>'2C Önk bev kiad fel'!H73</f>
        <v>8541</v>
      </c>
      <c r="K42" s="376"/>
      <c r="L42" s="376"/>
      <c r="M42" s="376"/>
      <c r="N42" s="345">
        <f>'2C Önk bev kiad fel'!K73</f>
        <v>8541</v>
      </c>
      <c r="O42" s="376"/>
      <c r="P42" s="376"/>
      <c r="Q42" s="376"/>
      <c r="R42" s="345">
        <f>'2C Önk bev kiad fel'!N73</f>
        <v>6054</v>
      </c>
      <c r="S42" s="964"/>
      <c r="T42" s="964"/>
      <c r="U42" s="964"/>
      <c r="V42" s="924">
        <f>'2C Önk bev kiad fel'!Q73</f>
        <v>6786</v>
      </c>
      <c r="W42" s="376"/>
      <c r="X42" s="376"/>
      <c r="Y42" s="376"/>
      <c r="Z42" s="345">
        <f>'2C Önk bev kiad fel'!T73</f>
        <v>6786</v>
      </c>
      <c r="AA42" s="376"/>
      <c r="AB42" s="376"/>
      <c r="AC42" s="376"/>
      <c r="AD42" s="345">
        <f>'2C Önk bev kiad fel'!W73</f>
        <v>6786</v>
      </c>
      <c r="AE42" s="964"/>
      <c r="AF42" s="964"/>
      <c r="AG42" s="964"/>
      <c r="AH42" s="924">
        <f>'2C Önk bev kiad fel'!Z73</f>
        <v>7286</v>
      </c>
    </row>
    <row r="43" spans="1:34" s="47" customFormat="1" x14ac:dyDescent="0.25">
      <c r="A43" s="435" t="s">
        <v>1080</v>
      </c>
      <c r="B43" s="341" t="s">
        <v>708</v>
      </c>
      <c r="C43" s="376"/>
      <c r="D43" s="376"/>
      <c r="E43" s="376"/>
      <c r="F43" s="345">
        <f>'2C Önk bev kiad fel'!E76</f>
        <v>7050</v>
      </c>
      <c r="G43" s="376"/>
      <c r="H43" s="376"/>
      <c r="I43" s="376"/>
      <c r="J43" s="345">
        <f>'2C Önk bev kiad fel'!H76</f>
        <v>7050</v>
      </c>
      <c r="K43" s="376"/>
      <c r="L43" s="376"/>
      <c r="M43" s="376"/>
      <c r="N43" s="345">
        <f>'2C Önk bev kiad fel'!K76</f>
        <v>7050</v>
      </c>
      <c r="O43" s="376"/>
      <c r="P43" s="376"/>
      <c r="Q43" s="376"/>
      <c r="R43" s="345">
        <f>'2C Önk bev kiad fel'!N76</f>
        <v>2081</v>
      </c>
      <c r="S43" s="964"/>
      <c r="T43" s="964"/>
      <c r="U43" s="964"/>
      <c r="V43" s="924">
        <f>'2C Önk bev kiad fel'!Q76</f>
        <v>5000</v>
      </c>
      <c r="W43" s="376"/>
      <c r="X43" s="376"/>
      <c r="Y43" s="376"/>
      <c r="Z43" s="345">
        <f>'2C Önk bev kiad fel'!T76</f>
        <v>5000</v>
      </c>
      <c r="AA43" s="376"/>
      <c r="AB43" s="376"/>
      <c r="AC43" s="376"/>
      <c r="AD43" s="345">
        <f>'2C Önk bev kiad fel'!W76</f>
        <v>5000</v>
      </c>
      <c r="AE43" s="964"/>
      <c r="AF43" s="964"/>
      <c r="AG43" s="964"/>
      <c r="AH43" s="924">
        <f>'2C Önk bev kiad fel'!Z76</f>
        <v>5000</v>
      </c>
    </row>
    <row r="44" spans="1:34" s="47" customFormat="1" x14ac:dyDescent="0.25">
      <c r="A44" s="435" t="s">
        <v>1081</v>
      </c>
      <c r="B44" s="342" t="s">
        <v>1084</v>
      </c>
      <c r="C44" s="377"/>
      <c r="D44" s="377"/>
      <c r="E44" s="377"/>
      <c r="F44" s="372">
        <f>'2C Önk bev kiad fel'!E79</f>
        <v>1500</v>
      </c>
      <c r="G44" s="377"/>
      <c r="H44" s="377"/>
      <c r="I44" s="377"/>
      <c r="J44" s="372">
        <f>'2C Önk bev kiad fel'!H79</f>
        <v>1500</v>
      </c>
      <c r="K44" s="377"/>
      <c r="L44" s="377"/>
      <c r="M44" s="377"/>
      <c r="N44" s="372">
        <f>'2C Önk bev kiad fel'!K79</f>
        <v>1500</v>
      </c>
      <c r="O44" s="377"/>
      <c r="P44" s="377"/>
      <c r="Q44" s="377"/>
      <c r="R44" s="372">
        <f>'2C Önk bev kiad fel'!N79</f>
        <v>454</v>
      </c>
      <c r="S44" s="965"/>
      <c r="T44" s="965"/>
      <c r="U44" s="965"/>
      <c r="V44" s="930">
        <f>'2C Önk bev kiad fel'!Q79</f>
        <v>1500</v>
      </c>
      <c r="W44" s="377"/>
      <c r="X44" s="377"/>
      <c r="Y44" s="377"/>
      <c r="Z44" s="372">
        <f>'2C Önk bev kiad fel'!T79</f>
        <v>1500</v>
      </c>
      <c r="AA44" s="377"/>
      <c r="AB44" s="377"/>
      <c r="AC44" s="377"/>
      <c r="AD44" s="372">
        <f>'2C Önk bev kiad fel'!W79</f>
        <v>1500</v>
      </c>
      <c r="AE44" s="965"/>
      <c r="AF44" s="965"/>
      <c r="AG44" s="965"/>
      <c r="AH44" s="930">
        <f>'2C Önk bev kiad fel'!Z79</f>
        <v>1500</v>
      </c>
    </row>
    <row r="45" spans="1:34" s="47" customFormat="1" x14ac:dyDescent="0.25">
      <c r="A45" s="435" t="s">
        <v>1082</v>
      </c>
      <c r="B45" s="341" t="s">
        <v>1085</v>
      </c>
      <c r="C45" s="376"/>
      <c r="D45" s="376"/>
      <c r="E45" s="376"/>
      <c r="F45" s="345">
        <f>'2C Önk bev kiad fel'!E83</f>
        <v>5000</v>
      </c>
      <c r="G45" s="376"/>
      <c r="H45" s="376"/>
      <c r="I45" s="376"/>
      <c r="J45" s="345">
        <f>'2C Önk bev kiad fel'!H83</f>
        <v>5000</v>
      </c>
      <c r="K45" s="376"/>
      <c r="L45" s="376"/>
      <c r="M45" s="376"/>
      <c r="N45" s="345">
        <f>'2C Önk bev kiad fel'!K83</f>
        <v>5000</v>
      </c>
      <c r="O45" s="376"/>
      <c r="P45" s="376"/>
      <c r="Q45" s="376"/>
      <c r="R45" s="345">
        <f>'2C Önk bev kiad fel'!N83</f>
        <v>2940</v>
      </c>
      <c r="S45" s="964"/>
      <c r="T45" s="964"/>
      <c r="U45" s="964"/>
      <c r="V45" s="924">
        <f>'2C Önk bev kiad fel'!Q83</f>
        <v>4000</v>
      </c>
      <c r="W45" s="376"/>
      <c r="X45" s="376"/>
      <c r="Y45" s="376"/>
      <c r="Z45" s="345">
        <f>'2C Önk bev kiad fel'!T83</f>
        <v>4000</v>
      </c>
      <c r="AA45" s="376"/>
      <c r="AB45" s="376"/>
      <c r="AC45" s="376"/>
      <c r="AD45" s="345">
        <f>'2C Önk bev kiad fel'!W83</f>
        <v>4000</v>
      </c>
      <c r="AE45" s="964"/>
      <c r="AF45" s="964"/>
      <c r="AG45" s="964"/>
      <c r="AH45" s="924">
        <f>'2C Önk bev kiad fel'!Z83</f>
        <v>4000</v>
      </c>
    </row>
    <row r="46" spans="1:34" s="47" customFormat="1" x14ac:dyDescent="0.25">
      <c r="A46" s="435" t="s">
        <v>1083</v>
      </c>
      <c r="B46" s="341" t="s">
        <v>1088</v>
      </c>
      <c r="C46" s="376"/>
      <c r="D46" s="376"/>
      <c r="E46" s="376"/>
      <c r="F46" s="345">
        <f>'2C Önk bev kiad fel'!E87</f>
        <v>2811</v>
      </c>
      <c r="G46" s="376"/>
      <c r="H46" s="376"/>
      <c r="I46" s="376"/>
      <c r="J46" s="345">
        <f>'2C Önk bev kiad fel'!H87</f>
        <v>2811</v>
      </c>
      <c r="K46" s="376"/>
      <c r="L46" s="376"/>
      <c r="M46" s="376"/>
      <c r="N46" s="345">
        <f>'2C Önk bev kiad fel'!K87</f>
        <v>2811</v>
      </c>
      <c r="O46" s="376"/>
      <c r="P46" s="376"/>
      <c r="Q46" s="376"/>
      <c r="R46" s="345">
        <f>'2C Önk bev kiad fel'!N87</f>
        <v>1099</v>
      </c>
      <c r="S46" s="964"/>
      <c r="T46" s="964"/>
      <c r="U46" s="964"/>
      <c r="V46" s="924">
        <f>'2C Önk bev kiad fel'!Q87</f>
        <v>6308</v>
      </c>
      <c r="W46" s="858"/>
      <c r="X46" s="858"/>
      <c r="Y46" s="858"/>
      <c r="Z46" s="859">
        <f>'2C Önk bev kiad fel'!T87</f>
        <v>6673</v>
      </c>
      <c r="AA46" s="858"/>
      <c r="AB46" s="858"/>
      <c r="AC46" s="858"/>
      <c r="AD46" s="859">
        <f>'2C Önk bev kiad fel'!W87</f>
        <v>6673</v>
      </c>
      <c r="AE46" s="964"/>
      <c r="AF46" s="964"/>
      <c r="AG46" s="964"/>
      <c r="AH46" s="924">
        <f>'2C Önk bev kiad fel'!Z87</f>
        <v>6673</v>
      </c>
    </row>
    <row r="47" spans="1:34" s="47" customFormat="1" x14ac:dyDescent="0.25">
      <c r="A47" s="435" t="s">
        <v>1086</v>
      </c>
      <c r="B47" s="341" t="s">
        <v>1090</v>
      </c>
      <c r="C47" s="376"/>
      <c r="D47" s="376"/>
      <c r="E47" s="376"/>
      <c r="F47" s="345">
        <f>'2C Önk bev kiad fel'!E89</f>
        <v>1595</v>
      </c>
      <c r="G47" s="376"/>
      <c r="H47" s="376"/>
      <c r="I47" s="376"/>
      <c r="J47" s="345">
        <f>'2C Önk bev kiad fel'!H89</f>
        <v>1595</v>
      </c>
      <c r="K47" s="376"/>
      <c r="L47" s="376"/>
      <c r="M47" s="376"/>
      <c r="N47" s="345">
        <f>'2C Önk bev kiad fel'!K89</f>
        <v>1595</v>
      </c>
      <c r="O47" s="376"/>
      <c r="P47" s="376"/>
      <c r="Q47" s="376"/>
      <c r="R47" s="345">
        <f>'2C Önk bev kiad fel'!N89</f>
        <v>2339</v>
      </c>
      <c r="S47" s="964"/>
      <c r="T47" s="964"/>
      <c r="U47" s="964"/>
      <c r="V47" s="924">
        <f>'2C Önk bev kiad fel'!Q89</f>
        <v>6350</v>
      </c>
      <c r="W47" s="858"/>
      <c r="X47" s="858"/>
      <c r="Y47" s="858"/>
      <c r="Z47" s="859">
        <f>'2C Önk bev kiad fel'!T89</f>
        <v>6350</v>
      </c>
      <c r="AA47" s="858"/>
      <c r="AB47" s="858"/>
      <c r="AC47" s="858"/>
      <c r="AD47" s="859">
        <f>'2C Önk bev kiad fel'!W89</f>
        <v>6350</v>
      </c>
      <c r="AE47" s="964"/>
      <c r="AF47" s="964"/>
      <c r="AG47" s="964"/>
      <c r="AH47" s="924">
        <f>'2C Önk bev kiad fel'!Z89</f>
        <v>6350</v>
      </c>
    </row>
    <row r="48" spans="1:34" s="47" customFormat="1" x14ac:dyDescent="0.25">
      <c r="A48" s="435" t="s">
        <v>1087</v>
      </c>
      <c r="B48" s="341" t="s">
        <v>1092</v>
      </c>
      <c r="C48" s="376"/>
      <c r="D48" s="376"/>
      <c r="E48" s="376"/>
      <c r="F48" s="345">
        <f>'2C Önk bev kiad fel'!E91</f>
        <v>3500</v>
      </c>
      <c r="G48" s="376"/>
      <c r="H48" s="376"/>
      <c r="I48" s="376"/>
      <c r="J48" s="345">
        <f>'2C Önk bev kiad fel'!H91</f>
        <v>3642</v>
      </c>
      <c r="K48" s="376"/>
      <c r="L48" s="376"/>
      <c r="M48" s="376"/>
      <c r="N48" s="345">
        <f>'2C Önk bev kiad fel'!K91</f>
        <v>3500</v>
      </c>
      <c r="O48" s="376"/>
      <c r="P48" s="376"/>
      <c r="Q48" s="376"/>
      <c r="R48" s="345">
        <f>'2C Önk bev kiad fel'!N91</f>
        <v>3680</v>
      </c>
      <c r="S48" s="964"/>
      <c r="T48" s="964"/>
      <c r="U48" s="964"/>
      <c r="V48" s="924">
        <f>'2C Önk bev kiad fel'!Q91</f>
        <v>4680</v>
      </c>
      <c r="W48" s="858"/>
      <c r="X48" s="858"/>
      <c r="Y48" s="858"/>
      <c r="Z48" s="859">
        <f>'2C Önk bev kiad fel'!T91</f>
        <v>4680</v>
      </c>
      <c r="AA48" s="858"/>
      <c r="AB48" s="858"/>
      <c r="AC48" s="858"/>
      <c r="AD48" s="859">
        <f>'2C Önk bev kiad fel'!W91</f>
        <v>4680</v>
      </c>
      <c r="AE48" s="964"/>
      <c r="AF48" s="964"/>
      <c r="AG48" s="964"/>
      <c r="AH48" s="924">
        <f>'2C Önk bev kiad fel'!Z91</f>
        <v>5616</v>
      </c>
    </row>
    <row r="49" spans="1:34" s="170" customFormat="1" x14ac:dyDescent="0.25">
      <c r="A49" s="435" t="s">
        <v>1089</v>
      </c>
      <c r="B49" s="342" t="s">
        <v>713</v>
      </c>
      <c r="C49" s="377"/>
      <c r="D49" s="377"/>
      <c r="E49" s="377"/>
      <c r="F49" s="372">
        <f>'2C Önk bev kiad fel'!E93</f>
        <v>1000</v>
      </c>
      <c r="G49" s="377"/>
      <c r="H49" s="377"/>
      <c r="I49" s="377"/>
      <c r="J49" s="372">
        <f>'2C Önk bev kiad fel'!H93</f>
        <v>1000</v>
      </c>
      <c r="K49" s="377"/>
      <c r="L49" s="377"/>
      <c r="M49" s="377"/>
      <c r="N49" s="372">
        <f>'2C Önk bev kiad fel'!K93</f>
        <v>1000</v>
      </c>
      <c r="O49" s="377"/>
      <c r="P49" s="377"/>
      <c r="Q49" s="377"/>
      <c r="R49" s="372">
        <f>'2C Önk bev kiad fel'!N93</f>
        <v>630</v>
      </c>
      <c r="S49" s="965"/>
      <c r="T49" s="965"/>
      <c r="U49" s="965"/>
      <c r="V49" s="930">
        <f>'2C Önk bev kiad fel'!Q93</f>
        <v>1372</v>
      </c>
      <c r="W49" s="860"/>
      <c r="X49" s="860"/>
      <c r="Y49" s="860"/>
      <c r="Z49" s="861">
        <f>'2C Önk bev kiad fel'!T93</f>
        <v>1372</v>
      </c>
      <c r="AA49" s="860"/>
      <c r="AB49" s="860"/>
      <c r="AC49" s="860"/>
      <c r="AD49" s="861">
        <f>'2C Önk bev kiad fel'!W93</f>
        <v>1372</v>
      </c>
      <c r="AE49" s="965"/>
      <c r="AF49" s="965"/>
      <c r="AG49" s="965"/>
      <c r="AH49" s="930">
        <f>'2C Önk bev kiad fel'!Z93</f>
        <v>1372</v>
      </c>
    </row>
    <row r="50" spans="1:34" s="47" customFormat="1" x14ac:dyDescent="0.25">
      <c r="A50" s="435" t="s">
        <v>1091</v>
      </c>
      <c r="B50" s="341" t="s">
        <v>714</v>
      </c>
      <c r="C50" s="376"/>
      <c r="D50" s="376"/>
      <c r="E50" s="376"/>
      <c r="F50" s="345">
        <f>'2C Önk bev kiad fel'!E95</f>
        <v>1750</v>
      </c>
      <c r="G50" s="376"/>
      <c r="H50" s="376"/>
      <c r="I50" s="376"/>
      <c r="J50" s="345">
        <f>'2C Önk bev kiad fel'!H95</f>
        <v>875</v>
      </c>
      <c r="K50" s="376"/>
      <c r="L50" s="376"/>
      <c r="M50" s="376"/>
      <c r="N50" s="345">
        <f>'2C Önk bev kiad fel'!K95</f>
        <v>1750</v>
      </c>
      <c r="O50" s="376"/>
      <c r="P50" s="376"/>
      <c r="Q50" s="376"/>
      <c r="R50" s="345">
        <f>'2C Önk bev kiad fel'!N95</f>
        <v>875</v>
      </c>
      <c r="S50" s="964"/>
      <c r="T50" s="964"/>
      <c r="U50" s="964"/>
      <c r="V50" s="924">
        <f>'2C Önk bev kiad fel'!Q95</f>
        <v>0</v>
      </c>
      <c r="W50" s="858"/>
      <c r="X50" s="858"/>
      <c r="Y50" s="858"/>
      <c r="Z50" s="859">
        <f>'2C Önk bev kiad fel'!T95</f>
        <v>0</v>
      </c>
      <c r="AA50" s="858"/>
      <c r="AB50" s="858"/>
      <c r="AC50" s="858"/>
      <c r="AD50" s="859">
        <f>'2C Önk bev kiad fel'!W95</f>
        <v>0</v>
      </c>
      <c r="AE50" s="964"/>
      <c r="AF50" s="964"/>
      <c r="AG50" s="964"/>
      <c r="AH50" s="924">
        <f>'2C Önk bev kiad fel'!Z95</f>
        <v>0</v>
      </c>
    </row>
    <row r="51" spans="1:34" s="47" customFormat="1" x14ac:dyDescent="0.25">
      <c r="A51" s="435" t="s">
        <v>1093</v>
      </c>
      <c r="B51" s="341" t="s">
        <v>715</v>
      </c>
      <c r="C51" s="376"/>
      <c r="D51" s="376"/>
      <c r="E51" s="376"/>
      <c r="F51" s="345">
        <f>'2C Önk bev kiad fel'!E97</f>
        <v>1829</v>
      </c>
      <c r="G51" s="376"/>
      <c r="H51" s="376"/>
      <c r="I51" s="376"/>
      <c r="J51" s="345">
        <f>'2C Önk bev kiad fel'!H97</f>
        <v>1829</v>
      </c>
      <c r="K51" s="376"/>
      <c r="L51" s="376"/>
      <c r="M51" s="376"/>
      <c r="N51" s="345">
        <f>'2C Önk bev kiad fel'!K97</f>
        <v>1829</v>
      </c>
      <c r="O51" s="376"/>
      <c r="P51" s="376"/>
      <c r="Q51" s="376"/>
      <c r="R51" s="345">
        <f>'2C Önk bev kiad fel'!N97</f>
        <v>1829</v>
      </c>
      <c r="S51" s="964"/>
      <c r="T51" s="964"/>
      <c r="U51" s="964"/>
      <c r="V51" s="924">
        <f>'2C Önk bev kiad fel'!Q97</f>
        <v>1829</v>
      </c>
      <c r="W51" s="858"/>
      <c r="X51" s="858"/>
      <c r="Y51" s="858"/>
      <c r="Z51" s="859">
        <f>'2C Önk bev kiad fel'!T97</f>
        <v>1829</v>
      </c>
      <c r="AA51" s="858"/>
      <c r="AB51" s="858"/>
      <c r="AC51" s="858"/>
      <c r="AD51" s="859">
        <f>'2C Önk bev kiad fel'!W97</f>
        <v>1829</v>
      </c>
      <c r="AE51" s="964"/>
      <c r="AF51" s="964"/>
      <c r="AG51" s="964"/>
      <c r="AH51" s="924">
        <f>'2C Önk bev kiad fel'!Z97</f>
        <v>1829</v>
      </c>
    </row>
    <row r="52" spans="1:34" s="47" customFormat="1" x14ac:dyDescent="0.25">
      <c r="A52" s="435" t="s">
        <v>1094</v>
      </c>
      <c r="B52" s="341" t="s">
        <v>716</v>
      </c>
      <c r="C52" s="376"/>
      <c r="D52" s="376"/>
      <c r="E52" s="376"/>
      <c r="F52" s="345">
        <f>'2C Önk bev kiad fel'!E99</f>
        <v>2421</v>
      </c>
      <c r="G52" s="376"/>
      <c r="H52" s="376"/>
      <c r="I52" s="376"/>
      <c r="J52" s="345">
        <f>'2C Önk bev kiad fel'!H99</f>
        <v>2421</v>
      </c>
      <c r="K52" s="376"/>
      <c r="L52" s="376"/>
      <c r="M52" s="376"/>
      <c r="N52" s="345">
        <f>'2C Önk bev kiad fel'!K99</f>
        <v>2421</v>
      </c>
      <c r="O52" s="376"/>
      <c r="P52" s="376"/>
      <c r="Q52" s="376"/>
      <c r="R52" s="345">
        <f>'2C Önk bev kiad fel'!N99</f>
        <v>2420</v>
      </c>
      <c r="S52" s="964"/>
      <c r="T52" s="964"/>
      <c r="U52" s="964"/>
      <c r="V52" s="924">
        <f>'2C Önk bev kiad fel'!Q99</f>
        <v>2420</v>
      </c>
      <c r="W52" s="376"/>
      <c r="X52" s="376"/>
      <c r="Y52" s="376"/>
      <c r="Z52" s="345">
        <f>'2C Önk bev kiad fel'!T99</f>
        <v>2420</v>
      </c>
      <c r="AA52" s="376"/>
      <c r="AB52" s="376"/>
      <c r="AC52" s="376"/>
      <c r="AD52" s="345">
        <f>'2C Önk bev kiad fel'!W99</f>
        <v>2420</v>
      </c>
      <c r="AE52" s="964"/>
      <c r="AF52" s="964"/>
      <c r="AG52" s="964"/>
      <c r="AH52" s="924">
        <f>'2C Önk bev kiad fel'!Z99</f>
        <v>2420</v>
      </c>
    </row>
    <row r="53" spans="1:34" s="47" customFormat="1" x14ac:dyDescent="0.25">
      <c r="A53" s="435" t="s">
        <v>1095</v>
      </c>
      <c r="B53" s="341" t="s">
        <v>717</v>
      </c>
      <c r="C53" s="376"/>
      <c r="D53" s="376"/>
      <c r="E53" s="376"/>
      <c r="F53" s="345">
        <f>'2C Önk bev kiad fel'!E101</f>
        <v>2400</v>
      </c>
      <c r="G53" s="376"/>
      <c r="H53" s="376"/>
      <c r="I53" s="376"/>
      <c r="J53" s="345">
        <f>'2C Önk bev kiad fel'!H101</f>
        <v>2400</v>
      </c>
      <c r="K53" s="376"/>
      <c r="L53" s="376"/>
      <c r="M53" s="376"/>
      <c r="N53" s="345">
        <f>'2C Önk bev kiad fel'!K101</f>
        <v>2400</v>
      </c>
      <c r="O53" s="376"/>
      <c r="P53" s="376"/>
      <c r="Q53" s="376"/>
      <c r="R53" s="345">
        <f>'2C Önk bev kiad fel'!N101</f>
        <v>1008</v>
      </c>
      <c r="S53" s="964"/>
      <c r="T53" s="964"/>
      <c r="U53" s="964"/>
      <c r="V53" s="924">
        <f>'2C Önk bev kiad fel'!Q101</f>
        <v>2400</v>
      </c>
      <c r="W53" s="376"/>
      <c r="X53" s="376"/>
      <c r="Y53" s="376"/>
      <c r="Z53" s="345">
        <f>'2C Önk bev kiad fel'!T101</f>
        <v>2400</v>
      </c>
      <c r="AA53" s="376"/>
      <c r="AB53" s="376"/>
      <c r="AC53" s="376"/>
      <c r="AD53" s="345">
        <f>'2C Önk bev kiad fel'!W101</f>
        <v>2400</v>
      </c>
      <c r="AE53" s="964"/>
      <c r="AF53" s="964"/>
      <c r="AG53" s="964"/>
      <c r="AH53" s="924">
        <f>'2C Önk bev kiad fel'!Z101</f>
        <v>2400</v>
      </c>
    </row>
    <row r="54" spans="1:34" s="47" customFormat="1" x14ac:dyDescent="0.25">
      <c r="A54" s="435" t="s">
        <v>1096</v>
      </c>
      <c r="B54" s="341" t="s">
        <v>1099</v>
      </c>
      <c r="C54" s="376"/>
      <c r="D54" s="376"/>
      <c r="E54" s="376"/>
      <c r="F54" s="345">
        <f>'2C Önk bev kiad fel'!E103</f>
        <v>1500</v>
      </c>
      <c r="G54" s="376"/>
      <c r="H54" s="376"/>
      <c r="I54" s="376"/>
      <c r="J54" s="345">
        <f>'2C Önk bev kiad fel'!H103</f>
        <v>1500</v>
      </c>
      <c r="K54" s="376"/>
      <c r="L54" s="376"/>
      <c r="M54" s="376"/>
      <c r="N54" s="345">
        <f>'2C Önk bev kiad fel'!K103</f>
        <v>1500</v>
      </c>
      <c r="O54" s="376"/>
      <c r="P54" s="376"/>
      <c r="Q54" s="376"/>
      <c r="R54" s="345">
        <f>'2C Önk bev kiad fel'!N103</f>
        <v>1178</v>
      </c>
      <c r="S54" s="964"/>
      <c r="T54" s="964"/>
      <c r="U54" s="964"/>
      <c r="V54" s="924">
        <f>'2C Önk bev kiad fel'!Q103</f>
        <v>2540</v>
      </c>
      <c r="W54" s="376"/>
      <c r="X54" s="376"/>
      <c r="Y54" s="376"/>
      <c r="Z54" s="345">
        <f>'2C Önk bev kiad fel'!T103</f>
        <v>2540</v>
      </c>
      <c r="AA54" s="376"/>
      <c r="AB54" s="376"/>
      <c r="AC54" s="376"/>
      <c r="AD54" s="345">
        <f>'2C Önk bev kiad fel'!W103</f>
        <v>2540</v>
      </c>
      <c r="AE54" s="964"/>
      <c r="AF54" s="964"/>
      <c r="AG54" s="964"/>
      <c r="AH54" s="924">
        <f>'2C Önk bev kiad fel'!Z103</f>
        <v>2540</v>
      </c>
    </row>
    <row r="55" spans="1:34" s="47" customFormat="1" x14ac:dyDescent="0.25">
      <c r="A55" s="435" t="s">
        <v>1097</v>
      </c>
      <c r="B55" s="341" t="s">
        <v>719</v>
      </c>
      <c r="C55" s="376"/>
      <c r="D55" s="376"/>
      <c r="E55" s="376"/>
      <c r="F55" s="345">
        <f>'2C Önk bev kiad fel'!E107</f>
        <v>37260</v>
      </c>
      <c r="G55" s="376"/>
      <c r="H55" s="376"/>
      <c r="I55" s="376"/>
      <c r="J55" s="345">
        <f>'2C Önk bev kiad fel'!H107</f>
        <v>43185</v>
      </c>
      <c r="K55" s="376"/>
      <c r="L55" s="376"/>
      <c r="M55" s="376"/>
      <c r="N55" s="345">
        <f>'2C Önk bev kiad fel'!K107</f>
        <v>43185</v>
      </c>
      <c r="O55" s="376"/>
      <c r="P55" s="376"/>
      <c r="Q55" s="376"/>
      <c r="R55" s="345">
        <f>'2C Önk bev kiad fel'!N107</f>
        <v>46077</v>
      </c>
      <c r="S55" s="964"/>
      <c r="T55" s="964"/>
      <c r="U55" s="964"/>
      <c r="V55" s="924">
        <f>'2C Önk bev kiad fel'!Q107</f>
        <v>34285</v>
      </c>
      <c r="W55" s="376"/>
      <c r="X55" s="376"/>
      <c r="Y55" s="376"/>
      <c r="Z55" s="345">
        <f>'2C Önk bev kiad fel'!T107</f>
        <v>36537</v>
      </c>
      <c r="AA55" s="376"/>
      <c r="AB55" s="376"/>
      <c r="AC55" s="376"/>
      <c r="AD55" s="345">
        <f>'2C Önk bev kiad fel'!W107</f>
        <v>37037</v>
      </c>
      <c r="AE55" s="964"/>
      <c r="AF55" s="964"/>
      <c r="AG55" s="964"/>
      <c r="AH55" s="924">
        <f>'2C Önk bev kiad fel'!Z107</f>
        <v>38180</v>
      </c>
    </row>
    <row r="56" spans="1:34" s="170" customFormat="1" ht="30" x14ac:dyDescent="0.25">
      <c r="A56" s="435" t="s">
        <v>1098</v>
      </c>
      <c r="B56" s="342" t="s">
        <v>1385</v>
      </c>
      <c r="C56" s="377"/>
      <c r="D56" s="377"/>
      <c r="E56" s="377"/>
      <c r="F56" s="372">
        <f>'2C Önk bev kiad fel'!E112</f>
        <v>8163</v>
      </c>
      <c r="G56" s="377"/>
      <c r="H56" s="377"/>
      <c r="I56" s="377"/>
      <c r="J56" s="372">
        <f>'2C Önk bev kiad fel'!H112</f>
        <v>8163</v>
      </c>
      <c r="K56" s="377"/>
      <c r="L56" s="377"/>
      <c r="M56" s="377"/>
      <c r="N56" s="372">
        <f>'2C Önk bev kiad fel'!K112</f>
        <v>8163</v>
      </c>
      <c r="O56" s="377"/>
      <c r="P56" s="377"/>
      <c r="Q56" s="377"/>
      <c r="R56" s="372">
        <f>'2C Önk bev kiad fel'!N112</f>
        <v>8163</v>
      </c>
      <c r="S56" s="965"/>
      <c r="T56" s="965"/>
      <c r="U56" s="965"/>
      <c r="V56" s="930">
        <f>'2C Önk bev kiad fel'!Q112</f>
        <v>8163</v>
      </c>
      <c r="W56" s="377"/>
      <c r="X56" s="377"/>
      <c r="Y56" s="377"/>
      <c r="Z56" s="372">
        <f>'2C Önk bev kiad fel'!T112</f>
        <v>8163</v>
      </c>
      <c r="AA56" s="377"/>
      <c r="AB56" s="377"/>
      <c r="AC56" s="377"/>
      <c r="AD56" s="372">
        <f>'2C Önk bev kiad fel'!W112</f>
        <v>8163</v>
      </c>
      <c r="AE56" s="965"/>
      <c r="AF56" s="965"/>
      <c r="AG56" s="965"/>
      <c r="AH56" s="930">
        <f>'2C Önk bev kiad fel'!Z112</f>
        <v>8163</v>
      </c>
    </row>
    <row r="57" spans="1:34" s="47" customFormat="1" x14ac:dyDescent="0.25">
      <c r="A57" s="435" t="s">
        <v>1100</v>
      </c>
      <c r="B57" s="341" t="s">
        <v>1103</v>
      </c>
      <c r="C57" s="376"/>
      <c r="D57" s="376"/>
      <c r="E57" s="376"/>
      <c r="F57" s="345">
        <f>'2C Önk bev kiad fel'!E114</f>
        <v>360</v>
      </c>
      <c r="G57" s="376"/>
      <c r="H57" s="376"/>
      <c r="I57" s="376"/>
      <c r="J57" s="345">
        <f>'2C Önk bev kiad fel'!H114</f>
        <v>360</v>
      </c>
      <c r="K57" s="376"/>
      <c r="L57" s="376"/>
      <c r="M57" s="376"/>
      <c r="N57" s="345">
        <f>'2C Önk bev kiad fel'!K114</f>
        <v>360</v>
      </c>
      <c r="O57" s="376"/>
      <c r="P57" s="376"/>
      <c r="Q57" s="376"/>
      <c r="R57" s="345">
        <f>'2C Önk bev kiad fel'!N114</f>
        <v>147</v>
      </c>
      <c r="S57" s="964"/>
      <c r="T57" s="964"/>
      <c r="U57" s="964"/>
      <c r="V57" s="924">
        <f>'2C Önk bev kiad fel'!Q114</f>
        <v>360</v>
      </c>
      <c r="W57" s="376"/>
      <c r="X57" s="376"/>
      <c r="Y57" s="376"/>
      <c r="Z57" s="345">
        <f>'2C Önk bev kiad fel'!T114</f>
        <v>360</v>
      </c>
      <c r="AA57" s="376"/>
      <c r="AB57" s="376"/>
      <c r="AC57" s="376"/>
      <c r="AD57" s="345">
        <f>'2C Önk bev kiad fel'!W114</f>
        <v>360</v>
      </c>
      <c r="AE57" s="964"/>
      <c r="AF57" s="964"/>
      <c r="AG57" s="964"/>
      <c r="AH57" s="924">
        <f>'2C Önk bev kiad fel'!Z114</f>
        <v>360</v>
      </c>
    </row>
    <row r="58" spans="1:34" s="47" customFormat="1" x14ac:dyDescent="0.25">
      <c r="A58" s="435" t="s">
        <v>1101</v>
      </c>
      <c r="B58" s="418" t="s">
        <v>1358</v>
      </c>
      <c r="C58" s="376"/>
      <c r="D58" s="376"/>
      <c r="E58" s="376"/>
      <c r="F58" s="345">
        <f>'2C Önk bev kiad fel'!E119</f>
        <v>31064</v>
      </c>
      <c r="G58" s="376"/>
      <c r="H58" s="376"/>
      <c r="I58" s="376"/>
      <c r="J58" s="345">
        <f>'2C Önk bev kiad fel'!H119</f>
        <v>26224</v>
      </c>
      <c r="K58" s="376"/>
      <c r="L58" s="376"/>
      <c r="M58" s="376"/>
      <c r="N58" s="345">
        <f>'2C Önk bev kiad fel'!K119</f>
        <v>30683</v>
      </c>
      <c r="O58" s="376"/>
      <c r="P58" s="376"/>
      <c r="Q58" s="376"/>
      <c r="R58" s="345">
        <f>'2C Önk bev kiad fel'!N119</f>
        <v>26224</v>
      </c>
      <c r="S58" s="964"/>
      <c r="T58" s="964"/>
      <c r="U58" s="964"/>
      <c r="V58" s="924">
        <f>'2C Önk bev kiad fel'!Q119</f>
        <v>32000</v>
      </c>
      <c r="W58" s="376"/>
      <c r="X58" s="376"/>
      <c r="Y58" s="376"/>
      <c r="Z58" s="345">
        <f>'2C Önk bev kiad fel'!T119</f>
        <v>32000</v>
      </c>
      <c r="AA58" s="376"/>
      <c r="AB58" s="376"/>
      <c r="AC58" s="376"/>
      <c r="AD58" s="345">
        <f>'2C Önk bev kiad fel'!W119</f>
        <v>32000</v>
      </c>
      <c r="AE58" s="964"/>
      <c r="AF58" s="964"/>
      <c r="AG58" s="964"/>
      <c r="AH58" s="924">
        <f>'2C Önk bev kiad fel'!Z119</f>
        <v>32294</v>
      </c>
    </row>
    <row r="59" spans="1:34" s="47" customFormat="1" x14ac:dyDescent="0.25">
      <c r="A59" s="435" t="s">
        <v>1102</v>
      </c>
      <c r="B59" s="341" t="s">
        <v>1107</v>
      </c>
      <c r="C59" s="376"/>
      <c r="D59" s="376"/>
      <c r="E59" s="376"/>
      <c r="F59" s="345">
        <f>'2C Önk bev kiad fel'!E123</f>
        <v>2000</v>
      </c>
      <c r="G59" s="376"/>
      <c r="H59" s="376"/>
      <c r="I59" s="376"/>
      <c r="J59" s="345">
        <f>'2C Önk bev kiad fel'!H123</f>
        <v>2100</v>
      </c>
      <c r="K59" s="376"/>
      <c r="L59" s="376"/>
      <c r="M59" s="376"/>
      <c r="N59" s="345">
        <f>'2C Önk bev kiad fel'!K123</f>
        <v>2100</v>
      </c>
      <c r="O59" s="376"/>
      <c r="P59" s="376"/>
      <c r="Q59" s="376"/>
      <c r="R59" s="345">
        <f>'2C Önk bev kiad fel'!N123</f>
        <v>2100</v>
      </c>
      <c r="S59" s="964"/>
      <c r="T59" s="964"/>
      <c r="U59" s="964"/>
      <c r="V59" s="924">
        <f>'2C Önk bev kiad fel'!Q123</f>
        <v>2000</v>
      </c>
      <c r="W59" s="376"/>
      <c r="X59" s="376"/>
      <c r="Y59" s="376"/>
      <c r="Z59" s="345">
        <f>'2C Önk bev kiad fel'!T123</f>
        <v>2000</v>
      </c>
      <c r="AA59" s="376"/>
      <c r="AB59" s="376"/>
      <c r="AC59" s="376"/>
      <c r="AD59" s="345">
        <f>'2C Önk bev kiad fel'!W123</f>
        <v>2000</v>
      </c>
      <c r="AE59" s="964"/>
      <c r="AF59" s="964"/>
      <c r="AG59" s="964"/>
      <c r="AH59" s="924">
        <f>'2C Önk bev kiad fel'!Z123</f>
        <v>2100</v>
      </c>
    </row>
    <row r="60" spans="1:34" s="47" customFormat="1" x14ac:dyDescent="0.25">
      <c r="A60" s="435" t="s">
        <v>1104</v>
      </c>
      <c r="B60" s="341" t="s">
        <v>1109</v>
      </c>
      <c r="C60" s="376"/>
      <c r="D60" s="376"/>
      <c r="E60" s="376"/>
      <c r="F60" s="345">
        <f>'2C Önk bev kiad fel'!E125</f>
        <v>200</v>
      </c>
      <c r="G60" s="376"/>
      <c r="H60" s="376"/>
      <c r="I60" s="376"/>
      <c r="J60" s="345">
        <f>'2C Önk bev kiad fel'!H125</f>
        <v>200</v>
      </c>
      <c r="K60" s="376"/>
      <c r="L60" s="376"/>
      <c r="M60" s="376"/>
      <c r="N60" s="345">
        <f>'2C Önk bev kiad fel'!K125</f>
        <v>200</v>
      </c>
      <c r="O60" s="376"/>
      <c r="P60" s="376"/>
      <c r="Q60" s="376"/>
      <c r="R60" s="345">
        <f>'2C Önk bev kiad fel'!N125</f>
        <v>200</v>
      </c>
      <c r="S60" s="964"/>
      <c r="T60" s="964"/>
      <c r="U60" s="964"/>
      <c r="V60" s="924">
        <f>'2C Önk bev kiad fel'!Q125</f>
        <v>200</v>
      </c>
      <c r="W60" s="376"/>
      <c r="X60" s="376"/>
      <c r="Y60" s="376"/>
      <c r="Z60" s="345">
        <f>'2C Önk bev kiad fel'!T125</f>
        <v>200</v>
      </c>
      <c r="AA60" s="376"/>
      <c r="AB60" s="376"/>
      <c r="AC60" s="376"/>
      <c r="AD60" s="345">
        <f>'2C Önk bev kiad fel'!W125</f>
        <v>200</v>
      </c>
      <c r="AE60" s="964"/>
      <c r="AF60" s="964"/>
      <c r="AG60" s="964"/>
      <c r="AH60" s="924">
        <f>'2C Önk bev kiad fel'!Z125</f>
        <v>200</v>
      </c>
    </row>
    <row r="61" spans="1:34" s="47" customFormat="1" x14ac:dyDescent="0.25">
      <c r="A61" s="435" t="s">
        <v>1105</v>
      </c>
      <c r="B61" s="341" t="s">
        <v>733</v>
      </c>
      <c r="C61" s="376"/>
      <c r="D61" s="376"/>
      <c r="E61" s="376"/>
      <c r="F61" s="345">
        <f>'2C Önk bev kiad fel'!E129</f>
        <v>4440</v>
      </c>
      <c r="G61" s="376"/>
      <c r="H61" s="376"/>
      <c r="I61" s="376"/>
      <c r="J61" s="345">
        <f>'2C Önk bev kiad fel'!H129</f>
        <v>4440</v>
      </c>
      <c r="K61" s="376"/>
      <c r="L61" s="376"/>
      <c r="M61" s="376"/>
      <c r="N61" s="345">
        <f>'2C Önk bev kiad fel'!K129</f>
        <v>4440</v>
      </c>
      <c r="O61" s="376"/>
      <c r="P61" s="376"/>
      <c r="Q61" s="376"/>
      <c r="R61" s="345">
        <f>'2C Önk bev kiad fel'!N129</f>
        <v>4245</v>
      </c>
      <c r="S61" s="964"/>
      <c r="T61" s="964"/>
      <c r="U61" s="964"/>
      <c r="V61" s="924">
        <f>'2C Önk bev kiad fel'!Q129</f>
        <v>4440</v>
      </c>
      <c r="W61" s="376"/>
      <c r="X61" s="376"/>
      <c r="Y61" s="376"/>
      <c r="Z61" s="345">
        <f>'2C Önk bev kiad fel'!T129</f>
        <v>4620</v>
      </c>
      <c r="AA61" s="376"/>
      <c r="AB61" s="376"/>
      <c r="AC61" s="376"/>
      <c r="AD61" s="345">
        <f>'2C Önk bev kiad fel'!W129</f>
        <v>4620</v>
      </c>
      <c r="AE61" s="964"/>
      <c r="AF61" s="964"/>
      <c r="AG61" s="964"/>
      <c r="AH61" s="924">
        <f>'2C Önk bev kiad fel'!Z129</f>
        <v>4620</v>
      </c>
    </row>
    <row r="62" spans="1:34" s="47" customFormat="1" x14ac:dyDescent="0.25">
      <c r="A62" s="435" t="s">
        <v>1106</v>
      </c>
      <c r="B62" s="341" t="s">
        <v>735</v>
      </c>
      <c r="C62" s="376"/>
      <c r="D62" s="376"/>
      <c r="E62" s="376"/>
      <c r="F62" s="345">
        <f>'2C Önk bev kiad fel'!E131</f>
        <v>5400</v>
      </c>
      <c r="G62" s="376"/>
      <c r="H62" s="376"/>
      <c r="I62" s="376"/>
      <c r="J62" s="345">
        <f>'2C Önk bev kiad fel'!H131</f>
        <v>5400</v>
      </c>
      <c r="K62" s="376"/>
      <c r="L62" s="376"/>
      <c r="M62" s="376"/>
      <c r="N62" s="345">
        <f>'2C Önk bev kiad fel'!K131</f>
        <v>5400</v>
      </c>
      <c r="O62" s="376"/>
      <c r="P62" s="376"/>
      <c r="Q62" s="376"/>
      <c r="R62" s="345">
        <f>'2C Önk bev kiad fel'!N131</f>
        <v>5400</v>
      </c>
      <c r="S62" s="964"/>
      <c r="T62" s="964"/>
      <c r="U62" s="964"/>
      <c r="V62" s="924">
        <f>'2C Önk bev kiad fel'!Q131</f>
        <v>5400</v>
      </c>
      <c r="W62" s="376"/>
      <c r="X62" s="376"/>
      <c r="Y62" s="376"/>
      <c r="Z62" s="345">
        <f>'2C Önk bev kiad fel'!T131</f>
        <v>5400</v>
      </c>
      <c r="AA62" s="376"/>
      <c r="AB62" s="376"/>
      <c r="AC62" s="376"/>
      <c r="AD62" s="345">
        <f>'2C Önk bev kiad fel'!W131</f>
        <v>5400</v>
      </c>
      <c r="AE62" s="964"/>
      <c r="AF62" s="964"/>
      <c r="AG62" s="964"/>
      <c r="AH62" s="924">
        <f>'2C Önk bev kiad fel'!Z131</f>
        <v>5400</v>
      </c>
    </row>
    <row r="63" spans="1:34" s="47" customFormat="1" x14ac:dyDescent="0.25">
      <c r="A63" s="435" t="s">
        <v>1108</v>
      </c>
      <c r="B63" s="341" t="s">
        <v>737</v>
      </c>
      <c r="C63" s="376"/>
      <c r="D63" s="376"/>
      <c r="E63" s="376"/>
      <c r="F63" s="345">
        <f>'2C Önk bev kiad fel'!E133</f>
        <v>400</v>
      </c>
      <c r="G63" s="376"/>
      <c r="H63" s="376"/>
      <c r="I63" s="376"/>
      <c r="J63" s="345">
        <f>'2C Önk bev kiad fel'!H133</f>
        <v>400</v>
      </c>
      <c r="K63" s="376"/>
      <c r="L63" s="376"/>
      <c r="M63" s="376"/>
      <c r="N63" s="345">
        <f>'2C Önk bev kiad fel'!K133</f>
        <v>400</v>
      </c>
      <c r="O63" s="376"/>
      <c r="P63" s="376"/>
      <c r="Q63" s="376"/>
      <c r="R63" s="345">
        <f>'2C Önk bev kiad fel'!N133</f>
        <v>400</v>
      </c>
      <c r="S63" s="964"/>
      <c r="T63" s="964"/>
      <c r="U63" s="964"/>
      <c r="V63" s="924">
        <f>'2C Önk bev kiad fel'!Q133</f>
        <v>400</v>
      </c>
      <c r="W63" s="376"/>
      <c r="X63" s="376"/>
      <c r="Y63" s="376"/>
      <c r="Z63" s="345">
        <f>'2C Önk bev kiad fel'!T133</f>
        <v>400</v>
      </c>
      <c r="AA63" s="376"/>
      <c r="AB63" s="376"/>
      <c r="AC63" s="376"/>
      <c r="AD63" s="345">
        <f>'2C Önk bev kiad fel'!W133</f>
        <v>400</v>
      </c>
      <c r="AE63" s="964"/>
      <c r="AF63" s="964"/>
      <c r="AG63" s="964"/>
      <c r="AH63" s="924">
        <f>'2C Önk bev kiad fel'!Z133</f>
        <v>400</v>
      </c>
    </row>
    <row r="64" spans="1:34" s="47" customFormat="1" x14ac:dyDescent="0.25">
      <c r="A64" s="435" t="s">
        <v>1110</v>
      </c>
      <c r="B64" s="341" t="s">
        <v>1386</v>
      </c>
      <c r="C64" s="376"/>
      <c r="D64" s="376"/>
      <c r="E64" s="376"/>
      <c r="F64" s="345">
        <f>'2C Önk bev kiad fel'!E135</f>
        <v>81292</v>
      </c>
      <c r="G64" s="376"/>
      <c r="H64" s="376"/>
      <c r="I64" s="376"/>
      <c r="J64" s="345">
        <f>'2C Önk bev kiad fel'!H135</f>
        <v>81292</v>
      </c>
      <c r="K64" s="376"/>
      <c r="L64" s="376"/>
      <c r="M64" s="376"/>
      <c r="N64" s="345">
        <f>'2C Önk bev kiad fel'!K135</f>
        <v>81292</v>
      </c>
      <c r="O64" s="376"/>
      <c r="P64" s="376"/>
      <c r="Q64" s="376"/>
      <c r="R64" s="345">
        <f>'2C Önk bev kiad fel'!N135</f>
        <v>94798</v>
      </c>
      <c r="S64" s="964"/>
      <c r="T64" s="964"/>
      <c r="U64" s="964"/>
      <c r="V64" s="924">
        <f>'2C Önk bev kiad fel'!Q135</f>
        <v>81300</v>
      </c>
      <c r="W64" s="858"/>
      <c r="X64" s="858"/>
      <c r="Y64" s="858"/>
      <c r="Z64" s="859">
        <f>'2C Önk bev kiad fel'!T135</f>
        <v>81300</v>
      </c>
      <c r="AA64" s="858"/>
      <c r="AB64" s="858"/>
      <c r="AC64" s="858"/>
      <c r="AD64" s="859">
        <f>'2C Önk bev kiad fel'!W135</f>
        <v>81300</v>
      </c>
      <c r="AE64" s="964"/>
      <c r="AF64" s="964"/>
      <c r="AG64" s="964"/>
      <c r="AH64" s="924">
        <f>'2C Önk bev kiad fel'!Z135</f>
        <v>81300</v>
      </c>
    </row>
    <row r="65" spans="1:34" s="47" customFormat="1" x14ac:dyDescent="0.25">
      <c r="A65" s="435" t="s">
        <v>1111</v>
      </c>
      <c r="B65" s="341" t="s">
        <v>740</v>
      </c>
      <c r="C65" s="376"/>
      <c r="D65" s="376"/>
      <c r="E65" s="376"/>
      <c r="F65" s="345">
        <f>'2C Önk bev kiad fel'!E138</f>
        <v>34000</v>
      </c>
      <c r="G65" s="376"/>
      <c r="H65" s="376"/>
      <c r="I65" s="376"/>
      <c r="J65" s="345">
        <f>'2C Önk bev kiad fel'!H138</f>
        <v>58907</v>
      </c>
      <c r="K65" s="376"/>
      <c r="L65" s="376"/>
      <c r="M65" s="376"/>
      <c r="N65" s="345">
        <f>'2C Önk bev kiad fel'!K138</f>
        <v>58907</v>
      </c>
      <c r="O65" s="376"/>
      <c r="P65" s="376"/>
      <c r="Q65" s="376"/>
      <c r="R65" s="345">
        <f>'2C Önk bev kiad fel'!N138</f>
        <v>45358</v>
      </c>
      <c r="S65" s="964"/>
      <c r="T65" s="964"/>
      <c r="U65" s="964"/>
      <c r="V65" s="924">
        <f>'2C Önk bev kiad fel'!Q138</f>
        <v>37992</v>
      </c>
      <c r="W65" s="858"/>
      <c r="X65" s="858"/>
      <c r="Y65" s="858"/>
      <c r="Z65" s="859">
        <f>'2C Önk bev kiad fel'!T138</f>
        <v>37992</v>
      </c>
      <c r="AA65" s="858"/>
      <c r="AB65" s="858"/>
      <c r="AC65" s="858"/>
      <c r="AD65" s="859">
        <f>'2C Önk bev kiad fel'!W138</f>
        <v>44601</v>
      </c>
      <c r="AE65" s="964"/>
      <c r="AF65" s="964"/>
      <c r="AG65" s="964"/>
      <c r="AH65" s="924">
        <f>'2C Önk bev kiad fel'!Z138</f>
        <v>47563</v>
      </c>
    </row>
    <row r="66" spans="1:34" s="47" customFormat="1" x14ac:dyDescent="0.25">
      <c r="A66" s="435" t="s">
        <v>1112</v>
      </c>
      <c r="B66" s="341" t="s">
        <v>743</v>
      </c>
      <c r="C66" s="376"/>
      <c r="D66" s="376"/>
      <c r="E66" s="376"/>
      <c r="F66" s="345">
        <f>'2C Önk bev kiad fel'!E141</f>
        <v>6500</v>
      </c>
      <c r="G66" s="376"/>
      <c r="H66" s="376"/>
      <c r="I66" s="376"/>
      <c r="J66" s="345">
        <f>'2C Önk bev kiad fel'!H141</f>
        <v>11700</v>
      </c>
      <c r="K66" s="376"/>
      <c r="L66" s="376"/>
      <c r="M66" s="376"/>
      <c r="N66" s="345">
        <f>'2C Önk bev kiad fel'!K141</f>
        <v>19303</v>
      </c>
      <c r="O66" s="376"/>
      <c r="P66" s="376"/>
      <c r="Q66" s="376"/>
      <c r="R66" s="345">
        <f>'2C Önk bev kiad fel'!N141</f>
        <v>12200</v>
      </c>
      <c r="S66" s="964"/>
      <c r="T66" s="964"/>
      <c r="U66" s="964"/>
      <c r="V66" s="924">
        <f>'2C Önk bev kiad fel'!Q141</f>
        <v>6500</v>
      </c>
      <c r="W66" s="376"/>
      <c r="X66" s="376"/>
      <c r="Y66" s="376"/>
      <c r="Z66" s="345">
        <f>'2C Önk bev kiad fel'!T141</f>
        <v>7460</v>
      </c>
      <c r="AA66" s="376"/>
      <c r="AB66" s="376"/>
      <c r="AC66" s="376"/>
      <c r="AD66" s="345">
        <f>'2C Önk bev kiad fel'!W141</f>
        <v>9200</v>
      </c>
      <c r="AE66" s="964"/>
      <c r="AF66" s="964"/>
      <c r="AG66" s="964"/>
      <c r="AH66" s="924">
        <f>'2C Önk bev kiad fel'!Z141</f>
        <v>14972</v>
      </c>
    </row>
    <row r="67" spans="1:34" s="47" customFormat="1" x14ac:dyDescent="0.25">
      <c r="A67" s="435" t="s">
        <v>1113</v>
      </c>
      <c r="B67" s="341" t="s">
        <v>1119</v>
      </c>
      <c r="C67" s="376"/>
      <c r="D67" s="376"/>
      <c r="E67" s="376"/>
      <c r="F67" s="345">
        <f>'2C Önk bev kiad fel'!E144</f>
        <v>2000</v>
      </c>
      <c r="G67" s="376"/>
      <c r="H67" s="376"/>
      <c r="I67" s="376"/>
      <c r="J67" s="345">
        <f>'2C Önk bev kiad fel'!H144</f>
        <v>3080</v>
      </c>
      <c r="K67" s="376"/>
      <c r="L67" s="376"/>
      <c r="M67" s="376"/>
      <c r="N67" s="345">
        <f>'2C Önk bev kiad fel'!K144</f>
        <v>1450</v>
      </c>
      <c r="O67" s="376"/>
      <c r="P67" s="376"/>
      <c r="Q67" s="376"/>
      <c r="R67" s="345">
        <f>'2C Önk bev kiad fel'!N144</f>
        <v>3080</v>
      </c>
      <c r="S67" s="964"/>
      <c r="T67" s="964"/>
      <c r="U67" s="964"/>
      <c r="V67" s="924">
        <f>'2C Önk bev kiad fel'!Q144</f>
        <v>2000</v>
      </c>
      <c r="W67" s="376"/>
      <c r="X67" s="376"/>
      <c r="Y67" s="376"/>
      <c r="Z67" s="345">
        <f>'2C Önk bev kiad fel'!T144</f>
        <v>2000</v>
      </c>
      <c r="AA67" s="376"/>
      <c r="AB67" s="376"/>
      <c r="AC67" s="376"/>
      <c r="AD67" s="345">
        <f>'2C Önk bev kiad fel'!W144</f>
        <v>2100</v>
      </c>
      <c r="AE67" s="964"/>
      <c r="AF67" s="964"/>
      <c r="AG67" s="964"/>
      <c r="AH67" s="924">
        <f>'2C Önk bev kiad fel'!Z144</f>
        <v>2100</v>
      </c>
    </row>
    <row r="68" spans="1:34" s="47" customFormat="1" x14ac:dyDescent="0.25">
      <c r="A68" s="435" t="s">
        <v>1114</v>
      </c>
      <c r="B68" s="341" t="s">
        <v>747</v>
      </c>
      <c r="C68" s="376"/>
      <c r="D68" s="376"/>
      <c r="E68" s="376"/>
      <c r="F68" s="345">
        <f>'2C Önk bev kiad fel'!E146</f>
        <v>41500</v>
      </c>
      <c r="G68" s="376"/>
      <c r="H68" s="376"/>
      <c r="I68" s="376"/>
      <c r="J68" s="345">
        <f>'2C Önk bev kiad fel'!H146</f>
        <v>43860</v>
      </c>
      <c r="K68" s="376"/>
      <c r="L68" s="376"/>
      <c r="M68" s="376"/>
      <c r="N68" s="345">
        <f>'2C Önk bev kiad fel'!K146</f>
        <v>50080</v>
      </c>
      <c r="O68" s="376"/>
      <c r="P68" s="376"/>
      <c r="Q68" s="376"/>
      <c r="R68" s="345">
        <f>'2C Önk bev kiad fel'!N146</f>
        <v>43810</v>
      </c>
      <c r="S68" s="964"/>
      <c r="T68" s="964"/>
      <c r="U68" s="964"/>
      <c r="V68" s="924">
        <f>'2C Önk bev kiad fel'!Q146</f>
        <v>41500</v>
      </c>
      <c r="W68" s="376"/>
      <c r="X68" s="376"/>
      <c r="Y68" s="376"/>
      <c r="Z68" s="345">
        <f>'2C Önk bev kiad fel'!T146</f>
        <v>41500</v>
      </c>
      <c r="AA68" s="376"/>
      <c r="AB68" s="376"/>
      <c r="AC68" s="376"/>
      <c r="AD68" s="345">
        <f>'2C Önk bev kiad fel'!W146</f>
        <v>41200</v>
      </c>
      <c r="AE68" s="964"/>
      <c r="AF68" s="964"/>
      <c r="AG68" s="964"/>
      <c r="AH68" s="924">
        <f>'2C Önk bev kiad fel'!Z146</f>
        <v>51200</v>
      </c>
    </row>
    <row r="69" spans="1:34" s="47" customFormat="1" x14ac:dyDescent="0.25">
      <c r="A69" s="435" t="s">
        <v>1115</v>
      </c>
      <c r="B69" s="341" t="s">
        <v>1123</v>
      </c>
      <c r="C69" s="376"/>
      <c r="D69" s="376"/>
      <c r="E69" s="376"/>
      <c r="F69" s="345">
        <f>'2C Önk bev kiad fel'!E149</f>
        <v>12200</v>
      </c>
      <c r="G69" s="376"/>
      <c r="H69" s="376"/>
      <c r="I69" s="376"/>
      <c r="J69" s="345">
        <f>'2C Önk bev kiad fel'!H149</f>
        <v>13160</v>
      </c>
      <c r="K69" s="376"/>
      <c r="L69" s="376"/>
      <c r="M69" s="376"/>
      <c r="N69" s="345">
        <f>'2C Önk bev kiad fel'!K149</f>
        <v>12000</v>
      </c>
      <c r="O69" s="376"/>
      <c r="P69" s="376"/>
      <c r="Q69" s="376"/>
      <c r="R69" s="345">
        <f>'2C Önk bev kiad fel'!N149</f>
        <v>12184</v>
      </c>
      <c r="S69" s="964"/>
      <c r="T69" s="964"/>
      <c r="U69" s="964"/>
      <c r="V69" s="924">
        <f>'2C Önk bev kiad fel'!Q149</f>
        <v>12600</v>
      </c>
      <c r="W69" s="376"/>
      <c r="X69" s="376"/>
      <c r="Y69" s="376"/>
      <c r="Z69" s="345">
        <f>'2C Önk bev kiad fel'!T149</f>
        <v>12600</v>
      </c>
      <c r="AA69" s="376"/>
      <c r="AB69" s="376"/>
      <c r="AC69" s="376"/>
      <c r="AD69" s="345">
        <f>'2C Önk bev kiad fel'!W149</f>
        <v>12600</v>
      </c>
      <c r="AE69" s="964"/>
      <c r="AF69" s="964"/>
      <c r="AG69" s="964"/>
      <c r="AH69" s="924">
        <f>'2C Önk bev kiad fel'!Z149</f>
        <v>12600</v>
      </c>
    </row>
    <row r="70" spans="1:34" s="47" customFormat="1" x14ac:dyDescent="0.25">
      <c r="A70" s="435" t="s">
        <v>1116</v>
      </c>
      <c r="B70" s="341" t="s">
        <v>750</v>
      </c>
      <c r="C70" s="376"/>
      <c r="D70" s="376"/>
      <c r="E70" s="376"/>
      <c r="F70" s="345">
        <f>'2C Önk bev kiad fel'!E151</f>
        <v>2470</v>
      </c>
      <c r="G70" s="376"/>
      <c r="H70" s="376"/>
      <c r="I70" s="376"/>
      <c r="J70" s="345">
        <f>'2C Önk bev kiad fel'!H151</f>
        <v>2470</v>
      </c>
      <c r="K70" s="376"/>
      <c r="L70" s="376"/>
      <c r="M70" s="376"/>
      <c r="N70" s="345">
        <f>'2C Önk bev kiad fel'!K151</f>
        <v>2470</v>
      </c>
      <c r="O70" s="376"/>
      <c r="P70" s="376"/>
      <c r="Q70" s="376"/>
      <c r="R70" s="345">
        <f>'2C Önk bev kiad fel'!N151</f>
        <v>1862</v>
      </c>
      <c r="S70" s="964"/>
      <c r="T70" s="964"/>
      <c r="U70" s="964"/>
      <c r="V70" s="924">
        <f>'2C Önk bev kiad fel'!Q151</f>
        <v>3190</v>
      </c>
      <c r="W70" s="376"/>
      <c r="X70" s="376"/>
      <c r="Y70" s="376"/>
      <c r="Z70" s="345">
        <f>'2C Önk bev kiad fel'!T151</f>
        <v>3798</v>
      </c>
      <c r="AA70" s="376"/>
      <c r="AB70" s="376"/>
      <c r="AC70" s="376"/>
      <c r="AD70" s="345">
        <f>'2C Önk bev kiad fel'!W151</f>
        <v>3798</v>
      </c>
      <c r="AE70" s="964"/>
      <c r="AF70" s="964"/>
      <c r="AG70" s="964"/>
      <c r="AH70" s="924">
        <f>'2C Önk bev kiad fel'!Z151</f>
        <v>3798</v>
      </c>
    </row>
    <row r="71" spans="1:34" s="47" customFormat="1" x14ac:dyDescent="0.25">
      <c r="A71" s="435" t="s">
        <v>1117</v>
      </c>
      <c r="B71" s="341" t="s">
        <v>752</v>
      </c>
      <c r="C71" s="376"/>
      <c r="D71" s="376"/>
      <c r="E71" s="376"/>
      <c r="F71" s="345">
        <f>'2C Önk bev kiad fel'!E153</f>
        <v>30000</v>
      </c>
      <c r="G71" s="376"/>
      <c r="H71" s="376"/>
      <c r="I71" s="376"/>
      <c r="J71" s="345">
        <f>'2C Önk bev kiad fel'!H153</f>
        <v>30823</v>
      </c>
      <c r="K71" s="376"/>
      <c r="L71" s="376"/>
      <c r="M71" s="376"/>
      <c r="N71" s="345">
        <f>'2C Önk bev kiad fel'!K153</f>
        <v>30823</v>
      </c>
      <c r="O71" s="376"/>
      <c r="P71" s="376"/>
      <c r="Q71" s="376"/>
      <c r="R71" s="345">
        <f>'2C Önk bev kiad fel'!N153</f>
        <v>11767</v>
      </c>
      <c r="S71" s="964"/>
      <c r="T71" s="964"/>
      <c r="U71" s="964"/>
      <c r="V71" s="924">
        <f>'2C Önk bev kiad fel'!Q153</f>
        <v>16000</v>
      </c>
      <c r="W71" s="376"/>
      <c r="X71" s="376"/>
      <c r="Y71" s="376"/>
      <c r="Z71" s="345">
        <f>'2C Önk bev kiad fel'!T153</f>
        <v>16000</v>
      </c>
      <c r="AA71" s="376"/>
      <c r="AB71" s="376"/>
      <c r="AC71" s="376"/>
      <c r="AD71" s="345">
        <f>'2C Önk bev kiad fel'!W153</f>
        <v>15340</v>
      </c>
      <c r="AE71" s="964"/>
      <c r="AF71" s="964"/>
      <c r="AG71" s="964"/>
      <c r="AH71" s="924">
        <f>'2C Önk bev kiad fel'!Z153</f>
        <v>15340</v>
      </c>
    </row>
    <row r="72" spans="1:34" s="160" customFormat="1" x14ac:dyDescent="0.25">
      <c r="A72" s="435" t="s">
        <v>1118</v>
      </c>
      <c r="B72" s="341" t="s">
        <v>1126</v>
      </c>
      <c r="C72" s="376"/>
      <c r="D72" s="376"/>
      <c r="E72" s="376"/>
      <c r="F72" s="345">
        <f>'2C Önk bev kiad fel'!E156</f>
        <v>96502</v>
      </c>
      <c r="G72" s="376"/>
      <c r="H72" s="376"/>
      <c r="I72" s="376"/>
      <c r="J72" s="345">
        <f>'2C Önk bev kiad fel'!H156</f>
        <v>129188</v>
      </c>
      <c r="K72" s="376"/>
      <c r="L72" s="376"/>
      <c r="M72" s="376"/>
      <c r="N72" s="345">
        <f>'2C Önk bev kiad fel'!K156</f>
        <v>129188</v>
      </c>
      <c r="O72" s="376"/>
      <c r="P72" s="376"/>
      <c r="Q72" s="376"/>
      <c r="R72" s="345">
        <f>'2C Önk bev kiad fel'!N156</f>
        <v>83360</v>
      </c>
      <c r="S72" s="964"/>
      <c r="T72" s="964"/>
      <c r="U72" s="964"/>
      <c r="V72" s="924">
        <f>'2C Önk bev kiad fel'!Q156</f>
        <v>96465</v>
      </c>
      <c r="W72" s="376"/>
      <c r="X72" s="376"/>
      <c r="Y72" s="376"/>
      <c r="Z72" s="345">
        <f>'2C Önk bev kiad fel'!T156</f>
        <v>107940</v>
      </c>
      <c r="AA72" s="376"/>
      <c r="AB72" s="376"/>
      <c r="AC72" s="376"/>
      <c r="AD72" s="345">
        <f>'2C Önk bev kiad fel'!W156</f>
        <v>118665</v>
      </c>
      <c r="AE72" s="964"/>
      <c r="AF72" s="964"/>
      <c r="AG72" s="964"/>
      <c r="AH72" s="924">
        <f>'2C Önk bev kiad fel'!Z156</f>
        <v>118940</v>
      </c>
    </row>
    <row r="73" spans="1:34" s="160" customFormat="1" x14ac:dyDescent="0.25">
      <c r="A73" s="435" t="s">
        <v>1121</v>
      </c>
      <c r="B73" s="341" t="s">
        <v>1531</v>
      </c>
      <c r="C73" s="376"/>
      <c r="D73" s="376"/>
      <c r="E73" s="376"/>
      <c r="F73" s="345">
        <f>'2C Önk bev kiad fel'!E163</f>
        <v>631095.5</v>
      </c>
      <c r="G73" s="376"/>
      <c r="H73" s="376"/>
      <c r="I73" s="376"/>
      <c r="J73" s="345">
        <f>'2C Önk bev kiad fel'!H163</f>
        <v>540904.5</v>
      </c>
      <c r="K73" s="376"/>
      <c r="L73" s="376"/>
      <c r="M73" s="376"/>
      <c r="N73" s="345" t="e">
        <f>'2C Önk bev kiad fel'!K163+#REF!</f>
        <v>#REF!</v>
      </c>
      <c r="O73" s="376"/>
      <c r="P73" s="376"/>
      <c r="Q73" s="376"/>
      <c r="R73" s="345">
        <f>'2C Önk bev kiad fel'!N163</f>
        <v>199584</v>
      </c>
      <c r="S73" s="964"/>
      <c r="T73" s="964"/>
      <c r="U73" s="964"/>
      <c r="V73" s="924">
        <f>'2C Önk bev kiad fel'!Q163</f>
        <v>319700</v>
      </c>
      <c r="W73" s="376"/>
      <c r="X73" s="376"/>
      <c r="Y73" s="376"/>
      <c r="Z73" s="345">
        <f>'2C Önk bev kiad fel'!T163</f>
        <v>392313</v>
      </c>
      <c r="AA73" s="376"/>
      <c r="AB73" s="376"/>
      <c r="AC73" s="376"/>
      <c r="AD73" s="345">
        <f>'2C Önk bev kiad fel'!W163</f>
        <v>283593</v>
      </c>
      <c r="AE73" s="964"/>
      <c r="AF73" s="964"/>
      <c r="AG73" s="964"/>
      <c r="AH73" s="924">
        <f>'2C Önk bev kiad fel'!Z163</f>
        <v>348599</v>
      </c>
    </row>
    <row r="74" spans="1:34" s="160" customFormat="1" x14ac:dyDescent="0.25">
      <c r="A74" s="435" t="s">
        <v>1122</v>
      </c>
      <c r="B74" s="341" t="s">
        <v>1129</v>
      </c>
      <c r="C74" s="376">
        <v>5</v>
      </c>
      <c r="D74" s="376"/>
      <c r="E74" s="376"/>
      <c r="F74" s="345">
        <f>+'3B PH fel'!F18+'3B PH fel'!F23</f>
        <v>29094</v>
      </c>
      <c r="G74" s="376">
        <v>5</v>
      </c>
      <c r="H74" s="376"/>
      <c r="I74" s="376"/>
      <c r="J74" s="345">
        <f>+'3B PH fel'!J18+'3B PH fel'!J23</f>
        <v>29094</v>
      </c>
      <c r="K74" s="376">
        <v>5</v>
      </c>
      <c r="L74" s="376"/>
      <c r="M74" s="376"/>
      <c r="N74" s="345" t="e">
        <f>'2C Önk bev kiad fel'!#REF!+'3B PH fel'!N18</f>
        <v>#REF!</v>
      </c>
      <c r="O74" s="376">
        <v>5</v>
      </c>
      <c r="P74" s="376"/>
      <c r="Q74" s="376"/>
      <c r="R74" s="345">
        <f>+'3B PH fel'!R18</f>
        <v>17296</v>
      </c>
      <c r="S74" s="964">
        <v>5</v>
      </c>
      <c r="T74" s="964"/>
      <c r="U74" s="964"/>
      <c r="V74" s="924">
        <f>+'3B PH fel'!V18+'3B PH fel'!V23</f>
        <v>29435</v>
      </c>
      <c r="W74" s="376">
        <v>5</v>
      </c>
      <c r="X74" s="376"/>
      <c r="Y74" s="376"/>
      <c r="Z74" s="345">
        <f>+'3B PH fel'!Z18+'3B PH fel'!Z23</f>
        <v>29435</v>
      </c>
      <c r="AA74" s="376">
        <v>5</v>
      </c>
      <c r="AB74" s="376"/>
      <c r="AC74" s="376"/>
      <c r="AD74" s="345">
        <f>+'3B PH fel'!AD18+'3B PH fel'!AD23</f>
        <v>29492</v>
      </c>
      <c r="AE74" s="964">
        <f>'3B PH fel'!AE18+'3B PH fel'!AE23</f>
        <v>5</v>
      </c>
      <c r="AF74" s="964"/>
      <c r="AG74" s="964"/>
      <c r="AH74" s="924">
        <f>+'3B PH fel'!AH18+'3B PH fel'!AH23</f>
        <v>29492</v>
      </c>
    </row>
    <row r="75" spans="1:34" s="160" customFormat="1" x14ac:dyDescent="0.25">
      <c r="A75" s="435" t="s">
        <v>1120</v>
      </c>
      <c r="B75" s="341" t="s">
        <v>659</v>
      </c>
      <c r="C75" s="376"/>
      <c r="D75" s="376"/>
      <c r="E75" s="376"/>
      <c r="F75" s="345">
        <f>'2C Önk bev kiad fel'!E183</f>
        <v>10000</v>
      </c>
      <c r="G75" s="376"/>
      <c r="H75" s="376"/>
      <c r="I75" s="376"/>
      <c r="J75" s="345">
        <f>'2C Önk bev kiad fel'!H183</f>
        <v>10000</v>
      </c>
      <c r="K75" s="376"/>
      <c r="L75" s="376"/>
      <c r="M75" s="376"/>
      <c r="N75" s="345">
        <f>'2C Önk bev kiad fel'!K183+'3B PH fel'!N23</f>
        <v>19958</v>
      </c>
      <c r="O75" s="376"/>
      <c r="P75" s="376"/>
      <c r="Q75" s="376"/>
      <c r="R75" s="345">
        <f>'2C Önk bev kiad fel'!N183+'3B PH fel'!R23</f>
        <v>124077</v>
      </c>
      <c r="S75" s="964"/>
      <c r="T75" s="964"/>
      <c r="U75" s="964"/>
      <c r="V75" s="924">
        <f>'2C Önk bev kiad fel'!Q183</f>
        <v>8650</v>
      </c>
      <c r="W75" s="376"/>
      <c r="X75" s="376"/>
      <c r="Y75" s="376"/>
      <c r="Z75" s="345">
        <f>'2C Önk bev kiad fel'!T183</f>
        <v>8650</v>
      </c>
      <c r="AA75" s="376"/>
      <c r="AB75" s="376"/>
      <c r="AC75" s="376"/>
      <c r="AD75" s="345">
        <f>'2C Önk bev kiad fel'!W183</f>
        <v>8650</v>
      </c>
      <c r="AE75" s="964"/>
      <c r="AF75" s="964"/>
      <c r="AG75" s="964"/>
      <c r="AH75" s="924">
        <f>'2C Önk bev kiad fel'!Z183</f>
        <v>8650</v>
      </c>
    </row>
    <row r="76" spans="1:34" s="160" customFormat="1" x14ac:dyDescent="0.25">
      <c r="A76" s="435" t="s">
        <v>1124</v>
      </c>
      <c r="B76" s="341" t="s">
        <v>1695</v>
      </c>
      <c r="C76" s="376"/>
      <c r="D76" s="376"/>
      <c r="E76" s="376"/>
      <c r="F76" s="345">
        <f>'2C Önk bev kiad fel'!E170</f>
        <v>3905</v>
      </c>
      <c r="G76" s="376"/>
      <c r="H76" s="376"/>
      <c r="I76" s="376"/>
      <c r="J76" s="345">
        <f>'2C Önk bev kiad fel'!H170</f>
        <v>3949</v>
      </c>
      <c r="K76" s="376"/>
      <c r="L76" s="376"/>
      <c r="M76" s="376"/>
      <c r="N76" s="345" t="e">
        <f>'2C Önk bev kiad fel'!K170+'3B PH fel'!#REF!</f>
        <v>#REF!</v>
      </c>
      <c r="O76" s="376"/>
      <c r="P76" s="376"/>
      <c r="Q76" s="376"/>
      <c r="R76" s="345">
        <f>'2C Önk bev kiad fel'!N170</f>
        <v>3938</v>
      </c>
      <c r="S76" s="964"/>
      <c r="T76" s="964"/>
      <c r="U76" s="964"/>
      <c r="V76" s="924">
        <f>'2C Önk bev kiad fel'!Q170</f>
        <v>0</v>
      </c>
      <c r="W76" s="376"/>
      <c r="X76" s="376"/>
      <c r="Y76" s="376"/>
      <c r="Z76" s="345">
        <f>'2C Önk bev kiad fel'!T170</f>
        <v>14404</v>
      </c>
      <c r="AA76" s="376"/>
      <c r="AB76" s="376"/>
      <c r="AC76" s="376"/>
      <c r="AD76" s="345">
        <f>'2C Önk bev kiad fel'!W170</f>
        <v>15534</v>
      </c>
      <c r="AE76" s="964"/>
      <c r="AF76" s="964"/>
      <c r="AG76" s="964"/>
      <c r="AH76" s="924">
        <f>'2C Önk bev kiad fel'!Z170</f>
        <v>2927</v>
      </c>
    </row>
    <row r="77" spans="1:34" s="160" customFormat="1" x14ac:dyDescent="0.25">
      <c r="A77" s="435" t="s">
        <v>1125</v>
      </c>
      <c r="B77" s="341" t="s">
        <v>758</v>
      </c>
      <c r="C77" s="376"/>
      <c r="D77" s="376"/>
      <c r="E77" s="376"/>
      <c r="F77" s="345">
        <f>'2C Önk bev kiad fel'!E177</f>
        <v>23314</v>
      </c>
      <c r="G77" s="376"/>
      <c r="H77" s="376"/>
      <c r="I77" s="376"/>
      <c r="J77" s="345">
        <f>'2C Önk bev kiad fel'!H177</f>
        <v>23314</v>
      </c>
      <c r="K77" s="376"/>
      <c r="L77" s="376"/>
      <c r="M77" s="376"/>
      <c r="N77" s="345">
        <f>'2C Önk bev kiad fel'!K177</f>
        <v>23314</v>
      </c>
      <c r="O77" s="376"/>
      <c r="P77" s="376"/>
      <c r="Q77" s="376"/>
      <c r="R77" s="345">
        <f>'2C Önk bev kiad fel'!N177</f>
        <v>19680</v>
      </c>
      <c r="S77" s="964"/>
      <c r="T77" s="964"/>
      <c r="U77" s="964"/>
      <c r="V77" s="924">
        <f>'2C Önk bev kiad fel'!Q177</f>
        <v>23314</v>
      </c>
      <c r="W77" s="376"/>
      <c r="X77" s="376"/>
      <c r="Y77" s="376"/>
      <c r="Z77" s="345">
        <f>'2C Önk bev kiad fel'!T177</f>
        <v>23314</v>
      </c>
      <c r="AA77" s="376"/>
      <c r="AB77" s="376"/>
      <c r="AC77" s="376"/>
      <c r="AD77" s="345">
        <f>'2C Önk bev kiad fel'!W177</f>
        <v>23314</v>
      </c>
      <c r="AE77" s="964"/>
      <c r="AF77" s="964"/>
      <c r="AG77" s="964"/>
      <c r="AH77" s="924">
        <f>'2C Önk bev kiad fel'!Z177</f>
        <v>23314</v>
      </c>
    </row>
    <row r="78" spans="1:34" s="160" customFormat="1" x14ac:dyDescent="0.25">
      <c r="A78" s="435" t="s">
        <v>1127</v>
      </c>
      <c r="B78" s="341" t="s">
        <v>1073</v>
      </c>
      <c r="C78" s="376">
        <v>1</v>
      </c>
      <c r="D78" s="376"/>
      <c r="E78" s="376"/>
      <c r="F78" s="345">
        <f>'5 GSZNR fel'!E87</f>
        <v>10094</v>
      </c>
      <c r="G78" s="376">
        <v>1</v>
      </c>
      <c r="H78" s="376"/>
      <c r="I78" s="376"/>
      <c r="J78" s="345">
        <f>'5 GSZNR fel'!H87</f>
        <v>10501</v>
      </c>
      <c r="K78" s="376">
        <v>1</v>
      </c>
      <c r="L78" s="376"/>
      <c r="M78" s="376"/>
      <c r="N78" s="345">
        <f>'5 GSZNR fel'!K87</f>
        <v>10501</v>
      </c>
      <c r="O78" s="376">
        <v>1</v>
      </c>
      <c r="P78" s="376"/>
      <c r="Q78" s="376"/>
      <c r="R78" s="345">
        <f>'5 GSZNR fel'!N87</f>
        <v>6789</v>
      </c>
      <c r="S78" s="964">
        <v>1.5</v>
      </c>
      <c r="T78" s="964"/>
      <c r="U78" s="964"/>
      <c r="V78" s="924">
        <f>'5 GSZNR fel'!Q87</f>
        <v>9388</v>
      </c>
      <c r="W78" s="376">
        <v>1.5</v>
      </c>
      <c r="X78" s="376"/>
      <c r="Y78" s="376"/>
      <c r="Z78" s="345">
        <f>'5 GSZNR fel'!T87</f>
        <v>9388</v>
      </c>
      <c r="AA78" s="376">
        <v>1.5</v>
      </c>
      <c r="AB78" s="376"/>
      <c r="AC78" s="376"/>
      <c r="AD78" s="345">
        <f>'5 GSZNR fel'!W87</f>
        <v>9448</v>
      </c>
      <c r="AE78" s="964">
        <f>'5 GSZNR fel'!X87</f>
        <v>1.5</v>
      </c>
      <c r="AF78" s="964"/>
      <c r="AG78" s="964"/>
      <c r="AH78" s="924">
        <f>'5 GSZNR fel'!Z87</f>
        <v>9528</v>
      </c>
    </row>
    <row r="79" spans="1:34" s="160" customFormat="1" x14ac:dyDescent="0.25">
      <c r="A79" s="435" t="s">
        <v>1128</v>
      </c>
      <c r="B79" s="341" t="s">
        <v>1708</v>
      </c>
      <c r="C79" s="376"/>
      <c r="D79" s="376"/>
      <c r="E79" s="376"/>
      <c r="F79" s="345">
        <f>'5 GSZNR fel'!E68</f>
        <v>19542</v>
      </c>
      <c r="G79" s="376"/>
      <c r="H79" s="376"/>
      <c r="I79" s="376"/>
      <c r="J79" s="345">
        <f>'5 GSZNR fel'!H68</f>
        <v>19648</v>
      </c>
      <c r="K79" s="376"/>
      <c r="L79" s="376"/>
      <c r="M79" s="376"/>
      <c r="N79" s="345">
        <f>'5 GSZNR fel'!K68</f>
        <v>19648</v>
      </c>
      <c r="O79" s="376"/>
      <c r="P79" s="376"/>
      <c r="Q79" s="376"/>
      <c r="R79" s="345">
        <f>'5 GSZNR fel'!N68</f>
        <v>23947</v>
      </c>
      <c r="S79" s="964"/>
      <c r="T79" s="964"/>
      <c r="U79" s="964"/>
      <c r="V79" s="924">
        <f>'5 GSZNR fel'!Q68</f>
        <v>57112</v>
      </c>
      <c r="W79" s="376"/>
      <c r="X79" s="376"/>
      <c r="Y79" s="376"/>
      <c r="Z79" s="345">
        <f>'5 GSZNR fel'!T68</f>
        <v>57112</v>
      </c>
      <c r="AA79" s="376"/>
      <c r="AB79" s="376"/>
      <c r="AC79" s="376"/>
      <c r="AD79" s="345">
        <f>'5 GSZNR fel'!W68</f>
        <v>57112</v>
      </c>
      <c r="AE79" s="964"/>
      <c r="AF79" s="964"/>
      <c r="AG79" s="964"/>
      <c r="AH79" s="924">
        <f>'5 GSZNR fel'!Z68</f>
        <v>57112</v>
      </c>
    </row>
    <row r="80" spans="1:34" s="160" customFormat="1" x14ac:dyDescent="0.25">
      <c r="A80" s="435" t="s">
        <v>1130</v>
      </c>
      <c r="B80" s="341" t="s">
        <v>1423</v>
      </c>
      <c r="C80" s="376"/>
      <c r="D80" s="376"/>
      <c r="E80" s="376"/>
      <c r="F80" s="345">
        <f>'2C Önk bev kiad fel'!E187</f>
        <v>60000</v>
      </c>
      <c r="G80" s="376"/>
      <c r="H80" s="376"/>
      <c r="I80" s="376"/>
      <c r="J80" s="345">
        <f>'2C Önk bev kiad fel'!H187</f>
        <v>140000</v>
      </c>
      <c r="K80" s="376"/>
      <c r="L80" s="376"/>
      <c r="M80" s="376"/>
      <c r="N80" s="345">
        <f>'2C Önk bev kiad fel'!K187</f>
        <v>140000</v>
      </c>
      <c r="O80" s="376"/>
      <c r="P80" s="376"/>
      <c r="Q80" s="376"/>
      <c r="R80" s="345">
        <f>'2C Önk bev kiad fel'!N187</f>
        <v>120000</v>
      </c>
      <c r="S80" s="964"/>
      <c r="T80" s="964"/>
      <c r="U80" s="964"/>
      <c r="V80" s="924">
        <f>'2C Önk bev kiad fel'!Q187</f>
        <v>80000</v>
      </c>
      <c r="W80" s="376"/>
      <c r="X80" s="376"/>
      <c r="Y80" s="376"/>
      <c r="Z80" s="345">
        <f>'2C Önk bev kiad fel'!T187</f>
        <v>93674</v>
      </c>
      <c r="AA80" s="376"/>
      <c r="AB80" s="376"/>
      <c r="AC80" s="376"/>
      <c r="AD80" s="345">
        <f>'2C Önk bev kiad fel'!W187</f>
        <v>153674</v>
      </c>
      <c r="AE80" s="964"/>
      <c r="AF80" s="964"/>
      <c r="AG80" s="964"/>
      <c r="AH80" s="924">
        <f>'2C Önk bev kiad fel'!Z187</f>
        <v>154233</v>
      </c>
    </row>
    <row r="81" spans="1:34" s="160" customFormat="1" x14ac:dyDescent="0.25">
      <c r="A81" s="445" t="s">
        <v>1131</v>
      </c>
      <c r="B81" s="341" t="s">
        <v>1357</v>
      </c>
      <c r="C81" s="376"/>
      <c r="D81" s="376"/>
      <c r="E81" s="376"/>
      <c r="F81" s="345">
        <f>'2C Önk bev kiad fel'!E181</f>
        <v>0</v>
      </c>
      <c r="G81" s="376"/>
      <c r="H81" s="376"/>
      <c r="I81" s="376"/>
      <c r="J81" s="345">
        <f>'2C Önk bev kiad fel'!H181</f>
        <v>5517</v>
      </c>
      <c r="K81" s="376"/>
      <c r="L81" s="376"/>
      <c r="M81" s="376"/>
      <c r="N81" s="345">
        <f>'2C Önk bev kiad fel'!K181</f>
        <v>5517</v>
      </c>
      <c r="O81" s="376"/>
      <c r="P81" s="376"/>
      <c r="Q81" s="376"/>
      <c r="R81" s="345">
        <f>'2C Önk bev kiad fel'!N181</f>
        <v>5311</v>
      </c>
      <c r="S81" s="964"/>
      <c r="T81" s="964"/>
      <c r="U81" s="964"/>
      <c r="V81" s="924">
        <f>'2C Önk bev kiad fel'!Q181</f>
        <v>5300</v>
      </c>
      <c r="W81" s="376"/>
      <c r="X81" s="376"/>
      <c r="Y81" s="376"/>
      <c r="Z81" s="345">
        <f>'2C Önk bev kiad fel'!T181</f>
        <v>5300</v>
      </c>
      <c r="AA81" s="376"/>
      <c r="AB81" s="376"/>
      <c r="AC81" s="376"/>
      <c r="AD81" s="345">
        <f>'2C Önk bev kiad fel'!W181</f>
        <v>5300</v>
      </c>
      <c r="AE81" s="964"/>
      <c r="AF81" s="964"/>
      <c r="AG81" s="964"/>
      <c r="AH81" s="924">
        <f>'2C Önk bev kiad fel'!Z181</f>
        <v>5300</v>
      </c>
    </row>
    <row r="82" spans="1:34" s="160" customFormat="1" hidden="1" x14ac:dyDescent="0.25">
      <c r="A82" s="445"/>
      <c r="B82" s="418" t="s">
        <v>1371</v>
      </c>
      <c r="C82" s="376"/>
      <c r="D82" s="376"/>
      <c r="E82" s="376"/>
      <c r="F82" s="345">
        <f>+'2C Önk bev kiad fel'!E191</f>
        <v>113083</v>
      </c>
      <c r="G82" s="376"/>
      <c r="H82" s="376"/>
      <c r="I82" s="376"/>
      <c r="J82" s="345">
        <f>+'2C Önk bev kiad fel'!H191</f>
        <v>89599</v>
      </c>
      <c r="K82" s="376"/>
      <c r="L82" s="376"/>
      <c r="M82" s="376"/>
      <c r="N82" s="345">
        <f>+'2C Önk bev kiad fel'!K191</f>
        <v>158845</v>
      </c>
      <c r="O82" s="376"/>
      <c r="P82" s="376"/>
      <c r="Q82" s="376"/>
      <c r="R82" s="345">
        <f>+'2C Önk bev kiad fel'!N191</f>
        <v>88892</v>
      </c>
      <c r="S82" s="376"/>
      <c r="T82" s="376"/>
      <c r="U82" s="376"/>
      <c r="V82" s="345">
        <f>+'2C Önk bev kiad fel'!Q191</f>
        <v>0</v>
      </c>
      <c r="W82" s="376"/>
      <c r="X82" s="376"/>
      <c r="Y82" s="376"/>
      <c r="Z82" s="345">
        <f>+'2C Önk bev kiad fel'!U191</f>
        <v>0</v>
      </c>
      <c r="AA82" s="376"/>
      <c r="AB82" s="376"/>
      <c r="AC82" s="376"/>
      <c r="AD82" s="345">
        <f>+'2C Önk bev kiad fel'!Y191</f>
        <v>0</v>
      </c>
      <c r="AE82" s="376"/>
      <c r="AF82" s="376"/>
      <c r="AG82" s="376"/>
      <c r="AH82" s="345">
        <f>+'2C Önk bev kiad fel'!AC191</f>
        <v>0</v>
      </c>
    </row>
    <row r="83" spans="1:34" s="160" customFormat="1" hidden="1" x14ac:dyDescent="0.25">
      <c r="A83" s="445" t="s">
        <v>1132</v>
      </c>
      <c r="B83" s="418" t="s">
        <v>1465</v>
      </c>
      <c r="C83" s="376"/>
      <c r="D83" s="376"/>
      <c r="E83" s="376"/>
      <c r="F83" s="345"/>
      <c r="G83" s="376"/>
      <c r="H83" s="376"/>
      <c r="I83" s="376"/>
      <c r="J83" s="345">
        <f>+'5 GSZNR fel'!H111</f>
        <v>2212</v>
      </c>
      <c r="K83" s="376"/>
      <c r="L83" s="376"/>
      <c r="M83" s="376"/>
      <c r="N83" s="345"/>
      <c r="O83" s="376"/>
      <c r="P83" s="376"/>
      <c r="Q83" s="376"/>
      <c r="R83" s="345"/>
      <c r="S83" s="376"/>
      <c r="T83" s="376"/>
      <c r="U83" s="376"/>
      <c r="V83" s="345"/>
      <c r="W83" s="376"/>
      <c r="X83" s="376"/>
      <c r="Y83" s="376"/>
      <c r="Z83" s="345"/>
      <c r="AA83" s="376"/>
      <c r="AB83" s="376"/>
      <c r="AC83" s="376"/>
      <c r="AD83" s="345"/>
      <c r="AE83" s="376"/>
      <c r="AF83" s="376"/>
      <c r="AG83" s="376"/>
      <c r="AH83" s="345"/>
    </row>
    <row r="84" spans="1:34" s="160" customFormat="1" ht="30" hidden="1" x14ac:dyDescent="0.25">
      <c r="A84" s="445" t="s">
        <v>1466</v>
      </c>
      <c r="B84" s="736" t="s">
        <v>1414</v>
      </c>
      <c r="C84" s="376"/>
      <c r="D84" s="376"/>
      <c r="E84" s="376"/>
      <c r="F84" s="345"/>
      <c r="G84" s="376"/>
      <c r="H84" s="376"/>
      <c r="I84" s="376"/>
      <c r="J84" s="345">
        <f>+'2C Önk bev kiad fel'!H194</f>
        <v>71483</v>
      </c>
      <c r="K84" s="376"/>
      <c r="L84" s="376"/>
      <c r="M84" s="376"/>
      <c r="N84" s="345"/>
      <c r="O84" s="376"/>
      <c r="P84" s="376"/>
      <c r="Q84" s="376"/>
      <c r="R84" s="345"/>
      <c r="S84" s="376"/>
      <c r="T84" s="376"/>
      <c r="U84" s="376"/>
      <c r="V84" s="345"/>
      <c r="W84" s="376"/>
      <c r="X84" s="376"/>
      <c r="Y84" s="376"/>
      <c r="Z84" s="345"/>
      <c r="AA84" s="376"/>
      <c r="AB84" s="376"/>
      <c r="AC84" s="376"/>
      <c r="AD84" s="345"/>
      <c r="AE84" s="376"/>
      <c r="AF84" s="376"/>
      <c r="AG84" s="376"/>
      <c r="AH84" s="345"/>
    </row>
    <row r="85" spans="1:34" s="160" customFormat="1" ht="15.75" hidden="1" x14ac:dyDescent="0.25">
      <c r="A85" s="445"/>
      <c r="B85" s="780" t="s">
        <v>1480</v>
      </c>
      <c r="C85" s="376"/>
      <c r="D85" s="376"/>
      <c r="E85" s="376"/>
      <c r="F85" s="345"/>
      <c r="G85" s="376"/>
      <c r="H85" s="376"/>
      <c r="I85" s="376"/>
      <c r="J85" s="345">
        <f>+'2C Önk bev kiad fel'!H198</f>
        <v>8148</v>
      </c>
      <c r="K85" s="376"/>
      <c r="L85" s="376"/>
      <c r="M85" s="376"/>
      <c r="N85" s="345"/>
      <c r="O85" s="376"/>
      <c r="P85" s="376"/>
      <c r="Q85" s="376"/>
      <c r="R85" s="345"/>
      <c r="S85" s="376"/>
      <c r="T85" s="376"/>
      <c r="U85" s="376"/>
      <c r="V85" s="345"/>
      <c r="W85" s="376"/>
      <c r="X85" s="376"/>
      <c r="Y85" s="376"/>
      <c r="Z85" s="345"/>
      <c r="AA85" s="376"/>
      <c r="AB85" s="376"/>
      <c r="AC85" s="376"/>
      <c r="AD85" s="345"/>
      <c r="AE85" s="376"/>
      <c r="AF85" s="376"/>
      <c r="AG85" s="376"/>
      <c r="AH85" s="345"/>
    </row>
    <row r="86" spans="1:34" x14ac:dyDescent="0.25">
      <c r="A86" s="364" t="s">
        <v>328</v>
      </c>
      <c r="B86" s="335" t="s">
        <v>660</v>
      </c>
      <c r="C86" s="375"/>
      <c r="D86" s="375"/>
      <c r="E86" s="375"/>
      <c r="F86" s="336">
        <f t="shared" ref="F86" si="0">SUM(F87:F88)</f>
        <v>4290</v>
      </c>
      <c r="G86" s="375"/>
      <c r="H86" s="375"/>
      <c r="I86" s="375"/>
      <c r="J86" s="336">
        <f t="shared" ref="J86" si="1">SUM(J87:J88)</f>
        <v>4290</v>
      </c>
      <c r="K86" s="375"/>
      <c r="L86" s="375"/>
      <c r="M86" s="375"/>
      <c r="N86" s="336">
        <f t="shared" ref="N86" si="2">SUM(N87:N88)</f>
        <v>4290</v>
      </c>
      <c r="O86" s="375"/>
      <c r="P86" s="375"/>
      <c r="Q86" s="375"/>
      <c r="R86" s="336">
        <f t="shared" ref="R86" si="3">SUM(R87:R88)</f>
        <v>4037</v>
      </c>
      <c r="S86" s="375"/>
      <c r="T86" s="375"/>
      <c r="U86" s="375"/>
      <c r="V86" s="336">
        <f t="shared" ref="V86" si="4">SUM(V87:V88)</f>
        <v>3277</v>
      </c>
      <c r="W86" s="375"/>
      <c r="X86" s="375"/>
      <c r="Y86" s="375"/>
      <c r="Z86" s="336">
        <f t="shared" ref="Z86" si="5">SUM(Z87:Z88)</f>
        <v>3277</v>
      </c>
      <c r="AA86" s="375"/>
      <c r="AB86" s="375"/>
      <c r="AC86" s="375"/>
      <c r="AD86" s="336">
        <f t="shared" ref="AD86" si="6">SUM(AD87:AD88)</f>
        <v>3277</v>
      </c>
      <c r="AE86" s="375"/>
      <c r="AF86" s="375"/>
      <c r="AG86" s="375"/>
      <c r="AH86" s="336">
        <f t="shared" ref="AH86" si="7">SUM(AH87:AH88)</f>
        <v>3277</v>
      </c>
    </row>
    <row r="87" spans="1:34" x14ac:dyDescent="0.25">
      <c r="A87" s="435" t="s">
        <v>1133</v>
      </c>
      <c r="B87" s="341" t="s">
        <v>1134</v>
      </c>
      <c r="C87" s="378"/>
      <c r="D87" s="378"/>
      <c r="E87" s="378"/>
      <c r="F87" s="273">
        <f>'3B PH fel'!F29</f>
        <v>0</v>
      </c>
      <c r="G87" s="378"/>
      <c r="H87" s="378"/>
      <c r="I87" s="378"/>
      <c r="J87" s="273">
        <f>'3B PH fel'!J29</f>
        <v>0</v>
      </c>
      <c r="K87" s="378"/>
      <c r="L87" s="378"/>
      <c r="M87" s="378"/>
      <c r="N87" s="273">
        <f>'3B PH fel'!N29</f>
        <v>0</v>
      </c>
      <c r="O87" s="378"/>
      <c r="P87" s="378"/>
      <c r="Q87" s="378"/>
      <c r="R87" s="273">
        <f>'3B PH fel'!R29</f>
        <v>0</v>
      </c>
      <c r="S87" s="966"/>
      <c r="T87" s="966"/>
      <c r="U87" s="966"/>
      <c r="V87" s="923">
        <f>'3B PH fel'!V29</f>
        <v>0</v>
      </c>
      <c r="W87" s="378"/>
      <c r="X87" s="378"/>
      <c r="Y87" s="378"/>
      <c r="Z87" s="273">
        <f>'3B PH fel'!Z29</f>
        <v>0</v>
      </c>
      <c r="AA87" s="378"/>
      <c r="AB87" s="378"/>
      <c r="AC87" s="378"/>
      <c r="AD87" s="273">
        <f>'3B PH fel'!AD29</f>
        <v>0</v>
      </c>
      <c r="AE87" s="966"/>
      <c r="AF87" s="966"/>
      <c r="AG87" s="966"/>
      <c r="AH87" s="923">
        <f>'3B PH fel'!AH29</f>
        <v>0</v>
      </c>
    </row>
    <row r="88" spans="1:34" x14ac:dyDescent="0.25">
      <c r="A88" s="435" t="s">
        <v>1135</v>
      </c>
      <c r="B88" s="341" t="s">
        <v>616</v>
      </c>
      <c r="C88" s="378"/>
      <c r="D88" s="378"/>
      <c r="E88" s="378"/>
      <c r="F88" s="273">
        <f>'3B PH fel'!F31</f>
        <v>4290</v>
      </c>
      <c r="G88" s="378"/>
      <c r="H88" s="378"/>
      <c r="I88" s="378"/>
      <c r="J88" s="273">
        <f>'3B PH fel'!J31</f>
        <v>4290</v>
      </c>
      <c r="K88" s="378"/>
      <c r="L88" s="378"/>
      <c r="M88" s="378"/>
      <c r="N88" s="273">
        <f>'3B PH fel'!N31</f>
        <v>4290</v>
      </c>
      <c r="O88" s="378"/>
      <c r="P88" s="378"/>
      <c r="Q88" s="378"/>
      <c r="R88" s="273">
        <f>'3B PH fel'!R31</f>
        <v>4037</v>
      </c>
      <c r="S88" s="966"/>
      <c r="T88" s="966"/>
      <c r="U88" s="966"/>
      <c r="V88" s="923">
        <f>'3B PH fel'!V31</f>
        <v>3277</v>
      </c>
      <c r="W88" s="378"/>
      <c r="X88" s="378"/>
      <c r="Y88" s="378"/>
      <c r="Z88" s="273">
        <f>'3B PH fel'!Z31</f>
        <v>3277</v>
      </c>
      <c r="AA88" s="378"/>
      <c r="AB88" s="378"/>
      <c r="AC88" s="378"/>
      <c r="AD88" s="273">
        <f>'3B PH fel'!AD31</f>
        <v>3277</v>
      </c>
      <c r="AE88" s="966"/>
      <c r="AF88" s="966"/>
      <c r="AG88" s="966"/>
      <c r="AH88" s="923">
        <f>'3B PH fel'!AH31</f>
        <v>3277</v>
      </c>
    </row>
    <row r="89" spans="1:34" x14ac:dyDescent="0.25">
      <c r="A89" s="364" t="s">
        <v>1136</v>
      </c>
      <c r="B89" s="335" t="s">
        <v>596</v>
      </c>
      <c r="C89" s="375"/>
      <c r="D89" s="375"/>
      <c r="E89" s="375"/>
      <c r="F89" s="336">
        <f>F90+F91+F92</f>
        <v>410430</v>
      </c>
      <c r="G89" s="375"/>
      <c r="H89" s="375"/>
      <c r="I89" s="375"/>
      <c r="J89" s="336">
        <f>J90+J91+J92</f>
        <v>711873</v>
      </c>
      <c r="K89" s="375"/>
      <c r="L89" s="375"/>
      <c r="M89" s="375"/>
      <c r="N89" s="336">
        <f>N90+N91+N92</f>
        <v>411619</v>
      </c>
      <c r="O89" s="375"/>
      <c r="P89" s="375"/>
      <c r="Q89" s="375"/>
      <c r="R89" s="336">
        <f>R90+R91+R92</f>
        <v>311873</v>
      </c>
      <c r="S89" s="375"/>
      <c r="T89" s="375"/>
      <c r="U89" s="375"/>
      <c r="V89" s="336">
        <f t="shared" ref="V89" si="8">V90+V91+V92</f>
        <v>197708</v>
      </c>
      <c r="W89" s="375"/>
      <c r="X89" s="375"/>
      <c r="Y89" s="375"/>
      <c r="Z89" s="336">
        <f t="shared" ref="Z89" si="9">Z90+Z91+Z92</f>
        <v>330006</v>
      </c>
      <c r="AA89" s="375"/>
      <c r="AB89" s="375"/>
      <c r="AC89" s="375"/>
      <c r="AD89" s="336">
        <f t="shared" ref="AD89" si="10">AD90+AD91+AD92</f>
        <v>468035</v>
      </c>
      <c r="AE89" s="375"/>
      <c r="AF89" s="375"/>
      <c r="AG89" s="375"/>
      <c r="AH89" s="336">
        <f t="shared" ref="AH89" si="11">AH90+AH91+AH92</f>
        <v>680661</v>
      </c>
    </row>
    <row r="90" spans="1:34" x14ac:dyDescent="0.25">
      <c r="A90" s="435" t="s">
        <v>1137</v>
      </c>
      <c r="B90" s="341" t="s">
        <v>1138</v>
      </c>
      <c r="C90" s="378"/>
      <c r="D90" s="378"/>
      <c r="E90" s="378"/>
      <c r="F90" s="273">
        <f>'2C Önk bev kiad fel'!E206</f>
        <v>0</v>
      </c>
      <c r="G90" s="378"/>
      <c r="H90" s="378"/>
      <c r="I90" s="378"/>
      <c r="J90" s="273">
        <f>'2C Önk bev kiad fel'!H206</f>
        <v>0</v>
      </c>
      <c r="K90" s="378"/>
      <c r="L90" s="378"/>
      <c r="M90" s="378"/>
      <c r="N90" s="273">
        <f>'2C Önk bev kiad fel'!K206</f>
        <v>0</v>
      </c>
      <c r="O90" s="378"/>
      <c r="P90" s="378"/>
      <c r="Q90" s="378"/>
      <c r="R90" s="273">
        <f>'2C Önk bev kiad fel'!O206</f>
        <v>0</v>
      </c>
      <c r="S90" s="966"/>
      <c r="T90" s="966"/>
      <c r="U90" s="966"/>
      <c r="V90" s="923">
        <f>'2C Önk bev kiad fel'!Q206</f>
        <v>180645</v>
      </c>
      <c r="W90" s="378"/>
      <c r="X90" s="378"/>
      <c r="Y90" s="378"/>
      <c r="Z90" s="273">
        <f>'2C Önk bev kiad fel'!T206</f>
        <v>180645</v>
      </c>
      <c r="AA90" s="378"/>
      <c r="AB90" s="378"/>
      <c r="AC90" s="378"/>
      <c r="AD90" s="273">
        <f>'2C Önk bev kiad fel'!W206</f>
        <v>180645</v>
      </c>
      <c r="AE90" s="966"/>
      <c r="AF90" s="966"/>
      <c r="AG90" s="966"/>
      <c r="AH90" s="923">
        <f>'2C Önk bev kiad fel'!Z206</f>
        <v>180645</v>
      </c>
    </row>
    <row r="91" spans="1:34" x14ac:dyDescent="0.25">
      <c r="A91" s="435" t="s">
        <v>1139</v>
      </c>
      <c r="B91" s="341" t="s">
        <v>762</v>
      </c>
      <c r="C91" s="378"/>
      <c r="D91" s="378"/>
      <c r="E91" s="378"/>
      <c r="F91" s="273">
        <f>'2C Önk bev kiad fel'!E207</f>
        <v>400000</v>
      </c>
      <c r="G91" s="378"/>
      <c r="H91" s="378"/>
      <c r="I91" s="378"/>
      <c r="J91" s="273">
        <f>'2C Önk bev kiad fel'!H207</f>
        <v>400000</v>
      </c>
      <c r="K91" s="378"/>
      <c r="L91" s="378"/>
      <c r="M91" s="378"/>
      <c r="N91" s="273">
        <f>'2C Önk bev kiad fel'!K207</f>
        <v>400000</v>
      </c>
      <c r="O91" s="378"/>
      <c r="P91" s="378"/>
      <c r="Q91" s="378"/>
      <c r="R91" s="273">
        <f>'2C Önk bev kiad fel'!N207</f>
        <v>0</v>
      </c>
      <c r="S91" s="966"/>
      <c r="T91" s="966"/>
      <c r="U91" s="966"/>
      <c r="V91" s="923">
        <f>'2C Önk bev kiad fel'!Q207</f>
        <v>0</v>
      </c>
      <c r="W91" s="378"/>
      <c r="X91" s="378"/>
      <c r="Y91" s="378"/>
      <c r="Z91" s="273">
        <f>'2C Önk bev kiad fel'!T207</f>
        <v>0</v>
      </c>
      <c r="AA91" s="378"/>
      <c r="AB91" s="378"/>
      <c r="AC91" s="378"/>
      <c r="AD91" s="273">
        <f>'2C Önk bev kiad fel'!W207</f>
        <v>0</v>
      </c>
      <c r="AE91" s="966"/>
      <c r="AF91" s="966"/>
      <c r="AG91" s="966"/>
      <c r="AH91" s="923">
        <f>'2C Önk bev kiad fel'!Z207</f>
        <v>0</v>
      </c>
    </row>
    <row r="92" spans="1:34" x14ac:dyDescent="0.25">
      <c r="A92" s="435" t="s">
        <v>1140</v>
      </c>
      <c r="B92" s="341" t="s">
        <v>760</v>
      </c>
      <c r="C92" s="378"/>
      <c r="D92" s="378"/>
      <c r="E92" s="378"/>
      <c r="F92" s="273">
        <f>'2C Önk bev kiad fel'!E205</f>
        <v>10430</v>
      </c>
      <c r="G92" s="378"/>
      <c r="H92" s="378"/>
      <c r="I92" s="378"/>
      <c r="J92" s="273">
        <f>'2C Önk bev kiad fel'!H205</f>
        <v>311873</v>
      </c>
      <c r="K92" s="378"/>
      <c r="L92" s="378"/>
      <c r="M92" s="378"/>
      <c r="N92" s="273">
        <f>'2C Önk bev kiad fel'!K205</f>
        <v>11619</v>
      </c>
      <c r="O92" s="378"/>
      <c r="P92" s="378"/>
      <c r="Q92" s="378"/>
      <c r="R92" s="273">
        <f>'2C Önk bev kiad fel'!N205</f>
        <v>311873</v>
      </c>
      <c r="S92" s="966"/>
      <c r="T92" s="966"/>
      <c r="U92" s="966"/>
      <c r="V92" s="923">
        <f>'2C Önk bev kiad fel'!Q205</f>
        <v>17063</v>
      </c>
      <c r="W92" s="378"/>
      <c r="X92" s="378"/>
      <c r="Y92" s="378"/>
      <c r="Z92" s="273">
        <f>'2C Önk bev kiad fel'!T205</f>
        <v>149361</v>
      </c>
      <c r="AA92" s="378"/>
      <c r="AB92" s="378"/>
      <c r="AC92" s="378"/>
      <c r="AD92" s="273">
        <f>'2C Önk bev kiad fel'!W205</f>
        <v>287390</v>
      </c>
      <c r="AE92" s="966"/>
      <c r="AF92" s="966"/>
      <c r="AG92" s="966"/>
      <c r="AH92" s="923">
        <f>'2C Önk bev kiad fel'!Z205</f>
        <v>500016</v>
      </c>
    </row>
    <row r="93" spans="1:34" x14ac:dyDescent="0.25">
      <c r="A93" s="420"/>
    </row>
    <row r="94" spans="1:34" x14ac:dyDescent="0.25">
      <c r="A94" s="420"/>
    </row>
    <row r="95" spans="1:34" x14ac:dyDescent="0.25">
      <c r="A95" s="420"/>
    </row>
    <row r="96" spans="1:34" x14ac:dyDescent="0.25">
      <c r="A96" s="420"/>
    </row>
    <row r="97" spans="1:1" x14ac:dyDescent="0.25">
      <c r="A97" s="420"/>
    </row>
    <row r="98" spans="1:1" x14ac:dyDescent="0.25">
      <c r="A98" s="420"/>
    </row>
    <row r="99" spans="1:1" x14ac:dyDescent="0.25">
      <c r="A99" s="420"/>
    </row>
    <row r="100" spans="1:1" x14ac:dyDescent="0.25">
      <c r="A100" s="420"/>
    </row>
    <row r="101" spans="1:1" x14ac:dyDescent="0.25">
      <c r="A101" s="420"/>
    </row>
    <row r="102" spans="1:1" x14ac:dyDescent="0.25">
      <c r="A102" s="420"/>
    </row>
    <row r="103" spans="1:1" x14ac:dyDescent="0.25">
      <c r="A103" s="420"/>
    </row>
    <row r="104" spans="1:1" x14ac:dyDescent="0.25">
      <c r="A104" s="420"/>
    </row>
    <row r="105" spans="1:1" x14ac:dyDescent="0.25">
      <c r="A105" s="420"/>
    </row>
    <row r="106" spans="1:1" x14ac:dyDescent="0.25">
      <c r="A106" s="420"/>
    </row>
    <row r="107" spans="1:1" x14ac:dyDescent="0.25">
      <c r="A107" s="420"/>
    </row>
    <row r="108" spans="1:1" x14ac:dyDescent="0.25">
      <c r="A108" s="420"/>
    </row>
    <row r="109" spans="1:1" x14ac:dyDescent="0.25">
      <c r="A109" s="420"/>
    </row>
    <row r="110" spans="1:1" x14ac:dyDescent="0.25">
      <c r="A110" s="420"/>
    </row>
    <row r="111" spans="1:1" x14ac:dyDescent="0.25">
      <c r="A111" s="420"/>
    </row>
    <row r="112" spans="1:1" x14ac:dyDescent="0.25">
      <c r="A112" s="420"/>
    </row>
    <row r="113" spans="1:1" x14ac:dyDescent="0.25">
      <c r="A113" s="420"/>
    </row>
    <row r="114" spans="1:1" x14ac:dyDescent="0.25">
      <c r="A114" s="420"/>
    </row>
    <row r="115" spans="1:1" x14ac:dyDescent="0.25">
      <c r="A115" s="420"/>
    </row>
    <row r="116" spans="1:1" x14ac:dyDescent="0.25">
      <c r="A116" s="420"/>
    </row>
    <row r="117" spans="1:1" x14ac:dyDescent="0.25">
      <c r="A117" s="420"/>
    </row>
    <row r="118" spans="1:1" x14ac:dyDescent="0.25">
      <c r="A118" s="420"/>
    </row>
    <row r="119" spans="1:1" x14ac:dyDescent="0.25">
      <c r="A119" s="420"/>
    </row>
    <row r="120" spans="1:1" x14ac:dyDescent="0.25">
      <c r="A120" s="420"/>
    </row>
    <row r="121" spans="1:1" x14ac:dyDescent="0.25">
      <c r="A121" s="420"/>
    </row>
    <row r="122" spans="1:1" x14ac:dyDescent="0.25">
      <c r="A122" s="420"/>
    </row>
    <row r="123" spans="1:1" x14ac:dyDescent="0.25">
      <c r="A123" s="420"/>
    </row>
    <row r="124" spans="1:1" x14ac:dyDescent="0.25">
      <c r="A124" s="420"/>
    </row>
    <row r="125" spans="1:1" x14ac:dyDescent="0.25">
      <c r="A125" s="420"/>
    </row>
    <row r="126" spans="1:1" x14ac:dyDescent="0.25">
      <c r="A126" s="420"/>
    </row>
    <row r="127" spans="1:1" x14ac:dyDescent="0.25">
      <c r="A127" s="420"/>
    </row>
    <row r="128" spans="1:1" x14ac:dyDescent="0.25">
      <c r="A128" s="420"/>
    </row>
    <row r="129" spans="1:1" x14ac:dyDescent="0.25">
      <c r="A129" s="420"/>
    </row>
    <row r="130" spans="1:1" x14ac:dyDescent="0.25">
      <c r="A130" s="420"/>
    </row>
    <row r="131" spans="1:1" x14ac:dyDescent="0.25">
      <c r="A131" s="420"/>
    </row>
    <row r="132" spans="1:1" x14ac:dyDescent="0.25">
      <c r="A132" s="420"/>
    </row>
    <row r="133" spans="1:1" x14ac:dyDescent="0.25">
      <c r="A133" s="420"/>
    </row>
    <row r="134" spans="1:1" x14ac:dyDescent="0.25">
      <c r="A134" s="420"/>
    </row>
    <row r="135" spans="1:1" x14ac:dyDescent="0.25">
      <c r="A135" s="420"/>
    </row>
    <row r="136" spans="1:1" x14ac:dyDescent="0.25">
      <c r="A136" s="420"/>
    </row>
    <row r="137" spans="1:1" x14ac:dyDescent="0.25">
      <c r="A137" s="420"/>
    </row>
    <row r="138" spans="1:1" x14ac:dyDescent="0.25">
      <c r="A138" s="420"/>
    </row>
    <row r="139" spans="1:1" x14ac:dyDescent="0.25">
      <c r="A139" s="420"/>
    </row>
    <row r="140" spans="1:1" x14ac:dyDescent="0.25">
      <c r="A140" s="420"/>
    </row>
    <row r="141" spans="1:1" x14ac:dyDescent="0.25">
      <c r="A141" s="420"/>
    </row>
    <row r="142" spans="1:1" x14ac:dyDescent="0.25">
      <c r="A142" s="420"/>
    </row>
    <row r="143" spans="1:1" x14ac:dyDescent="0.25">
      <c r="A143" s="420"/>
    </row>
    <row r="144" spans="1:1" x14ac:dyDescent="0.25">
      <c r="A144" s="420"/>
    </row>
    <row r="145" spans="1:1" x14ac:dyDescent="0.25">
      <c r="A145" s="420"/>
    </row>
    <row r="146" spans="1:1" x14ac:dyDescent="0.25">
      <c r="A146" s="420"/>
    </row>
    <row r="147" spans="1:1" x14ac:dyDescent="0.25">
      <c r="A147" s="420"/>
    </row>
    <row r="148" spans="1:1" x14ac:dyDescent="0.25">
      <c r="A148" s="420"/>
    </row>
    <row r="149" spans="1:1" x14ac:dyDescent="0.25">
      <c r="A149" s="420"/>
    </row>
    <row r="150" spans="1:1" x14ac:dyDescent="0.25">
      <c r="A150" s="420"/>
    </row>
    <row r="151" spans="1:1" x14ac:dyDescent="0.25">
      <c r="A151" s="420"/>
    </row>
    <row r="152" spans="1:1" x14ac:dyDescent="0.25">
      <c r="A152" s="420"/>
    </row>
    <row r="153" spans="1:1" x14ac:dyDescent="0.25">
      <c r="A153" s="420"/>
    </row>
    <row r="154" spans="1:1" x14ac:dyDescent="0.25">
      <c r="A154" s="420"/>
    </row>
    <row r="155" spans="1:1" x14ac:dyDescent="0.25">
      <c r="A155" s="420"/>
    </row>
    <row r="156" spans="1:1" x14ac:dyDescent="0.25">
      <c r="A156" s="420"/>
    </row>
    <row r="157" spans="1:1" x14ac:dyDescent="0.25">
      <c r="A157" s="420"/>
    </row>
    <row r="158" spans="1:1" x14ac:dyDescent="0.25">
      <c r="A158" s="420"/>
    </row>
    <row r="159" spans="1:1" x14ac:dyDescent="0.25">
      <c r="A159" s="420"/>
    </row>
    <row r="160" spans="1:1" x14ac:dyDescent="0.25">
      <c r="A160" s="420"/>
    </row>
    <row r="161" spans="1:1" x14ac:dyDescent="0.25">
      <c r="A161" s="420"/>
    </row>
    <row r="162" spans="1:1" x14ac:dyDescent="0.25">
      <c r="A162" s="420"/>
    </row>
    <row r="163" spans="1:1" x14ac:dyDescent="0.25">
      <c r="A163" s="420"/>
    </row>
    <row r="164" spans="1:1" x14ac:dyDescent="0.25">
      <c r="A164" s="420"/>
    </row>
    <row r="165" spans="1:1" x14ac:dyDescent="0.25">
      <c r="A165" s="420"/>
    </row>
    <row r="166" spans="1:1" x14ac:dyDescent="0.25">
      <c r="A166" s="420"/>
    </row>
    <row r="167" spans="1:1" x14ac:dyDescent="0.25">
      <c r="A167" s="420"/>
    </row>
    <row r="168" spans="1:1" x14ac:dyDescent="0.25">
      <c r="A168" s="420"/>
    </row>
    <row r="169" spans="1:1" x14ac:dyDescent="0.25">
      <c r="A169" s="420"/>
    </row>
    <row r="170" spans="1:1" x14ac:dyDescent="0.25">
      <c r="A170" s="420"/>
    </row>
    <row r="171" spans="1:1" x14ac:dyDescent="0.25">
      <c r="A171" s="420"/>
    </row>
    <row r="172" spans="1:1" x14ac:dyDescent="0.25">
      <c r="A172" s="420"/>
    </row>
    <row r="173" spans="1:1" x14ac:dyDescent="0.25">
      <c r="A173" s="420"/>
    </row>
    <row r="174" spans="1:1" x14ac:dyDescent="0.25">
      <c r="A174" s="420"/>
    </row>
    <row r="175" spans="1:1" x14ac:dyDescent="0.25">
      <c r="A175" s="420"/>
    </row>
    <row r="176" spans="1:1" x14ac:dyDescent="0.25">
      <c r="A176" s="420"/>
    </row>
    <row r="177" spans="1:1" x14ac:dyDescent="0.25">
      <c r="A177" s="420"/>
    </row>
    <row r="178" spans="1:1" x14ac:dyDescent="0.25">
      <c r="A178" s="420"/>
    </row>
    <row r="179" spans="1:1" x14ac:dyDescent="0.25">
      <c r="A179" s="420"/>
    </row>
    <row r="180" spans="1:1" x14ac:dyDescent="0.25">
      <c r="A180" s="420"/>
    </row>
    <row r="181" spans="1:1" x14ac:dyDescent="0.25">
      <c r="A181" s="420"/>
    </row>
    <row r="182" spans="1:1" x14ac:dyDescent="0.25">
      <c r="A182" s="420"/>
    </row>
    <row r="183" spans="1:1" x14ac:dyDescent="0.25">
      <c r="A183" s="420"/>
    </row>
    <row r="184" spans="1:1" x14ac:dyDescent="0.25">
      <c r="A184" s="420"/>
    </row>
    <row r="185" spans="1:1" x14ac:dyDescent="0.25">
      <c r="A185" s="420"/>
    </row>
    <row r="186" spans="1:1" x14ac:dyDescent="0.25">
      <c r="A186" s="420"/>
    </row>
    <row r="187" spans="1:1" x14ac:dyDescent="0.25">
      <c r="A187" s="420"/>
    </row>
    <row r="188" spans="1:1" x14ac:dyDescent="0.25">
      <c r="A188" s="420"/>
    </row>
    <row r="189" spans="1:1" x14ac:dyDescent="0.25">
      <c r="A189" s="420"/>
    </row>
    <row r="190" spans="1:1" x14ac:dyDescent="0.25">
      <c r="A190" s="420"/>
    </row>
    <row r="191" spans="1:1" x14ac:dyDescent="0.25">
      <c r="A191" s="420"/>
    </row>
    <row r="192" spans="1:1" x14ac:dyDescent="0.25">
      <c r="A192" s="420"/>
    </row>
    <row r="193" spans="1:1" x14ac:dyDescent="0.25">
      <c r="A193" s="420"/>
    </row>
    <row r="194" spans="1:1" x14ac:dyDescent="0.25">
      <c r="A194" s="420"/>
    </row>
    <row r="195" spans="1:1" x14ac:dyDescent="0.25">
      <c r="A195" s="420"/>
    </row>
    <row r="196" spans="1:1" x14ac:dyDescent="0.25">
      <c r="A196" s="420"/>
    </row>
    <row r="197" spans="1:1" x14ac:dyDescent="0.25">
      <c r="A197" s="420"/>
    </row>
    <row r="198" spans="1:1" x14ac:dyDescent="0.25">
      <c r="A198" s="420"/>
    </row>
    <row r="199" spans="1:1" x14ac:dyDescent="0.25">
      <c r="A199" s="420"/>
    </row>
    <row r="200" spans="1:1" x14ac:dyDescent="0.25">
      <c r="A200" s="420"/>
    </row>
    <row r="201" spans="1:1" x14ac:dyDescent="0.25">
      <c r="A201" s="420"/>
    </row>
    <row r="202" spans="1:1" x14ac:dyDescent="0.25">
      <c r="A202" s="420"/>
    </row>
    <row r="203" spans="1:1" x14ac:dyDescent="0.25">
      <c r="A203" s="420"/>
    </row>
    <row r="204" spans="1:1" x14ac:dyDescent="0.25">
      <c r="A204" s="420"/>
    </row>
    <row r="205" spans="1:1" x14ac:dyDescent="0.25">
      <c r="A205" s="420"/>
    </row>
    <row r="206" spans="1:1" x14ac:dyDescent="0.25">
      <c r="A206" s="420"/>
    </row>
    <row r="207" spans="1:1" x14ac:dyDescent="0.25">
      <c r="A207" s="420"/>
    </row>
    <row r="208" spans="1:1" x14ac:dyDescent="0.25">
      <c r="A208" s="420"/>
    </row>
    <row r="209" spans="1:1" x14ac:dyDescent="0.25">
      <c r="A209" s="420"/>
    </row>
    <row r="210" spans="1:1" x14ac:dyDescent="0.25">
      <c r="A210" s="420"/>
    </row>
    <row r="211" spans="1:1" x14ac:dyDescent="0.25">
      <c r="A211" s="420"/>
    </row>
    <row r="212" spans="1:1" x14ac:dyDescent="0.25">
      <c r="A212" s="420"/>
    </row>
    <row r="213" spans="1:1" x14ac:dyDescent="0.25">
      <c r="A213" s="420"/>
    </row>
    <row r="214" spans="1:1" x14ac:dyDescent="0.25">
      <c r="A214" s="420"/>
    </row>
    <row r="215" spans="1:1" x14ac:dyDescent="0.25">
      <c r="A215" s="420"/>
    </row>
    <row r="216" spans="1:1" x14ac:dyDescent="0.25">
      <c r="A216" s="420"/>
    </row>
    <row r="217" spans="1:1" x14ac:dyDescent="0.25">
      <c r="A217" s="420"/>
    </row>
    <row r="218" spans="1:1" x14ac:dyDescent="0.25">
      <c r="A218" s="420"/>
    </row>
    <row r="219" spans="1:1" x14ac:dyDescent="0.25">
      <c r="A219" s="420"/>
    </row>
    <row r="220" spans="1:1" x14ac:dyDescent="0.25">
      <c r="A220" s="420"/>
    </row>
    <row r="221" spans="1:1" x14ac:dyDescent="0.25">
      <c r="A221" s="420"/>
    </row>
    <row r="222" spans="1:1" x14ac:dyDescent="0.25">
      <c r="A222" s="420"/>
    </row>
    <row r="223" spans="1:1" x14ac:dyDescent="0.25">
      <c r="A223" s="420"/>
    </row>
    <row r="224" spans="1:1" x14ac:dyDescent="0.25">
      <c r="A224" s="420"/>
    </row>
    <row r="225" spans="1:1" x14ac:dyDescent="0.25">
      <c r="A225" s="420"/>
    </row>
    <row r="226" spans="1:1" x14ac:dyDescent="0.25">
      <c r="A226" s="420"/>
    </row>
    <row r="227" spans="1:1" x14ac:dyDescent="0.25">
      <c r="A227" s="420"/>
    </row>
    <row r="228" spans="1:1" x14ac:dyDescent="0.25">
      <c r="A228" s="420"/>
    </row>
    <row r="229" spans="1:1" x14ac:dyDescent="0.25">
      <c r="A229" s="420"/>
    </row>
    <row r="230" spans="1:1" x14ac:dyDescent="0.25">
      <c r="A230" s="420"/>
    </row>
    <row r="231" spans="1:1" x14ac:dyDescent="0.25">
      <c r="A231" s="420"/>
    </row>
    <row r="232" spans="1:1" x14ac:dyDescent="0.25">
      <c r="A232" s="420"/>
    </row>
    <row r="233" spans="1:1" x14ac:dyDescent="0.25">
      <c r="A233" s="420"/>
    </row>
    <row r="234" spans="1:1" x14ac:dyDescent="0.25">
      <c r="A234" s="420"/>
    </row>
    <row r="235" spans="1:1" x14ac:dyDescent="0.25">
      <c r="A235" s="420"/>
    </row>
    <row r="236" spans="1:1" x14ac:dyDescent="0.25">
      <c r="A236" s="420"/>
    </row>
    <row r="237" spans="1:1" x14ac:dyDescent="0.25">
      <c r="A237" s="420"/>
    </row>
    <row r="238" spans="1:1" x14ac:dyDescent="0.25">
      <c r="A238" s="420"/>
    </row>
    <row r="239" spans="1:1" x14ac:dyDescent="0.25">
      <c r="A239" s="420"/>
    </row>
    <row r="240" spans="1:1" x14ac:dyDescent="0.25">
      <c r="A240" s="420"/>
    </row>
    <row r="241" spans="1:1" x14ac:dyDescent="0.25">
      <c r="A241" s="420"/>
    </row>
    <row r="242" spans="1:1" x14ac:dyDescent="0.25">
      <c r="A242" s="420"/>
    </row>
    <row r="243" spans="1:1" x14ac:dyDescent="0.25">
      <c r="A243" s="420"/>
    </row>
    <row r="244" spans="1:1" x14ac:dyDescent="0.25">
      <c r="A244" s="420"/>
    </row>
    <row r="245" spans="1:1" x14ac:dyDescent="0.25">
      <c r="A245" s="420"/>
    </row>
    <row r="246" spans="1:1" x14ac:dyDescent="0.25">
      <c r="A246" s="420"/>
    </row>
    <row r="247" spans="1:1" x14ac:dyDescent="0.25">
      <c r="A247" s="420"/>
    </row>
    <row r="248" spans="1:1" x14ac:dyDescent="0.25">
      <c r="A248" s="420"/>
    </row>
    <row r="249" spans="1:1" x14ac:dyDescent="0.25">
      <c r="A249" s="420"/>
    </row>
    <row r="250" spans="1:1" x14ac:dyDescent="0.25">
      <c r="A250" s="420"/>
    </row>
    <row r="251" spans="1:1" x14ac:dyDescent="0.25">
      <c r="A251" s="420"/>
    </row>
    <row r="252" spans="1:1" x14ac:dyDescent="0.25">
      <c r="A252" s="420"/>
    </row>
    <row r="253" spans="1:1" x14ac:dyDescent="0.25">
      <c r="A253" s="420"/>
    </row>
    <row r="254" spans="1:1" x14ac:dyDescent="0.25">
      <c r="A254" s="420"/>
    </row>
    <row r="255" spans="1:1" x14ac:dyDescent="0.25">
      <c r="A255" s="420"/>
    </row>
    <row r="256" spans="1:1" x14ac:dyDescent="0.25">
      <c r="A256" s="420"/>
    </row>
    <row r="257" spans="1:1" x14ac:dyDescent="0.25">
      <c r="A257" s="420"/>
    </row>
    <row r="258" spans="1:1" x14ac:dyDescent="0.25">
      <c r="A258" s="420"/>
    </row>
    <row r="259" spans="1:1" x14ac:dyDescent="0.25">
      <c r="A259" s="420"/>
    </row>
    <row r="260" spans="1:1" x14ac:dyDescent="0.25">
      <c r="A260" s="420"/>
    </row>
    <row r="261" spans="1:1" x14ac:dyDescent="0.25">
      <c r="A261" s="420"/>
    </row>
    <row r="262" spans="1:1" x14ac:dyDescent="0.25">
      <c r="A262" s="420"/>
    </row>
    <row r="263" spans="1:1" x14ac:dyDescent="0.25">
      <c r="A263" s="420"/>
    </row>
    <row r="264" spans="1:1" x14ac:dyDescent="0.25">
      <c r="A264" s="420"/>
    </row>
    <row r="265" spans="1:1" x14ac:dyDescent="0.25">
      <c r="A265" s="420"/>
    </row>
    <row r="266" spans="1:1" x14ac:dyDescent="0.25">
      <c r="A266" s="420"/>
    </row>
    <row r="267" spans="1:1" x14ac:dyDescent="0.25">
      <c r="A267" s="420"/>
    </row>
    <row r="268" spans="1:1" x14ac:dyDescent="0.25">
      <c r="A268" s="420"/>
    </row>
    <row r="269" spans="1:1" x14ac:dyDescent="0.25">
      <c r="A269" s="420"/>
    </row>
    <row r="270" spans="1:1" x14ac:dyDescent="0.25">
      <c r="A270" s="420"/>
    </row>
    <row r="271" spans="1:1" x14ac:dyDescent="0.25">
      <c r="A271" s="420"/>
    </row>
    <row r="272" spans="1:1" x14ac:dyDescent="0.25">
      <c r="A272" s="420"/>
    </row>
  </sheetData>
  <mergeCells count="10">
    <mergeCell ref="AE3:AH3"/>
    <mergeCell ref="A2:A3"/>
    <mergeCell ref="B2:B3"/>
    <mergeCell ref="G3:J3"/>
    <mergeCell ref="K3:N3"/>
    <mergeCell ref="AA3:AD3"/>
    <mergeCell ref="W3:Z3"/>
    <mergeCell ref="O3:R3"/>
    <mergeCell ref="S3:V3"/>
    <mergeCell ref="C3:F3"/>
  </mergeCells>
  <printOptions horizontalCentered="1"/>
  <pageMargins left="0.19685039370078741" right="0.19685039370078741" top="0.6692913385826772" bottom="0.19685039370078741" header="0.15748031496062992" footer="0.43307086614173229"/>
  <pageSetup paperSize="9" scale="47" fitToHeight="0" pageOrder="overThenDown" orientation="portrait" r:id="rId1"/>
  <headerFooter>
    <oddHeader xml:space="preserve">&amp;L1/C.  melléklet a ...../2020. (.......) önkormányzati rendelethez&amp;C&amp;"-,Félkövér"&amp;16
Az Önkormányzat 2019. évi összevont kiadásai feladatonként részletes bontásban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EK113"/>
  <sheetViews>
    <sheetView view="pageBreakPreview" topLeftCell="A65" zoomScale="75" zoomScaleNormal="100" zoomScaleSheetLayoutView="75" workbookViewId="0">
      <selection activeCell="AE31" sqref="AE30:AH31"/>
    </sheetView>
  </sheetViews>
  <sheetFormatPr defaultColWidth="9.140625" defaultRowHeight="15" x14ac:dyDescent="0.25"/>
  <cols>
    <col min="1" max="1" width="5.7109375" style="606" customWidth="1"/>
    <col min="2" max="2" width="53.7109375" style="607" customWidth="1"/>
    <col min="3" max="5" width="10" style="607" hidden="1" customWidth="1"/>
    <col min="6" max="6" width="11.140625" style="607" hidden="1" customWidth="1"/>
    <col min="7" max="7" width="10" style="607" hidden="1" customWidth="1"/>
    <col min="8" max="8" width="11.140625" style="607" hidden="1" customWidth="1"/>
    <col min="9" max="9" width="10" style="607" hidden="1" customWidth="1"/>
    <col min="10" max="10" width="10.28515625" style="607" hidden="1" customWidth="1"/>
    <col min="11" max="12" width="10.140625" style="607" hidden="1" customWidth="1"/>
    <col min="13" max="14" width="9.7109375" style="607" hidden="1" customWidth="1"/>
    <col min="15" max="16" width="10.140625" style="607" hidden="1" customWidth="1"/>
    <col min="17" max="18" width="9.7109375" style="607" hidden="1" customWidth="1"/>
    <col min="19" max="20" width="10.140625" style="607" customWidth="1"/>
    <col min="21" max="22" width="9.7109375" style="607" customWidth="1"/>
    <col min="23" max="23" width="10" style="607" hidden="1" customWidth="1"/>
    <col min="24" max="25" width="0" style="607" hidden="1" customWidth="1"/>
    <col min="26" max="26" width="15.140625" style="607" hidden="1" customWidth="1"/>
    <col min="27" max="27" width="10" style="607" bestFit="1" customWidth="1"/>
    <col min="28" max="29" width="9.140625" style="607"/>
    <col min="30" max="30" width="13.85546875" style="607" customWidth="1"/>
    <col min="31" max="31" width="10" style="607" bestFit="1" customWidth="1"/>
    <col min="32" max="33" width="9.140625" style="607"/>
    <col min="34" max="34" width="13.85546875" style="607" customWidth="1"/>
    <col min="35" max="16384" width="9.140625" style="607"/>
  </cols>
  <sheetData>
    <row r="1" spans="1:34" x14ac:dyDescent="0.25">
      <c r="F1" s="608"/>
      <c r="N1" s="608"/>
      <c r="R1" s="608"/>
      <c r="V1" s="608"/>
      <c r="Z1" s="423"/>
      <c r="AD1" s="423"/>
      <c r="AH1" s="423" t="s">
        <v>302</v>
      </c>
    </row>
    <row r="2" spans="1:34" x14ac:dyDescent="0.25">
      <c r="A2" s="609" t="s">
        <v>468</v>
      </c>
      <c r="B2" s="609" t="s">
        <v>469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</row>
    <row r="3" spans="1:34" ht="30.4" customHeight="1" x14ac:dyDescent="0.25">
      <c r="A3" s="998" t="s">
        <v>305</v>
      </c>
      <c r="B3" s="999" t="s">
        <v>470</v>
      </c>
      <c r="C3" s="988" t="s">
        <v>1503</v>
      </c>
      <c r="D3" s="989"/>
      <c r="E3" s="989"/>
      <c r="F3" s="990"/>
      <c r="G3" s="988" t="s">
        <v>1504</v>
      </c>
      <c r="H3" s="989"/>
      <c r="I3" s="989"/>
      <c r="J3" s="990"/>
      <c r="K3" s="988" t="s">
        <v>1505</v>
      </c>
      <c r="L3" s="989"/>
      <c r="M3" s="989"/>
      <c r="N3" s="990"/>
      <c r="O3" s="988" t="s">
        <v>1496</v>
      </c>
      <c r="P3" s="989"/>
      <c r="Q3" s="989"/>
      <c r="R3" s="990"/>
      <c r="S3" s="988" t="s">
        <v>1499</v>
      </c>
      <c r="T3" s="989"/>
      <c r="U3" s="989"/>
      <c r="V3" s="990"/>
      <c r="W3" s="988" t="s">
        <v>1715</v>
      </c>
      <c r="X3" s="989"/>
      <c r="Y3" s="989"/>
      <c r="Z3" s="990"/>
      <c r="AA3" s="988" t="s">
        <v>1724</v>
      </c>
      <c r="AB3" s="989"/>
      <c r="AC3" s="989"/>
      <c r="AD3" s="990"/>
      <c r="AE3" s="988" t="s">
        <v>1748</v>
      </c>
      <c r="AF3" s="989"/>
      <c r="AG3" s="989"/>
      <c r="AH3" s="990"/>
    </row>
    <row r="4" spans="1:34" ht="60" x14ac:dyDescent="0.25">
      <c r="A4" s="998"/>
      <c r="B4" s="999"/>
      <c r="C4" s="611" t="s">
        <v>1313</v>
      </c>
      <c r="D4" s="611" t="s">
        <v>1314</v>
      </c>
      <c r="E4" s="611" t="s">
        <v>1315</v>
      </c>
      <c r="F4" s="611" t="s">
        <v>553</v>
      </c>
      <c r="G4" s="611" t="s">
        <v>1313</v>
      </c>
      <c r="H4" s="611" t="s">
        <v>1314</v>
      </c>
      <c r="I4" s="611" t="s">
        <v>1315</v>
      </c>
      <c r="J4" s="611" t="s">
        <v>553</v>
      </c>
      <c r="K4" s="611" t="s">
        <v>1313</v>
      </c>
      <c r="L4" s="611" t="s">
        <v>1314</v>
      </c>
      <c r="M4" s="611" t="s">
        <v>1315</v>
      </c>
      <c r="N4" s="611" t="s">
        <v>553</v>
      </c>
      <c r="O4" s="641" t="s">
        <v>1313</v>
      </c>
      <c r="P4" s="641" t="s">
        <v>1314</v>
      </c>
      <c r="Q4" s="641" t="s">
        <v>1315</v>
      </c>
      <c r="R4" s="641" t="s">
        <v>553</v>
      </c>
      <c r="S4" s="641" t="s">
        <v>1313</v>
      </c>
      <c r="T4" s="641" t="s">
        <v>1314</v>
      </c>
      <c r="U4" s="641" t="s">
        <v>1315</v>
      </c>
      <c r="V4" s="641" t="s">
        <v>553</v>
      </c>
      <c r="W4" s="641" t="s">
        <v>1313</v>
      </c>
      <c r="X4" s="641" t="s">
        <v>1314</v>
      </c>
      <c r="Y4" s="641" t="s">
        <v>1315</v>
      </c>
      <c r="Z4" s="641" t="s">
        <v>553</v>
      </c>
      <c r="AA4" s="641" t="s">
        <v>1313</v>
      </c>
      <c r="AB4" s="641" t="s">
        <v>1314</v>
      </c>
      <c r="AC4" s="641" t="s">
        <v>1315</v>
      </c>
      <c r="AD4" s="641" t="s">
        <v>553</v>
      </c>
      <c r="AE4" s="641" t="s">
        <v>1313</v>
      </c>
      <c r="AF4" s="641" t="s">
        <v>1314</v>
      </c>
      <c r="AG4" s="641" t="s">
        <v>1315</v>
      </c>
      <c r="AH4" s="641" t="s">
        <v>553</v>
      </c>
    </row>
    <row r="5" spans="1:34" x14ac:dyDescent="0.25">
      <c r="A5" s="612" t="s">
        <v>309</v>
      </c>
      <c r="B5" s="613" t="s">
        <v>310</v>
      </c>
      <c r="C5" s="614">
        <f t="shared" ref="C5:D5" si="0">C6+C25+C41+C55</f>
        <v>3685446</v>
      </c>
      <c r="D5" s="614">
        <f t="shared" si="0"/>
        <v>75150</v>
      </c>
      <c r="E5" s="614">
        <f t="shared" ref="E5" si="1">E6+E25+E41+E55</f>
        <v>0</v>
      </c>
      <c r="F5" s="614">
        <f>SUM(C5:E5)</f>
        <v>3760596</v>
      </c>
      <c r="G5" s="614">
        <f t="shared" ref="G5:I5" si="2">G6+G25+G41+G55</f>
        <v>3829739</v>
      </c>
      <c r="H5" s="614">
        <f t="shared" si="2"/>
        <v>210857</v>
      </c>
      <c r="I5" s="614">
        <f t="shared" si="2"/>
        <v>0</v>
      </c>
      <c r="J5" s="614">
        <f>SUM(G5:I5)</f>
        <v>4040596</v>
      </c>
      <c r="K5" s="614">
        <f t="shared" ref="K5:M5" si="3">K6+K25+K41+K55</f>
        <v>3705661</v>
      </c>
      <c r="L5" s="614">
        <f t="shared" si="3"/>
        <v>225405</v>
      </c>
      <c r="M5" s="614">
        <f t="shared" si="3"/>
        <v>0</v>
      </c>
      <c r="N5" s="614">
        <f>SUM(K5:M5)</f>
        <v>3931066</v>
      </c>
      <c r="O5" s="614">
        <f t="shared" ref="O5:Q5" si="4">O6+O25+O41+O55</f>
        <v>4164695</v>
      </c>
      <c r="P5" s="614">
        <f t="shared" si="4"/>
        <v>12200</v>
      </c>
      <c r="Q5" s="614">
        <f t="shared" si="4"/>
        <v>0</v>
      </c>
      <c r="R5" s="614">
        <f>SUM(O5:Q5)</f>
        <v>4176895</v>
      </c>
      <c r="S5" s="614">
        <f t="shared" ref="S5:U5" si="5">S6+S25+S41+S55</f>
        <v>3962222.0810000002</v>
      </c>
      <c r="T5" s="614">
        <f t="shared" si="5"/>
        <v>49237</v>
      </c>
      <c r="U5" s="614">
        <f t="shared" si="5"/>
        <v>0</v>
      </c>
      <c r="V5" s="614">
        <f>SUM(S5:U5)</f>
        <v>4011459.0810000002</v>
      </c>
      <c r="W5" s="614">
        <f t="shared" ref="W5:Y5" si="6">W6+W25+W41+W55</f>
        <v>3968588.8339999998</v>
      </c>
      <c r="X5" s="614">
        <f t="shared" si="6"/>
        <v>49237</v>
      </c>
      <c r="Y5" s="614">
        <f t="shared" si="6"/>
        <v>0</v>
      </c>
      <c r="Z5" s="614">
        <f>SUM(W5:Y5)</f>
        <v>4017825.8339999998</v>
      </c>
      <c r="AA5" s="614">
        <f t="shared" ref="AA5:AC5" si="7">AA6+AA25+AA41+AA55</f>
        <v>3975399</v>
      </c>
      <c r="AB5" s="614">
        <f t="shared" si="7"/>
        <v>49237</v>
      </c>
      <c r="AC5" s="614">
        <f t="shared" si="7"/>
        <v>0</v>
      </c>
      <c r="AD5" s="614">
        <f>SUM(AA5:AC5)</f>
        <v>4024636</v>
      </c>
      <c r="AE5" s="614">
        <f t="shared" ref="AE5:AG5" si="8">AE6+AE25+AE41+AE55</f>
        <v>4281345</v>
      </c>
      <c r="AF5" s="614">
        <f t="shared" si="8"/>
        <v>52475</v>
      </c>
      <c r="AG5" s="614">
        <f t="shared" si="8"/>
        <v>0</v>
      </c>
      <c r="AH5" s="614">
        <f>SUM(AE5:AG5)</f>
        <v>4333820</v>
      </c>
    </row>
    <row r="6" spans="1:34" x14ac:dyDescent="0.25">
      <c r="A6" s="615" t="s">
        <v>311</v>
      </c>
      <c r="B6" s="616" t="s">
        <v>312</v>
      </c>
      <c r="C6" s="617">
        <f t="shared" ref="C6:D6" si="9">C7+C16+C17+C18</f>
        <v>552349</v>
      </c>
      <c r="D6" s="617">
        <f t="shared" si="9"/>
        <v>12800</v>
      </c>
      <c r="E6" s="617">
        <f t="shared" ref="E6" si="10">E7+E16+E17+E18</f>
        <v>0</v>
      </c>
      <c r="F6" s="617">
        <f t="shared" ref="F6:F74" si="11">SUM(C6:E6)</f>
        <v>565149</v>
      </c>
      <c r="G6" s="617">
        <f t="shared" ref="G6:I6" si="12">G7+G16+G17+G18</f>
        <v>637932</v>
      </c>
      <c r="H6" s="617">
        <f t="shared" si="12"/>
        <v>12800</v>
      </c>
      <c r="I6" s="617">
        <f t="shared" si="12"/>
        <v>0</v>
      </c>
      <c r="J6" s="617">
        <f t="shared" ref="J6:J56" si="13">SUM(G6:I6)</f>
        <v>650732</v>
      </c>
      <c r="K6" s="617">
        <f t="shared" ref="K6:M6" si="14">K7+K16+K17+K18</f>
        <v>554473</v>
      </c>
      <c r="L6" s="617">
        <f t="shared" si="14"/>
        <v>57430</v>
      </c>
      <c r="M6" s="617">
        <f t="shared" si="14"/>
        <v>0</v>
      </c>
      <c r="N6" s="617">
        <f t="shared" ref="N6:N56" si="15">SUM(K6:M6)</f>
        <v>611903</v>
      </c>
      <c r="O6" s="617">
        <f t="shared" ref="O6:Q6" si="16">O7+O16+O17+O18</f>
        <v>657316</v>
      </c>
      <c r="P6" s="617">
        <f t="shared" si="16"/>
        <v>12200</v>
      </c>
      <c r="Q6" s="617">
        <f t="shared" si="16"/>
        <v>0</v>
      </c>
      <c r="R6" s="617">
        <f t="shared" ref="R6:R56" si="17">SUM(O6:Q6)</f>
        <v>669516</v>
      </c>
      <c r="S6" s="617">
        <f t="shared" ref="S6:U6" si="18">S7+S16+S17+S18</f>
        <v>599232.08100000001</v>
      </c>
      <c r="T6" s="617">
        <f t="shared" si="18"/>
        <v>12600</v>
      </c>
      <c r="U6" s="617">
        <f t="shared" si="18"/>
        <v>0</v>
      </c>
      <c r="V6" s="617">
        <f t="shared" ref="V6:V56" si="19">SUM(S6:U6)</f>
        <v>611832.08100000001</v>
      </c>
      <c r="W6" s="617">
        <f t="shared" ref="W6:Y6" si="20">W7+W16+W17+W18</f>
        <v>605598.83400000003</v>
      </c>
      <c r="X6" s="617">
        <f t="shared" si="20"/>
        <v>12600</v>
      </c>
      <c r="Y6" s="617">
        <f t="shared" si="20"/>
        <v>0</v>
      </c>
      <c r="Z6" s="617">
        <f t="shared" ref="Z6:Z14" si="21">SUM(W6:Y6)</f>
        <v>618198.83400000003</v>
      </c>
      <c r="AA6" s="617">
        <f t="shared" ref="AA6:AC6" si="22">AA7+AA16+AA17+AA18</f>
        <v>612409</v>
      </c>
      <c r="AB6" s="617">
        <f t="shared" si="22"/>
        <v>12600</v>
      </c>
      <c r="AC6" s="617">
        <f t="shared" si="22"/>
        <v>0</v>
      </c>
      <c r="AD6" s="617">
        <f t="shared" ref="AD6:AD14" si="23">SUM(AA6:AC6)</f>
        <v>625009</v>
      </c>
      <c r="AE6" s="617">
        <f t="shared" ref="AE6:AG6" si="24">AE7+AE16+AE17+AE18</f>
        <v>688355</v>
      </c>
      <c r="AF6" s="617">
        <f t="shared" si="24"/>
        <v>12600</v>
      </c>
      <c r="AG6" s="617">
        <f t="shared" si="24"/>
        <v>0</v>
      </c>
      <c r="AH6" s="617">
        <f t="shared" ref="AH6:AH14" si="25">SUM(AE6:AG6)</f>
        <v>700955</v>
      </c>
    </row>
    <row r="7" spans="1:34" s="621" customFormat="1" x14ac:dyDescent="0.25">
      <c r="A7" s="618"/>
      <c r="B7" s="619" t="s">
        <v>471</v>
      </c>
      <c r="C7" s="620">
        <f t="shared" ref="C7:D7" si="26">SUM(C8:C14)</f>
        <v>511956</v>
      </c>
      <c r="D7" s="620">
        <f t="shared" si="26"/>
        <v>12200</v>
      </c>
      <c r="E7" s="620">
        <f t="shared" ref="E7" si="27">SUM(E8:E14)</f>
        <v>0</v>
      </c>
      <c r="F7" s="620">
        <f t="shared" si="11"/>
        <v>524156</v>
      </c>
      <c r="G7" s="620">
        <f>SUM(G8:G15)</f>
        <v>581906</v>
      </c>
      <c r="H7" s="620">
        <f t="shared" ref="H7:I7" si="28">SUM(H8:H15)</f>
        <v>12200</v>
      </c>
      <c r="I7" s="620">
        <f t="shared" si="28"/>
        <v>0</v>
      </c>
      <c r="J7" s="620">
        <f t="shared" si="13"/>
        <v>594106</v>
      </c>
      <c r="K7" s="620">
        <f t="shared" ref="K7:M7" si="29">SUM(K8:K14)</f>
        <v>514080</v>
      </c>
      <c r="L7" s="620">
        <f t="shared" si="29"/>
        <v>14932</v>
      </c>
      <c r="M7" s="620">
        <f t="shared" si="29"/>
        <v>0</v>
      </c>
      <c r="N7" s="620">
        <f t="shared" si="15"/>
        <v>529012</v>
      </c>
      <c r="O7" s="620">
        <f t="shared" ref="O7:Q7" si="30">SUM(O8:O14)</f>
        <v>599837</v>
      </c>
      <c r="P7" s="620">
        <f t="shared" si="30"/>
        <v>12200</v>
      </c>
      <c r="Q7" s="620">
        <f t="shared" si="30"/>
        <v>0</v>
      </c>
      <c r="R7" s="620">
        <f t="shared" si="17"/>
        <v>612037</v>
      </c>
      <c r="S7" s="958">
        <f t="shared" ref="S7:U7" si="31">SUM(S8:S14)</f>
        <v>599232.08100000001</v>
      </c>
      <c r="T7" s="958">
        <f t="shared" si="31"/>
        <v>12600</v>
      </c>
      <c r="U7" s="958">
        <f t="shared" si="31"/>
        <v>0</v>
      </c>
      <c r="V7" s="958">
        <f t="shared" si="19"/>
        <v>611832.08100000001</v>
      </c>
      <c r="W7" s="620">
        <f t="shared" ref="W7:Y7" si="32">SUM(W8:W14)</f>
        <v>605598.83400000003</v>
      </c>
      <c r="X7" s="620">
        <f t="shared" si="32"/>
        <v>12600</v>
      </c>
      <c r="Y7" s="620">
        <f t="shared" si="32"/>
        <v>0</v>
      </c>
      <c r="Z7" s="620">
        <f t="shared" si="21"/>
        <v>618198.83400000003</v>
      </c>
      <c r="AA7" s="620">
        <f t="shared" ref="AA7:AC7" si="33">SUM(AA8:AA14)</f>
        <v>611998</v>
      </c>
      <c r="AB7" s="620">
        <f t="shared" si="33"/>
        <v>12600</v>
      </c>
      <c r="AC7" s="620">
        <f t="shared" si="33"/>
        <v>0</v>
      </c>
      <c r="AD7" s="620">
        <f t="shared" si="23"/>
        <v>624598</v>
      </c>
      <c r="AE7" s="958">
        <f t="shared" ref="AE7:AG7" si="34">SUM(AE8:AE14)</f>
        <v>640600</v>
      </c>
      <c r="AF7" s="958">
        <f t="shared" si="34"/>
        <v>12600</v>
      </c>
      <c r="AG7" s="958">
        <f t="shared" si="34"/>
        <v>0</v>
      </c>
      <c r="AH7" s="958">
        <f t="shared" si="25"/>
        <v>653200</v>
      </c>
    </row>
    <row r="8" spans="1:34" s="621" customFormat="1" ht="30" x14ac:dyDescent="0.25">
      <c r="A8" s="618"/>
      <c r="B8" s="622" t="s">
        <v>472</v>
      </c>
      <c r="C8" s="623">
        <v>4</v>
      </c>
      <c r="D8" s="623">
        <v>0</v>
      </c>
      <c r="E8" s="623">
        <v>0</v>
      </c>
      <c r="F8" s="623">
        <f t="shared" si="11"/>
        <v>4</v>
      </c>
      <c r="G8" s="623">
        <v>278</v>
      </c>
      <c r="H8" s="623">
        <v>0</v>
      </c>
      <c r="I8" s="623">
        <v>0</v>
      </c>
      <c r="J8" s="623">
        <f t="shared" si="13"/>
        <v>278</v>
      </c>
      <c r="K8" s="623">
        <f>479+4</f>
        <v>483</v>
      </c>
      <c r="L8" s="623">
        <v>0</v>
      </c>
      <c r="M8" s="623">
        <v>0</v>
      </c>
      <c r="N8" s="623">
        <f t="shared" si="15"/>
        <v>483</v>
      </c>
      <c r="O8" s="623">
        <v>278</v>
      </c>
      <c r="P8" s="623">
        <v>0</v>
      </c>
      <c r="Q8" s="623">
        <v>0</v>
      </c>
      <c r="R8" s="623">
        <f t="shared" si="17"/>
        <v>278</v>
      </c>
      <c r="S8" s="959"/>
      <c r="T8" s="959">
        <v>0</v>
      </c>
      <c r="U8" s="959">
        <v>0</v>
      </c>
      <c r="V8" s="959">
        <f t="shared" si="19"/>
        <v>0</v>
      </c>
      <c r="W8" s="623">
        <f>0+352+103</f>
        <v>455</v>
      </c>
      <c r="X8" s="623">
        <v>0</v>
      </c>
      <c r="Y8" s="623">
        <v>0</v>
      </c>
      <c r="Z8" s="623">
        <f t="shared" si="21"/>
        <v>455</v>
      </c>
      <c r="AA8" s="623">
        <f>455+97+96+95</f>
        <v>743</v>
      </c>
      <c r="AB8" s="623">
        <v>0</v>
      </c>
      <c r="AC8" s="623">
        <v>0</v>
      </c>
      <c r="AD8" s="623">
        <f t="shared" si="23"/>
        <v>743</v>
      </c>
      <c r="AE8" s="959">
        <f>743+122+122+122+122+122</f>
        <v>1353</v>
      </c>
      <c r="AF8" s="959">
        <v>0</v>
      </c>
      <c r="AG8" s="959">
        <v>0</v>
      </c>
      <c r="AH8" s="959">
        <f t="shared" si="25"/>
        <v>1353</v>
      </c>
    </row>
    <row r="9" spans="1:34" s="621" customFormat="1" x14ac:dyDescent="0.25">
      <c r="A9" s="618"/>
      <c r="B9" s="622" t="s">
        <v>473</v>
      </c>
      <c r="C9" s="623">
        <v>306928</v>
      </c>
      <c r="D9" s="623">
        <v>0</v>
      </c>
      <c r="E9" s="623">
        <v>0</v>
      </c>
      <c r="F9" s="623">
        <f t="shared" si="11"/>
        <v>306928</v>
      </c>
      <c r="G9" s="623">
        <v>310842</v>
      </c>
      <c r="H9" s="623">
        <v>0</v>
      </c>
      <c r="I9" s="623">
        <v>0</v>
      </c>
      <c r="J9" s="623">
        <f t="shared" si="13"/>
        <v>310842</v>
      </c>
      <c r="K9" s="623">
        <f>303118+2304+6656-4</f>
        <v>312074</v>
      </c>
      <c r="L9" s="623">
        <v>0</v>
      </c>
      <c r="M9" s="623">
        <v>0</v>
      </c>
      <c r="N9" s="623">
        <f t="shared" si="15"/>
        <v>312074</v>
      </c>
      <c r="O9" s="623">
        <v>315578</v>
      </c>
      <c r="P9" s="623">
        <v>0</v>
      </c>
      <c r="Q9" s="623">
        <v>0</v>
      </c>
      <c r="R9" s="623">
        <f t="shared" si="17"/>
        <v>315578</v>
      </c>
      <c r="S9" s="959">
        <f>+(211495800+105391534+7794500)/1000</f>
        <v>324681.83399999997</v>
      </c>
      <c r="T9" s="959">
        <v>0</v>
      </c>
      <c r="U9" s="959">
        <v>0</v>
      </c>
      <c r="V9" s="959">
        <f t="shared" si="19"/>
        <v>324681.83399999997</v>
      </c>
      <c r="W9" s="623">
        <f>+(211495800+105391534+7794500)/1000</f>
        <v>324681.83399999997</v>
      </c>
      <c r="X9" s="623">
        <v>0</v>
      </c>
      <c r="Y9" s="623">
        <v>0</v>
      </c>
      <c r="Z9" s="623">
        <f t="shared" si="21"/>
        <v>324681.83399999997</v>
      </c>
      <c r="AA9" s="623">
        <f>324682</f>
        <v>324682</v>
      </c>
      <c r="AB9" s="623">
        <v>0</v>
      </c>
      <c r="AC9" s="623">
        <v>0</v>
      </c>
      <c r="AD9" s="623">
        <f t="shared" si="23"/>
        <v>324682</v>
      </c>
      <c r="AE9" s="959">
        <f>324682-2441+6240+1338</f>
        <v>329819</v>
      </c>
      <c r="AF9" s="959">
        <v>0</v>
      </c>
      <c r="AG9" s="959">
        <v>0</v>
      </c>
      <c r="AH9" s="959">
        <f t="shared" si="25"/>
        <v>329819</v>
      </c>
    </row>
    <row r="10" spans="1:34" s="621" customFormat="1" ht="30" x14ac:dyDescent="0.25">
      <c r="A10" s="618"/>
      <c r="B10" s="622" t="s">
        <v>474</v>
      </c>
      <c r="C10" s="623">
        <v>188141</v>
      </c>
      <c r="D10" s="623">
        <v>0</v>
      </c>
      <c r="E10" s="623">
        <v>0</v>
      </c>
      <c r="F10" s="623">
        <f t="shared" si="11"/>
        <v>188141</v>
      </c>
      <c r="G10" s="623">
        <v>240403</v>
      </c>
      <c r="H10" s="623">
        <v>0</v>
      </c>
      <c r="I10" s="623">
        <v>0</v>
      </c>
      <c r="J10" s="623">
        <f t="shared" si="13"/>
        <v>240403</v>
      </c>
      <c r="K10" s="623">
        <f>172450+1323+522+1333+522+2681+1087</f>
        <v>179918</v>
      </c>
      <c r="L10" s="623">
        <v>0</v>
      </c>
      <c r="M10" s="623">
        <v>0</v>
      </c>
      <c r="N10" s="623">
        <f t="shared" si="15"/>
        <v>179918</v>
      </c>
      <c r="O10" s="623">
        <v>244815</v>
      </c>
      <c r="P10" s="623">
        <v>0</v>
      </c>
      <c r="Q10" s="623">
        <v>0</v>
      </c>
      <c r="R10" s="623">
        <f t="shared" si="17"/>
        <v>244815</v>
      </c>
      <c r="S10" s="959">
        <f>+(9180000+8192360+71231000+99990857+49020+36831200+32062000)/1000</f>
        <v>257536.43700000001</v>
      </c>
      <c r="T10" s="959">
        <v>0</v>
      </c>
      <c r="U10" s="959">
        <v>0</v>
      </c>
      <c r="V10" s="959">
        <f t="shared" si="19"/>
        <v>257536.43700000001</v>
      </c>
      <c r="W10" s="623">
        <f>257536+2754+1397</f>
        <v>261687</v>
      </c>
      <c r="X10" s="623">
        <v>0</v>
      </c>
      <c r="Y10" s="623">
        <v>0</v>
      </c>
      <c r="Z10" s="623">
        <f t="shared" si="21"/>
        <v>261687</v>
      </c>
      <c r="AA10" s="623">
        <f>261687+1404+1404+1402+1</f>
        <v>265898</v>
      </c>
      <c r="AB10" s="623">
        <v>0</v>
      </c>
      <c r="AC10" s="623">
        <v>0</v>
      </c>
      <c r="AD10" s="623">
        <f t="shared" si="23"/>
        <v>265898</v>
      </c>
      <c r="AE10" s="959">
        <f>265898+1409+1284+1292+9284+1269+1230+1384-36</f>
        <v>283014</v>
      </c>
      <c r="AF10" s="959">
        <v>0</v>
      </c>
      <c r="AG10" s="959">
        <v>0</v>
      </c>
      <c r="AH10" s="959">
        <f t="shared" si="25"/>
        <v>283014</v>
      </c>
    </row>
    <row r="11" spans="1:34" s="621" customFormat="1" x14ac:dyDescent="0.25">
      <c r="A11" s="618"/>
      <c r="B11" s="622" t="s">
        <v>475</v>
      </c>
      <c r="C11" s="623">
        <v>16883</v>
      </c>
      <c r="D11" s="623">
        <v>12200</v>
      </c>
      <c r="E11" s="623">
        <v>0</v>
      </c>
      <c r="F11" s="623">
        <f t="shared" si="11"/>
        <v>29083</v>
      </c>
      <c r="G11" s="623">
        <v>21177</v>
      </c>
      <c r="H11" s="623">
        <v>12200</v>
      </c>
      <c r="I11" s="623">
        <v>0</v>
      </c>
      <c r="J11" s="623">
        <f t="shared" si="13"/>
        <v>33377</v>
      </c>
      <c r="K11" s="623">
        <f>17460+1715</f>
        <v>19175</v>
      </c>
      <c r="L11" s="623">
        <v>12000</v>
      </c>
      <c r="M11" s="623">
        <v>0</v>
      </c>
      <c r="N11" s="623">
        <f t="shared" si="15"/>
        <v>31175</v>
      </c>
      <c r="O11" s="623">
        <v>34224</v>
      </c>
      <c r="P11" s="623">
        <v>12200</v>
      </c>
      <c r="Q11" s="623">
        <v>0</v>
      </c>
      <c r="R11" s="623">
        <f t="shared" si="17"/>
        <v>46424</v>
      </c>
      <c r="S11" s="959">
        <f>17013810/1000</f>
        <v>17013.810000000001</v>
      </c>
      <c r="T11" s="959">
        <v>12600</v>
      </c>
      <c r="U11" s="959">
        <v>0</v>
      </c>
      <c r="V11" s="959">
        <f t="shared" si="19"/>
        <v>29613.81</v>
      </c>
      <c r="W11" s="623">
        <f>17014+1308+453</f>
        <v>18775</v>
      </c>
      <c r="X11" s="623">
        <v>12600</v>
      </c>
      <c r="Y11" s="623">
        <v>0</v>
      </c>
      <c r="Z11" s="623">
        <f t="shared" si="21"/>
        <v>31375</v>
      </c>
      <c r="AA11" s="623">
        <f>18775+437+607+437+419</f>
        <v>20675</v>
      </c>
      <c r="AB11" s="623">
        <v>12600</v>
      </c>
      <c r="AC11" s="623">
        <v>0</v>
      </c>
      <c r="AD11" s="623">
        <f t="shared" si="23"/>
        <v>33275</v>
      </c>
      <c r="AE11" s="959">
        <f>20675+427+438+577+447+438+450</f>
        <v>23452</v>
      </c>
      <c r="AF11" s="959">
        <v>12600</v>
      </c>
      <c r="AG11" s="959">
        <v>0</v>
      </c>
      <c r="AH11" s="959">
        <f t="shared" si="25"/>
        <v>36052</v>
      </c>
    </row>
    <row r="12" spans="1:34" x14ac:dyDescent="0.25">
      <c r="A12" s="618"/>
      <c r="B12" s="622" t="s">
        <v>476</v>
      </c>
      <c r="C12" s="624">
        <v>0</v>
      </c>
      <c r="D12" s="624">
        <v>0</v>
      </c>
      <c r="E12" s="624">
        <v>0</v>
      </c>
      <c r="F12" s="624">
        <f t="shared" si="11"/>
        <v>0</v>
      </c>
      <c r="G12" s="624">
        <v>0</v>
      </c>
      <c r="H12" s="624">
        <v>0</v>
      </c>
      <c r="I12" s="624">
        <v>0</v>
      </c>
      <c r="J12" s="624">
        <f t="shared" si="13"/>
        <v>0</v>
      </c>
      <c r="K12" s="624">
        <f>1766+1143-479</f>
        <v>2430</v>
      </c>
      <c r="L12" s="624">
        <v>0</v>
      </c>
      <c r="M12" s="624">
        <v>0</v>
      </c>
      <c r="N12" s="624">
        <f t="shared" si="15"/>
        <v>2430</v>
      </c>
      <c r="O12" s="624"/>
      <c r="P12" s="624">
        <v>0</v>
      </c>
      <c r="Q12" s="624">
        <v>0</v>
      </c>
      <c r="R12" s="624">
        <f t="shared" si="17"/>
        <v>0</v>
      </c>
      <c r="S12" s="960">
        <v>0</v>
      </c>
      <c r="T12" s="960">
        <v>0</v>
      </c>
      <c r="U12" s="960">
        <v>0</v>
      </c>
      <c r="V12" s="960">
        <f t="shared" si="19"/>
        <v>0</v>
      </c>
      <c r="W12" s="624">
        <v>0</v>
      </c>
      <c r="X12" s="624">
        <v>0</v>
      </c>
      <c r="Y12" s="624">
        <v>0</v>
      </c>
      <c r="Z12" s="624">
        <f t="shared" si="21"/>
        <v>0</v>
      </c>
      <c r="AA12" s="624">
        <v>0</v>
      </c>
      <c r="AB12" s="624">
        <v>0</v>
      </c>
      <c r="AC12" s="624">
        <v>0</v>
      </c>
      <c r="AD12" s="624">
        <f t="shared" si="23"/>
        <v>0</v>
      </c>
      <c r="AE12" s="960">
        <v>0</v>
      </c>
      <c r="AF12" s="960">
        <v>0</v>
      </c>
      <c r="AG12" s="960">
        <v>0</v>
      </c>
      <c r="AH12" s="960">
        <f t="shared" si="25"/>
        <v>0</v>
      </c>
    </row>
    <row r="13" spans="1:34" ht="15.75" customHeight="1" x14ac:dyDescent="0.25">
      <c r="A13" s="618"/>
      <c r="B13" s="622" t="s">
        <v>477</v>
      </c>
      <c r="C13" s="624">
        <v>0</v>
      </c>
      <c r="D13" s="624">
        <v>0</v>
      </c>
      <c r="E13" s="624">
        <v>0</v>
      </c>
      <c r="F13" s="624">
        <f t="shared" si="11"/>
        <v>0</v>
      </c>
      <c r="G13" s="624">
        <v>0</v>
      </c>
      <c r="H13" s="624">
        <v>0</v>
      </c>
      <c r="I13" s="624">
        <v>0</v>
      </c>
      <c r="J13" s="624">
        <f t="shared" si="13"/>
        <v>0</v>
      </c>
      <c r="K13" s="624">
        <v>0</v>
      </c>
      <c r="L13" s="624">
        <v>0</v>
      </c>
      <c r="M13" s="624">
        <v>0</v>
      </c>
      <c r="N13" s="624">
        <f t="shared" si="15"/>
        <v>0</v>
      </c>
      <c r="O13" s="624"/>
      <c r="P13" s="624"/>
      <c r="Q13" s="624">
        <v>0</v>
      </c>
      <c r="R13" s="624">
        <f t="shared" si="17"/>
        <v>0</v>
      </c>
      <c r="S13" s="960">
        <v>0</v>
      </c>
      <c r="T13" s="960">
        <v>0</v>
      </c>
      <c r="U13" s="960">
        <v>0</v>
      </c>
      <c r="V13" s="960">
        <f t="shared" si="19"/>
        <v>0</v>
      </c>
      <c r="W13" s="624">
        <v>0</v>
      </c>
      <c r="X13" s="624">
        <v>0</v>
      </c>
      <c r="Y13" s="624">
        <v>0</v>
      </c>
      <c r="Z13" s="624">
        <f t="shared" si="21"/>
        <v>0</v>
      </c>
      <c r="AA13" s="624">
        <v>0</v>
      </c>
      <c r="AB13" s="624">
        <v>0</v>
      </c>
      <c r="AC13" s="624">
        <v>0</v>
      </c>
      <c r="AD13" s="624">
        <f t="shared" si="23"/>
        <v>0</v>
      </c>
      <c r="AE13" s="960">
        <v>0</v>
      </c>
      <c r="AF13" s="960">
        <v>0</v>
      </c>
      <c r="AG13" s="960">
        <v>0</v>
      </c>
      <c r="AH13" s="960">
        <f t="shared" si="25"/>
        <v>0</v>
      </c>
    </row>
    <row r="14" spans="1:34" x14ac:dyDescent="0.25">
      <c r="A14" s="618"/>
      <c r="B14" s="622" t="s">
        <v>478</v>
      </c>
      <c r="C14" s="624">
        <v>0</v>
      </c>
      <c r="D14" s="624">
        <v>0</v>
      </c>
      <c r="E14" s="624">
        <v>0</v>
      </c>
      <c r="F14" s="624">
        <f t="shared" si="11"/>
        <v>0</v>
      </c>
      <c r="G14" s="624">
        <v>4781</v>
      </c>
      <c r="H14" s="624">
        <v>0</v>
      </c>
      <c r="I14" s="624">
        <v>0</v>
      </c>
      <c r="J14" s="624">
        <f t="shared" si="13"/>
        <v>4781</v>
      </c>
      <c r="K14" s="624">
        <v>0</v>
      </c>
      <c r="L14" s="624">
        <v>2932</v>
      </c>
      <c r="M14" s="624">
        <v>0</v>
      </c>
      <c r="N14" s="624">
        <f t="shared" si="15"/>
        <v>2932</v>
      </c>
      <c r="O14" s="624">
        <v>4942</v>
      </c>
      <c r="P14" s="624">
        <v>0</v>
      </c>
      <c r="Q14" s="624"/>
      <c r="R14" s="624">
        <f t="shared" si="17"/>
        <v>4942</v>
      </c>
      <c r="S14" s="960">
        <v>0</v>
      </c>
      <c r="T14" s="960">
        <v>0</v>
      </c>
      <c r="U14" s="960">
        <v>0</v>
      </c>
      <c r="V14" s="960">
        <f t="shared" si="19"/>
        <v>0</v>
      </c>
      <c r="W14" s="624">
        <v>0</v>
      </c>
      <c r="X14" s="624">
        <v>0</v>
      </c>
      <c r="Y14" s="624">
        <v>0</v>
      </c>
      <c r="Z14" s="624">
        <f t="shared" si="21"/>
        <v>0</v>
      </c>
      <c r="AA14" s="624">
        <v>0</v>
      </c>
      <c r="AB14" s="624">
        <v>0</v>
      </c>
      <c r="AC14" s="624">
        <v>0</v>
      </c>
      <c r="AD14" s="624">
        <f t="shared" si="23"/>
        <v>0</v>
      </c>
      <c r="AE14" s="960">
        <v>2962</v>
      </c>
      <c r="AF14" s="960">
        <v>0</v>
      </c>
      <c r="AG14" s="960">
        <v>0</v>
      </c>
      <c r="AH14" s="960">
        <f t="shared" si="25"/>
        <v>2962</v>
      </c>
    </row>
    <row r="15" spans="1:34" x14ac:dyDescent="0.25">
      <c r="A15" s="618"/>
      <c r="B15" s="651" t="s">
        <v>1477</v>
      </c>
      <c r="C15" s="624"/>
      <c r="D15" s="624"/>
      <c r="E15" s="624"/>
      <c r="F15" s="624"/>
      <c r="G15" s="624">
        <v>4425</v>
      </c>
      <c r="H15" s="624"/>
      <c r="I15" s="624"/>
      <c r="J15" s="624">
        <f t="shared" si="13"/>
        <v>4425</v>
      </c>
      <c r="K15" s="624"/>
      <c r="L15" s="624"/>
      <c r="M15" s="624"/>
      <c r="N15" s="624"/>
      <c r="O15" s="624">
        <v>4425</v>
      </c>
      <c r="P15" s="624"/>
      <c r="Q15" s="624"/>
      <c r="R15" s="624">
        <f t="shared" si="17"/>
        <v>4425</v>
      </c>
      <c r="S15" s="960"/>
      <c r="T15" s="960"/>
      <c r="U15" s="960"/>
      <c r="V15" s="960"/>
      <c r="W15" s="624"/>
      <c r="X15" s="624"/>
      <c r="Y15" s="624"/>
      <c r="Z15" s="624"/>
      <c r="AA15" s="624"/>
      <c r="AB15" s="624"/>
      <c r="AC15" s="624"/>
      <c r="AD15" s="624"/>
      <c r="AE15" s="960"/>
      <c r="AF15" s="960"/>
      <c r="AG15" s="960"/>
      <c r="AH15" s="960"/>
    </row>
    <row r="16" spans="1:34" x14ac:dyDescent="0.25">
      <c r="A16" s="618"/>
      <c r="B16" s="619" t="s">
        <v>479</v>
      </c>
      <c r="C16" s="625">
        <v>0</v>
      </c>
      <c r="D16" s="625">
        <v>0</v>
      </c>
      <c r="E16" s="625">
        <v>0</v>
      </c>
      <c r="F16" s="625">
        <f t="shared" si="11"/>
        <v>0</v>
      </c>
      <c r="G16" s="625">
        <v>14810</v>
      </c>
      <c r="H16" s="625">
        <v>0</v>
      </c>
      <c r="I16" s="625">
        <v>0</v>
      </c>
      <c r="J16" s="625">
        <f t="shared" si="13"/>
        <v>14810</v>
      </c>
      <c r="K16" s="625">
        <v>0</v>
      </c>
      <c r="L16" s="625">
        <v>41898</v>
      </c>
      <c r="M16" s="625">
        <v>0</v>
      </c>
      <c r="N16" s="625">
        <f t="shared" si="15"/>
        <v>41898</v>
      </c>
      <c r="O16" s="625">
        <v>14810</v>
      </c>
      <c r="P16" s="625"/>
      <c r="Q16" s="625">
        <v>0</v>
      </c>
      <c r="R16" s="625">
        <f t="shared" si="17"/>
        <v>14810</v>
      </c>
      <c r="S16" s="961">
        <v>0</v>
      </c>
      <c r="T16" s="961">
        <v>0</v>
      </c>
      <c r="U16" s="961">
        <v>0</v>
      </c>
      <c r="V16" s="961">
        <f t="shared" si="19"/>
        <v>0</v>
      </c>
      <c r="W16" s="625">
        <v>0</v>
      </c>
      <c r="X16" s="625">
        <v>0</v>
      </c>
      <c r="Y16" s="625">
        <v>0</v>
      </c>
      <c r="Z16" s="625">
        <f t="shared" ref="Z16:Z56" si="35">SUM(W16:Y16)</f>
        <v>0</v>
      </c>
      <c r="AA16" s="625">
        <v>0</v>
      </c>
      <c r="AB16" s="625">
        <v>0</v>
      </c>
      <c r="AC16" s="625">
        <v>0</v>
      </c>
      <c r="AD16" s="625">
        <f t="shared" ref="AD16:AD56" si="36">SUM(AA16:AC16)</f>
        <v>0</v>
      </c>
      <c r="AE16" s="961">
        <v>0</v>
      </c>
      <c r="AF16" s="961">
        <v>0</v>
      </c>
      <c r="AG16" s="961">
        <v>0</v>
      </c>
      <c r="AH16" s="961">
        <f t="shared" ref="AH16:AH56" si="37">SUM(AE16:AG16)</f>
        <v>0</v>
      </c>
    </row>
    <row r="17" spans="1:34" ht="30" x14ac:dyDescent="0.25">
      <c r="A17" s="618"/>
      <c r="B17" s="619" t="s">
        <v>480</v>
      </c>
      <c r="C17" s="625">
        <v>0</v>
      </c>
      <c r="D17" s="625">
        <v>0</v>
      </c>
      <c r="E17" s="625">
        <v>0</v>
      </c>
      <c r="F17" s="625">
        <f t="shared" si="11"/>
        <v>0</v>
      </c>
      <c r="G17" s="625">
        <v>0</v>
      </c>
      <c r="H17" s="625">
        <v>0</v>
      </c>
      <c r="I17" s="625">
        <v>0</v>
      </c>
      <c r="J17" s="625">
        <f t="shared" si="13"/>
        <v>0</v>
      </c>
      <c r="K17" s="625">
        <v>0</v>
      </c>
      <c r="L17" s="625">
        <v>0</v>
      </c>
      <c r="M17" s="625">
        <v>0</v>
      </c>
      <c r="N17" s="625">
        <f t="shared" si="15"/>
        <v>0</v>
      </c>
      <c r="O17" s="625">
        <v>0</v>
      </c>
      <c r="P17" s="625">
        <v>0</v>
      </c>
      <c r="Q17" s="625">
        <v>0</v>
      </c>
      <c r="R17" s="625">
        <f t="shared" si="17"/>
        <v>0</v>
      </c>
      <c r="S17" s="961">
        <v>0</v>
      </c>
      <c r="T17" s="961">
        <v>0</v>
      </c>
      <c r="U17" s="961">
        <v>0</v>
      </c>
      <c r="V17" s="961">
        <f t="shared" si="19"/>
        <v>0</v>
      </c>
      <c r="W17" s="625">
        <v>0</v>
      </c>
      <c r="X17" s="625">
        <v>0</v>
      </c>
      <c r="Y17" s="625">
        <v>0</v>
      </c>
      <c r="Z17" s="625">
        <f t="shared" si="35"/>
        <v>0</v>
      </c>
      <c r="AA17" s="625">
        <v>0</v>
      </c>
      <c r="AB17" s="625">
        <v>0</v>
      </c>
      <c r="AC17" s="625">
        <v>0</v>
      </c>
      <c r="AD17" s="625">
        <f t="shared" si="36"/>
        <v>0</v>
      </c>
      <c r="AE17" s="961">
        <v>0</v>
      </c>
      <c r="AF17" s="961">
        <v>0</v>
      </c>
      <c r="AG17" s="961">
        <v>0</v>
      </c>
      <c r="AH17" s="961">
        <f t="shared" si="37"/>
        <v>0</v>
      </c>
    </row>
    <row r="18" spans="1:34" ht="30" x14ac:dyDescent="0.25">
      <c r="A18" s="618"/>
      <c r="B18" s="619" t="s">
        <v>481</v>
      </c>
      <c r="C18" s="625">
        <f t="shared" ref="C18:E18" si="38">C19+C20+C23+C24</f>
        <v>40393</v>
      </c>
      <c r="D18" s="625">
        <f t="shared" si="38"/>
        <v>600</v>
      </c>
      <c r="E18" s="625">
        <f t="shared" si="38"/>
        <v>0</v>
      </c>
      <c r="F18" s="625">
        <f t="shared" si="11"/>
        <v>40993</v>
      </c>
      <c r="G18" s="625">
        <f t="shared" ref="G18:I18" si="39">G19+G20+G23+G24</f>
        <v>41216</v>
      </c>
      <c r="H18" s="625">
        <f t="shared" si="39"/>
        <v>600</v>
      </c>
      <c r="I18" s="625">
        <f t="shared" si="39"/>
        <v>0</v>
      </c>
      <c r="J18" s="625">
        <f t="shared" si="13"/>
        <v>41816</v>
      </c>
      <c r="K18" s="625">
        <f t="shared" ref="K18:M18" si="40">K19+K20+K23+K24</f>
        <v>40393</v>
      </c>
      <c r="L18" s="625">
        <f t="shared" si="40"/>
        <v>600</v>
      </c>
      <c r="M18" s="625">
        <f t="shared" si="40"/>
        <v>0</v>
      </c>
      <c r="N18" s="625">
        <f t="shared" si="15"/>
        <v>40993</v>
      </c>
      <c r="O18" s="625">
        <v>42669</v>
      </c>
      <c r="P18" s="625">
        <f t="shared" ref="P18:Q18" si="41">P19+P20+P23+P24</f>
        <v>0</v>
      </c>
      <c r="Q18" s="625">
        <f t="shared" si="41"/>
        <v>0</v>
      </c>
      <c r="R18" s="625">
        <f t="shared" si="17"/>
        <v>42669</v>
      </c>
      <c r="S18" s="961">
        <f t="shared" ref="S18:U18" si="42">S19+S20+S23+S24</f>
        <v>0</v>
      </c>
      <c r="T18" s="961">
        <f t="shared" si="42"/>
        <v>0</v>
      </c>
      <c r="U18" s="961">
        <f t="shared" si="42"/>
        <v>0</v>
      </c>
      <c r="V18" s="961">
        <f t="shared" si="19"/>
        <v>0</v>
      </c>
      <c r="W18" s="625">
        <f t="shared" ref="W18:Y18" si="43">W19+W20+W23+W24</f>
        <v>0</v>
      </c>
      <c r="X18" s="625">
        <f t="shared" si="43"/>
        <v>0</v>
      </c>
      <c r="Y18" s="625">
        <f t="shared" si="43"/>
        <v>0</v>
      </c>
      <c r="Z18" s="625">
        <f t="shared" si="35"/>
        <v>0</v>
      </c>
      <c r="AA18" s="625">
        <v>411</v>
      </c>
      <c r="AB18" s="625">
        <f t="shared" ref="AB18:AC18" si="44">AB19+AB20+AB23+AB24</f>
        <v>0</v>
      </c>
      <c r="AC18" s="625">
        <f t="shared" si="44"/>
        <v>0</v>
      </c>
      <c r="AD18" s="625">
        <f t="shared" si="36"/>
        <v>411</v>
      </c>
      <c r="AE18" s="961">
        <f>411+565+3000-565+44344</f>
        <v>47755</v>
      </c>
      <c r="AF18" s="961">
        <f t="shared" ref="AF18:AG18" si="45">AF19+AF20+AF23+AF24</f>
        <v>0</v>
      </c>
      <c r="AG18" s="961">
        <f t="shared" si="45"/>
        <v>0</v>
      </c>
      <c r="AH18" s="961">
        <f t="shared" si="37"/>
        <v>47755</v>
      </c>
    </row>
    <row r="19" spans="1:34" ht="30" hidden="1" x14ac:dyDescent="0.25">
      <c r="A19" s="618"/>
      <c r="B19" s="622" t="s">
        <v>482</v>
      </c>
      <c r="C19" s="624">
        <v>33000</v>
      </c>
      <c r="D19" s="624">
        <v>0</v>
      </c>
      <c r="E19" s="624">
        <v>0</v>
      </c>
      <c r="F19" s="624">
        <f t="shared" si="11"/>
        <v>33000</v>
      </c>
      <c r="G19" s="624">
        <v>33000</v>
      </c>
      <c r="H19" s="624">
        <v>0</v>
      </c>
      <c r="I19" s="624">
        <v>0</v>
      </c>
      <c r="J19" s="624">
        <f t="shared" si="13"/>
        <v>33000</v>
      </c>
      <c r="K19" s="624">
        <v>33000</v>
      </c>
      <c r="L19" s="624">
        <v>0</v>
      </c>
      <c r="M19" s="624">
        <v>0</v>
      </c>
      <c r="N19" s="624">
        <f t="shared" si="15"/>
        <v>33000</v>
      </c>
      <c r="O19" s="624"/>
      <c r="P19" s="624">
        <v>0</v>
      </c>
      <c r="Q19" s="624">
        <v>0</v>
      </c>
      <c r="R19" s="624">
        <f t="shared" si="17"/>
        <v>0</v>
      </c>
      <c r="S19" s="624"/>
      <c r="T19" s="624">
        <v>0</v>
      </c>
      <c r="U19" s="624">
        <v>0</v>
      </c>
      <c r="V19" s="624">
        <f t="shared" si="19"/>
        <v>0</v>
      </c>
      <c r="W19" s="624"/>
      <c r="X19" s="624">
        <v>0</v>
      </c>
      <c r="Y19" s="624">
        <v>0</v>
      </c>
      <c r="Z19" s="624">
        <f t="shared" si="35"/>
        <v>0</v>
      </c>
      <c r="AA19" s="624"/>
      <c r="AB19" s="624">
        <v>0</v>
      </c>
      <c r="AC19" s="624">
        <v>0</v>
      </c>
      <c r="AD19" s="624">
        <f t="shared" si="36"/>
        <v>0</v>
      </c>
      <c r="AE19" s="624"/>
      <c r="AF19" s="624">
        <v>0</v>
      </c>
      <c r="AG19" s="624">
        <v>0</v>
      </c>
      <c r="AH19" s="624">
        <f t="shared" si="37"/>
        <v>0</v>
      </c>
    </row>
    <row r="20" spans="1:34" hidden="1" x14ac:dyDescent="0.25">
      <c r="A20" s="618"/>
      <c r="B20" s="622" t="s">
        <v>483</v>
      </c>
      <c r="C20" s="624">
        <f t="shared" ref="C20:E20" si="46">C21+C22</f>
        <v>7393</v>
      </c>
      <c r="D20" s="624">
        <f t="shared" si="46"/>
        <v>600</v>
      </c>
      <c r="E20" s="624">
        <f t="shared" si="46"/>
        <v>0</v>
      </c>
      <c r="F20" s="624">
        <f t="shared" si="11"/>
        <v>7993</v>
      </c>
      <c r="G20" s="624">
        <f t="shared" ref="G20:I20" si="47">G21+G22</f>
        <v>7393</v>
      </c>
      <c r="H20" s="624">
        <f t="shared" si="47"/>
        <v>600</v>
      </c>
      <c r="I20" s="624">
        <f t="shared" si="47"/>
        <v>0</v>
      </c>
      <c r="J20" s="624">
        <f t="shared" si="13"/>
        <v>7993</v>
      </c>
      <c r="K20" s="624">
        <v>7393</v>
      </c>
      <c r="L20" s="624">
        <v>600</v>
      </c>
      <c r="M20" s="624">
        <f t="shared" ref="M20" si="48">M21+M22</f>
        <v>0</v>
      </c>
      <c r="N20" s="624">
        <f t="shared" si="15"/>
        <v>7993</v>
      </c>
      <c r="O20" s="624"/>
      <c r="P20" s="624"/>
      <c r="Q20" s="624">
        <f t="shared" ref="Q20" si="49">Q21+Q22</f>
        <v>0</v>
      </c>
      <c r="R20" s="624">
        <f t="shared" si="17"/>
        <v>0</v>
      </c>
      <c r="S20" s="624"/>
      <c r="T20" s="624"/>
      <c r="U20" s="624">
        <f t="shared" ref="U20" si="50">U21+U22</f>
        <v>0</v>
      </c>
      <c r="V20" s="624">
        <f t="shared" si="19"/>
        <v>0</v>
      </c>
      <c r="W20" s="624"/>
      <c r="X20" s="624"/>
      <c r="Y20" s="624">
        <f t="shared" ref="Y20" si="51">Y21+Y22</f>
        <v>0</v>
      </c>
      <c r="Z20" s="624">
        <f t="shared" si="35"/>
        <v>0</v>
      </c>
      <c r="AA20" s="624"/>
      <c r="AB20" s="624"/>
      <c r="AC20" s="624">
        <f t="shared" ref="AC20" si="52">AC21+AC22</f>
        <v>0</v>
      </c>
      <c r="AD20" s="624">
        <f t="shared" si="36"/>
        <v>0</v>
      </c>
      <c r="AE20" s="624"/>
      <c r="AF20" s="624"/>
      <c r="AG20" s="624">
        <f t="shared" ref="AG20" si="53">AG21+AG22</f>
        <v>0</v>
      </c>
      <c r="AH20" s="624">
        <f t="shared" si="37"/>
        <v>0</v>
      </c>
    </row>
    <row r="21" spans="1:34" hidden="1" x14ac:dyDescent="0.25">
      <c r="A21" s="618"/>
      <c r="B21" s="626" t="s">
        <v>484</v>
      </c>
      <c r="C21" s="624"/>
      <c r="D21" s="624">
        <v>600</v>
      </c>
      <c r="E21" s="624">
        <v>0</v>
      </c>
      <c r="F21" s="624">
        <f t="shared" si="11"/>
        <v>600</v>
      </c>
      <c r="G21" s="624"/>
      <c r="H21" s="624">
        <v>600</v>
      </c>
      <c r="I21" s="624">
        <v>0</v>
      </c>
      <c r="J21" s="624">
        <f t="shared" si="13"/>
        <v>600</v>
      </c>
      <c r="K21" s="624"/>
      <c r="L21" s="624">
        <v>600</v>
      </c>
      <c r="M21" s="624">
        <v>0</v>
      </c>
      <c r="N21" s="624">
        <f t="shared" si="15"/>
        <v>600</v>
      </c>
      <c r="O21" s="624"/>
      <c r="P21" s="624"/>
      <c r="Q21" s="624">
        <v>0</v>
      </c>
      <c r="R21" s="624">
        <f t="shared" si="17"/>
        <v>0</v>
      </c>
      <c r="S21" s="624"/>
      <c r="T21" s="624"/>
      <c r="U21" s="624">
        <v>0</v>
      </c>
      <c r="V21" s="624">
        <f t="shared" si="19"/>
        <v>0</v>
      </c>
      <c r="W21" s="624"/>
      <c r="X21" s="624"/>
      <c r="Y21" s="624">
        <v>0</v>
      </c>
      <c r="Z21" s="624">
        <f t="shared" si="35"/>
        <v>0</v>
      </c>
      <c r="AA21" s="624"/>
      <c r="AB21" s="624"/>
      <c r="AC21" s="624">
        <v>0</v>
      </c>
      <c r="AD21" s="624">
        <f t="shared" si="36"/>
        <v>0</v>
      </c>
      <c r="AE21" s="624"/>
      <c r="AF21" s="624"/>
      <c r="AG21" s="624">
        <v>0</v>
      </c>
      <c r="AH21" s="624">
        <f t="shared" si="37"/>
        <v>0</v>
      </c>
    </row>
    <row r="22" spans="1:34" hidden="1" x14ac:dyDescent="0.25">
      <c r="A22" s="618"/>
      <c r="B22" s="626" t="s">
        <v>485</v>
      </c>
      <c r="C22" s="624">
        <v>7393</v>
      </c>
      <c r="D22" s="624">
        <v>0</v>
      </c>
      <c r="E22" s="624">
        <v>0</v>
      </c>
      <c r="F22" s="624">
        <f t="shared" si="11"/>
        <v>7393</v>
      </c>
      <c r="G22" s="624">
        <v>7393</v>
      </c>
      <c r="H22" s="624">
        <v>0</v>
      </c>
      <c r="I22" s="624">
        <v>0</v>
      </c>
      <c r="J22" s="624">
        <f t="shared" si="13"/>
        <v>7393</v>
      </c>
      <c r="K22" s="624">
        <v>7393</v>
      </c>
      <c r="L22" s="624">
        <v>0</v>
      </c>
      <c r="M22" s="624">
        <v>0</v>
      </c>
      <c r="N22" s="624">
        <f t="shared" si="15"/>
        <v>7393</v>
      </c>
      <c r="O22" s="624"/>
      <c r="P22" s="624">
        <v>0</v>
      </c>
      <c r="Q22" s="624">
        <v>0</v>
      </c>
      <c r="R22" s="624">
        <f t="shared" si="17"/>
        <v>0</v>
      </c>
      <c r="S22" s="624"/>
      <c r="T22" s="624">
        <v>0</v>
      </c>
      <c r="U22" s="624">
        <v>0</v>
      </c>
      <c r="V22" s="624">
        <f t="shared" si="19"/>
        <v>0</v>
      </c>
      <c r="W22" s="624"/>
      <c r="X22" s="624">
        <v>0</v>
      </c>
      <c r="Y22" s="624">
        <v>0</v>
      </c>
      <c r="Z22" s="624">
        <f t="shared" si="35"/>
        <v>0</v>
      </c>
      <c r="AA22" s="624"/>
      <c r="AB22" s="624">
        <v>0</v>
      </c>
      <c r="AC22" s="624">
        <v>0</v>
      </c>
      <c r="AD22" s="624">
        <f t="shared" si="36"/>
        <v>0</v>
      </c>
      <c r="AE22" s="624"/>
      <c r="AF22" s="624">
        <v>0</v>
      </c>
      <c r="AG22" s="624">
        <v>0</v>
      </c>
      <c r="AH22" s="624">
        <f t="shared" si="37"/>
        <v>0</v>
      </c>
    </row>
    <row r="23" spans="1:34" hidden="1" x14ac:dyDescent="0.25">
      <c r="A23" s="618"/>
      <c r="B23" s="622" t="s">
        <v>486</v>
      </c>
      <c r="C23" s="624">
        <v>0</v>
      </c>
      <c r="D23" s="624">
        <v>0</v>
      </c>
      <c r="E23" s="624">
        <v>0</v>
      </c>
      <c r="F23" s="624">
        <f t="shared" si="11"/>
        <v>0</v>
      </c>
      <c r="G23" s="624">
        <v>823</v>
      </c>
      <c r="H23" s="624">
        <v>0</v>
      </c>
      <c r="I23" s="624">
        <v>0</v>
      </c>
      <c r="J23" s="624">
        <f t="shared" si="13"/>
        <v>823</v>
      </c>
      <c r="K23" s="624">
        <v>0</v>
      </c>
      <c r="L23" s="624">
        <v>0</v>
      </c>
      <c r="M23" s="624">
        <v>0</v>
      </c>
      <c r="N23" s="624">
        <f t="shared" si="15"/>
        <v>0</v>
      </c>
      <c r="O23" s="624">
        <v>0</v>
      </c>
      <c r="P23" s="624">
        <v>0</v>
      </c>
      <c r="Q23" s="624">
        <v>0</v>
      </c>
      <c r="R23" s="624">
        <f t="shared" si="17"/>
        <v>0</v>
      </c>
      <c r="S23" s="624">
        <v>0</v>
      </c>
      <c r="T23" s="624">
        <v>0</v>
      </c>
      <c r="U23" s="624">
        <v>0</v>
      </c>
      <c r="V23" s="624">
        <f t="shared" si="19"/>
        <v>0</v>
      </c>
      <c r="W23" s="624">
        <v>0</v>
      </c>
      <c r="X23" s="624">
        <v>0</v>
      </c>
      <c r="Y23" s="624">
        <v>0</v>
      </c>
      <c r="Z23" s="624">
        <f t="shared" si="35"/>
        <v>0</v>
      </c>
      <c r="AA23" s="624">
        <v>0</v>
      </c>
      <c r="AB23" s="624">
        <v>0</v>
      </c>
      <c r="AC23" s="624">
        <v>0</v>
      </c>
      <c r="AD23" s="624">
        <f t="shared" si="36"/>
        <v>0</v>
      </c>
      <c r="AE23" s="624">
        <v>0</v>
      </c>
      <c r="AF23" s="624">
        <v>0</v>
      </c>
      <c r="AG23" s="624">
        <v>0</v>
      </c>
      <c r="AH23" s="624">
        <f t="shared" si="37"/>
        <v>0</v>
      </c>
    </row>
    <row r="24" spans="1:34" hidden="1" x14ac:dyDescent="0.25">
      <c r="A24" s="618"/>
      <c r="B24" s="622" t="s">
        <v>487</v>
      </c>
      <c r="C24" s="624">
        <v>0</v>
      </c>
      <c r="D24" s="624">
        <v>0</v>
      </c>
      <c r="E24" s="624">
        <v>0</v>
      </c>
      <c r="F24" s="624">
        <f t="shared" si="11"/>
        <v>0</v>
      </c>
      <c r="G24" s="624">
        <v>0</v>
      </c>
      <c r="H24" s="624">
        <v>0</v>
      </c>
      <c r="I24" s="624">
        <v>0</v>
      </c>
      <c r="J24" s="624">
        <f t="shared" si="13"/>
        <v>0</v>
      </c>
      <c r="K24" s="624">
        <v>0</v>
      </c>
      <c r="L24" s="624">
        <v>0</v>
      </c>
      <c r="M24" s="624">
        <v>0</v>
      </c>
      <c r="N24" s="624">
        <f t="shared" si="15"/>
        <v>0</v>
      </c>
      <c r="O24" s="624">
        <v>0</v>
      </c>
      <c r="P24" s="624">
        <v>0</v>
      </c>
      <c r="Q24" s="624">
        <v>0</v>
      </c>
      <c r="R24" s="624">
        <f t="shared" si="17"/>
        <v>0</v>
      </c>
      <c r="S24" s="624">
        <v>0</v>
      </c>
      <c r="T24" s="624">
        <v>0</v>
      </c>
      <c r="U24" s="624">
        <v>0</v>
      </c>
      <c r="V24" s="624">
        <f t="shared" si="19"/>
        <v>0</v>
      </c>
      <c r="W24" s="624">
        <v>0</v>
      </c>
      <c r="X24" s="624">
        <v>0</v>
      </c>
      <c r="Y24" s="624">
        <v>0</v>
      </c>
      <c r="Z24" s="624">
        <f t="shared" si="35"/>
        <v>0</v>
      </c>
      <c r="AA24" s="624">
        <v>0</v>
      </c>
      <c r="AB24" s="624">
        <v>0</v>
      </c>
      <c r="AC24" s="624">
        <v>0</v>
      </c>
      <c r="AD24" s="624">
        <f t="shared" si="36"/>
        <v>0</v>
      </c>
      <c r="AE24" s="624">
        <v>0</v>
      </c>
      <c r="AF24" s="624">
        <v>0</v>
      </c>
      <c r="AG24" s="624">
        <v>0</v>
      </c>
      <c r="AH24" s="624">
        <f t="shared" si="37"/>
        <v>0</v>
      </c>
    </row>
    <row r="25" spans="1:34" x14ac:dyDescent="0.25">
      <c r="A25" s="615" t="s">
        <v>322</v>
      </c>
      <c r="B25" s="616" t="s">
        <v>488</v>
      </c>
      <c r="C25" s="617">
        <f t="shared" ref="C25:D25" si="54">C26+C29+C32+C36</f>
        <v>3106500</v>
      </c>
      <c r="D25" s="617">
        <f t="shared" si="54"/>
        <v>0</v>
      </c>
      <c r="E25" s="617">
        <f t="shared" ref="E25" si="55">E26+E29+E32+E36</f>
        <v>0</v>
      </c>
      <c r="F25" s="617">
        <f t="shared" si="11"/>
        <v>3106500</v>
      </c>
      <c r="G25" s="617">
        <f t="shared" ref="G25:I25" si="56">G26+G29+G32+G36</f>
        <v>3106500</v>
      </c>
      <c r="H25" s="617">
        <f t="shared" si="56"/>
        <v>0</v>
      </c>
      <c r="I25" s="617">
        <f t="shared" si="56"/>
        <v>0</v>
      </c>
      <c r="J25" s="617">
        <f t="shared" si="13"/>
        <v>3106500</v>
      </c>
      <c r="K25" s="617">
        <f t="shared" ref="K25:M25" si="57">K26+K29+K32+K36</f>
        <v>3124500</v>
      </c>
      <c r="L25" s="617">
        <f t="shared" si="57"/>
        <v>0</v>
      </c>
      <c r="M25" s="617">
        <f t="shared" si="57"/>
        <v>0</v>
      </c>
      <c r="N25" s="617">
        <f t="shared" si="15"/>
        <v>3124500</v>
      </c>
      <c r="O25" s="617">
        <f t="shared" ref="O25:Q25" si="58">O26+O29+O32+O36</f>
        <v>3294754</v>
      </c>
      <c r="P25" s="617">
        <f t="shared" si="58"/>
        <v>0</v>
      </c>
      <c r="Q25" s="617">
        <f t="shared" si="58"/>
        <v>0</v>
      </c>
      <c r="R25" s="617">
        <f t="shared" si="17"/>
        <v>3294754</v>
      </c>
      <c r="S25" s="617">
        <f t="shared" ref="S25:U25" si="59">S26+S29+S32+S36</f>
        <v>3316500</v>
      </c>
      <c r="T25" s="617">
        <f t="shared" si="59"/>
        <v>0</v>
      </c>
      <c r="U25" s="617">
        <f t="shared" si="59"/>
        <v>0</v>
      </c>
      <c r="V25" s="617">
        <f t="shared" si="19"/>
        <v>3316500</v>
      </c>
      <c r="W25" s="617">
        <f t="shared" ref="W25:Y25" si="60">W26+W29+W32+W36</f>
        <v>3316500</v>
      </c>
      <c r="X25" s="617">
        <f t="shared" si="60"/>
        <v>0</v>
      </c>
      <c r="Y25" s="617">
        <f t="shared" si="60"/>
        <v>0</v>
      </c>
      <c r="Z25" s="617">
        <f t="shared" si="35"/>
        <v>3316500</v>
      </c>
      <c r="AA25" s="617">
        <f t="shared" ref="AA25:AC25" si="61">AA26+AA29+AA32+AA36</f>
        <v>3316500</v>
      </c>
      <c r="AB25" s="617">
        <f t="shared" si="61"/>
        <v>0</v>
      </c>
      <c r="AC25" s="617">
        <f t="shared" si="61"/>
        <v>0</v>
      </c>
      <c r="AD25" s="617">
        <f t="shared" si="36"/>
        <v>3316500</v>
      </c>
      <c r="AE25" s="617">
        <f t="shared" ref="AE25:AG25" si="62">AE26+AE29+AE32+AE36</f>
        <v>3546500</v>
      </c>
      <c r="AF25" s="617">
        <f t="shared" si="62"/>
        <v>0</v>
      </c>
      <c r="AG25" s="617">
        <f t="shared" si="62"/>
        <v>0</v>
      </c>
      <c r="AH25" s="617">
        <f t="shared" si="37"/>
        <v>3546500</v>
      </c>
    </row>
    <row r="26" spans="1:34" x14ac:dyDescent="0.25">
      <c r="A26" s="627"/>
      <c r="B26" s="619" t="s">
        <v>489</v>
      </c>
      <c r="C26" s="625">
        <f t="shared" ref="C26:D26" si="63">SUM(C27:C28)</f>
        <v>1220000</v>
      </c>
      <c r="D26" s="625">
        <f t="shared" si="63"/>
        <v>0</v>
      </c>
      <c r="E26" s="625">
        <f t="shared" ref="E26" si="64">SUM(E27:E28)</f>
        <v>0</v>
      </c>
      <c r="F26" s="625">
        <f t="shared" si="11"/>
        <v>1220000</v>
      </c>
      <c r="G26" s="625">
        <f t="shared" ref="G26:I26" si="65">SUM(G27:G28)</f>
        <v>1070000</v>
      </c>
      <c r="H26" s="625">
        <f t="shared" si="65"/>
        <v>0</v>
      </c>
      <c r="I26" s="625">
        <f t="shared" si="65"/>
        <v>0</v>
      </c>
      <c r="J26" s="625">
        <f t="shared" si="13"/>
        <v>1070000</v>
      </c>
      <c r="K26" s="625">
        <f t="shared" ref="K26:M26" si="66">SUM(K27:K28)</f>
        <v>1010000</v>
      </c>
      <c r="L26" s="625">
        <f t="shared" si="66"/>
        <v>0</v>
      </c>
      <c r="M26" s="625">
        <f t="shared" si="66"/>
        <v>0</v>
      </c>
      <c r="N26" s="625">
        <f t="shared" si="15"/>
        <v>1010000</v>
      </c>
      <c r="O26" s="625">
        <f t="shared" ref="O26:Q26" si="67">SUM(O27:O28)</f>
        <v>1060379</v>
      </c>
      <c r="P26" s="625">
        <f t="shared" si="67"/>
        <v>0</v>
      </c>
      <c r="Q26" s="625">
        <f t="shared" si="67"/>
        <v>0</v>
      </c>
      <c r="R26" s="625">
        <f t="shared" si="17"/>
        <v>1060379</v>
      </c>
      <c r="S26" s="961">
        <f t="shared" ref="S26:U26" si="68">SUM(S27:S28)</f>
        <v>1040000</v>
      </c>
      <c r="T26" s="961">
        <f t="shared" si="68"/>
        <v>0</v>
      </c>
      <c r="U26" s="961">
        <f t="shared" si="68"/>
        <v>0</v>
      </c>
      <c r="V26" s="961">
        <f t="shared" si="19"/>
        <v>1040000</v>
      </c>
      <c r="W26" s="625">
        <f t="shared" ref="W26:Y26" si="69">SUM(W27:W28)</f>
        <v>1040000</v>
      </c>
      <c r="X26" s="625">
        <f t="shared" si="69"/>
        <v>0</v>
      </c>
      <c r="Y26" s="625">
        <f t="shared" si="69"/>
        <v>0</v>
      </c>
      <c r="Z26" s="625">
        <f t="shared" si="35"/>
        <v>1040000</v>
      </c>
      <c r="AA26" s="625">
        <f t="shared" ref="AA26:AC26" si="70">SUM(AA27:AA28)</f>
        <v>1040000</v>
      </c>
      <c r="AB26" s="625">
        <f t="shared" si="70"/>
        <v>0</v>
      </c>
      <c r="AC26" s="625">
        <f t="shared" si="70"/>
        <v>0</v>
      </c>
      <c r="AD26" s="625">
        <f t="shared" si="36"/>
        <v>1040000</v>
      </c>
      <c r="AE26" s="961">
        <f t="shared" ref="AE26:AG26" si="71">SUM(AE27:AE28)</f>
        <v>1040000</v>
      </c>
      <c r="AF26" s="961">
        <f t="shared" si="71"/>
        <v>0</v>
      </c>
      <c r="AG26" s="961">
        <f t="shared" si="71"/>
        <v>0</v>
      </c>
      <c r="AH26" s="961">
        <f t="shared" si="37"/>
        <v>1040000</v>
      </c>
    </row>
    <row r="27" spans="1:34" x14ac:dyDescent="0.25">
      <c r="A27" s="618"/>
      <c r="B27" s="622" t="s">
        <v>490</v>
      </c>
      <c r="C27" s="624">
        <v>820000</v>
      </c>
      <c r="D27" s="624">
        <v>0</v>
      </c>
      <c r="E27" s="624">
        <v>0</v>
      </c>
      <c r="F27" s="624">
        <f t="shared" si="11"/>
        <v>820000</v>
      </c>
      <c r="G27" s="624">
        <v>670000</v>
      </c>
      <c r="H27" s="624">
        <v>0</v>
      </c>
      <c r="I27" s="624">
        <v>0</v>
      </c>
      <c r="J27" s="624">
        <f t="shared" si="13"/>
        <v>670000</v>
      </c>
      <c r="K27" s="624">
        <v>730000</v>
      </c>
      <c r="L27" s="624">
        <v>0</v>
      </c>
      <c r="M27" s="624">
        <v>0</v>
      </c>
      <c r="N27" s="624">
        <f t="shared" si="15"/>
        <v>730000</v>
      </c>
      <c r="O27" s="624">
        <v>685773</v>
      </c>
      <c r="P27" s="624">
        <v>0</v>
      </c>
      <c r="Q27" s="624">
        <v>0</v>
      </c>
      <c r="R27" s="624">
        <f t="shared" si="17"/>
        <v>685773</v>
      </c>
      <c r="S27" s="960">
        <f>670000+10000</f>
        <v>680000</v>
      </c>
      <c r="T27" s="960">
        <v>0</v>
      </c>
      <c r="U27" s="960">
        <v>0</v>
      </c>
      <c r="V27" s="960">
        <f t="shared" si="19"/>
        <v>680000</v>
      </c>
      <c r="W27" s="624">
        <f>670000+10000</f>
        <v>680000</v>
      </c>
      <c r="X27" s="624">
        <v>0</v>
      </c>
      <c r="Y27" s="624">
        <v>0</v>
      </c>
      <c r="Z27" s="624">
        <f t="shared" si="35"/>
        <v>680000</v>
      </c>
      <c r="AA27" s="624">
        <f>670000+10000</f>
        <v>680000</v>
      </c>
      <c r="AB27" s="624">
        <v>0</v>
      </c>
      <c r="AC27" s="624">
        <v>0</v>
      </c>
      <c r="AD27" s="624">
        <f t="shared" si="36"/>
        <v>680000</v>
      </c>
      <c r="AE27" s="960">
        <f>670000+10000</f>
        <v>680000</v>
      </c>
      <c r="AF27" s="960">
        <v>0</v>
      </c>
      <c r="AG27" s="960">
        <v>0</v>
      </c>
      <c r="AH27" s="960">
        <f t="shared" si="37"/>
        <v>680000</v>
      </c>
    </row>
    <row r="28" spans="1:34" x14ac:dyDescent="0.25">
      <c r="A28" s="618"/>
      <c r="B28" s="622" t="s">
        <v>491</v>
      </c>
      <c r="C28" s="624">
        <v>400000</v>
      </c>
      <c r="D28" s="624">
        <v>0</v>
      </c>
      <c r="E28" s="624">
        <v>0</v>
      </c>
      <c r="F28" s="624">
        <f t="shared" si="11"/>
        <v>400000</v>
      </c>
      <c r="G28" s="624">
        <v>400000</v>
      </c>
      <c r="H28" s="624">
        <v>0</v>
      </c>
      <c r="I28" s="624">
        <v>0</v>
      </c>
      <c r="J28" s="624">
        <f t="shared" si="13"/>
        <v>400000</v>
      </c>
      <c r="K28" s="624">
        <v>280000</v>
      </c>
      <c r="L28" s="624">
        <v>0</v>
      </c>
      <c r="M28" s="624">
        <v>0</v>
      </c>
      <c r="N28" s="624">
        <f t="shared" si="15"/>
        <v>280000</v>
      </c>
      <c r="O28" s="624">
        <v>374606</v>
      </c>
      <c r="P28" s="624">
        <v>0</v>
      </c>
      <c r="Q28" s="624">
        <v>0</v>
      </c>
      <c r="R28" s="624">
        <f t="shared" si="17"/>
        <v>374606</v>
      </c>
      <c r="S28" s="960">
        <f>350000+10000</f>
        <v>360000</v>
      </c>
      <c r="T28" s="960">
        <v>0</v>
      </c>
      <c r="U28" s="960">
        <v>0</v>
      </c>
      <c r="V28" s="960">
        <f t="shared" si="19"/>
        <v>360000</v>
      </c>
      <c r="W28" s="624">
        <f>350000+10000</f>
        <v>360000</v>
      </c>
      <c r="X28" s="624">
        <v>0</v>
      </c>
      <c r="Y28" s="624">
        <v>0</v>
      </c>
      <c r="Z28" s="624">
        <f t="shared" si="35"/>
        <v>360000</v>
      </c>
      <c r="AA28" s="624">
        <f>350000+10000</f>
        <v>360000</v>
      </c>
      <c r="AB28" s="624">
        <v>0</v>
      </c>
      <c r="AC28" s="624">
        <v>0</v>
      </c>
      <c r="AD28" s="624">
        <f t="shared" si="36"/>
        <v>360000</v>
      </c>
      <c r="AE28" s="960">
        <f>350000+10000</f>
        <v>360000</v>
      </c>
      <c r="AF28" s="960">
        <v>0</v>
      </c>
      <c r="AG28" s="960">
        <v>0</v>
      </c>
      <c r="AH28" s="960">
        <f t="shared" si="37"/>
        <v>360000</v>
      </c>
    </row>
    <row r="29" spans="1:34" x14ac:dyDescent="0.25">
      <c r="A29" s="618"/>
      <c r="B29" s="619" t="s">
        <v>492</v>
      </c>
      <c r="C29" s="625">
        <f t="shared" ref="C29" si="72">SUM(C30:C31)</f>
        <v>1864000</v>
      </c>
      <c r="D29" s="625">
        <f>SUM(D30:D31)</f>
        <v>0</v>
      </c>
      <c r="E29" s="625">
        <f>SUM(E30:E31)</f>
        <v>0</v>
      </c>
      <c r="F29" s="625">
        <f t="shared" si="11"/>
        <v>1864000</v>
      </c>
      <c r="G29" s="625">
        <f t="shared" ref="G29" si="73">SUM(G30:G31)</f>
        <v>2014000</v>
      </c>
      <c r="H29" s="625">
        <f>SUM(H30:H31)</f>
        <v>0</v>
      </c>
      <c r="I29" s="625">
        <f>SUM(I30:I31)</f>
        <v>0</v>
      </c>
      <c r="J29" s="625">
        <f t="shared" si="13"/>
        <v>2014000</v>
      </c>
      <c r="K29" s="625">
        <f t="shared" ref="K29" si="74">SUM(K30:K31)</f>
        <v>2097000</v>
      </c>
      <c r="L29" s="625">
        <f>SUM(L30:L31)</f>
        <v>0</v>
      </c>
      <c r="M29" s="625">
        <f>SUM(M30:M31)</f>
        <v>0</v>
      </c>
      <c r="N29" s="625">
        <f t="shared" si="15"/>
        <v>2097000</v>
      </c>
      <c r="O29" s="625">
        <f t="shared" ref="O29" si="75">SUM(O30:O31)</f>
        <v>2208831</v>
      </c>
      <c r="P29" s="625">
        <f>SUM(P30:P31)</f>
        <v>0</v>
      </c>
      <c r="Q29" s="625">
        <f>SUM(Q30:Q31)</f>
        <v>0</v>
      </c>
      <c r="R29" s="625">
        <f t="shared" si="17"/>
        <v>2208831</v>
      </c>
      <c r="S29" s="961">
        <f t="shared" ref="S29" si="76">SUM(S30:S31)</f>
        <v>2250000</v>
      </c>
      <c r="T29" s="961">
        <f>SUM(T30:T31)</f>
        <v>0</v>
      </c>
      <c r="U29" s="961">
        <f>SUM(U30:U31)</f>
        <v>0</v>
      </c>
      <c r="V29" s="961">
        <f t="shared" si="19"/>
        <v>2250000</v>
      </c>
      <c r="W29" s="625">
        <f t="shared" ref="W29" si="77">SUM(W30:W31)</f>
        <v>2250000</v>
      </c>
      <c r="X29" s="625">
        <f>SUM(X30:X31)</f>
        <v>0</v>
      </c>
      <c r="Y29" s="625">
        <f>SUM(Y30:Y31)</f>
        <v>0</v>
      </c>
      <c r="Z29" s="625">
        <f t="shared" si="35"/>
        <v>2250000</v>
      </c>
      <c r="AA29" s="625">
        <f t="shared" ref="AA29" si="78">SUM(AA30:AA31)</f>
        <v>2250000</v>
      </c>
      <c r="AB29" s="625">
        <f>SUM(AB30:AB31)</f>
        <v>0</v>
      </c>
      <c r="AC29" s="625">
        <f>SUM(AC30:AC31)</f>
        <v>0</v>
      </c>
      <c r="AD29" s="625">
        <f t="shared" si="36"/>
        <v>2250000</v>
      </c>
      <c r="AE29" s="961">
        <f t="shared" ref="AE29" si="79">SUM(AE30:AE31)</f>
        <v>2480000</v>
      </c>
      <c r="AF29" s="961">
        <f>SUM(AF30:AF31)</f>
        <v>0</v>
      </c>
      <c r="AG29" s="961">
        <f>SUM(AG30:AG31)</f>
        <v>0</v>
      </c>
      <c r="AH29" s="961">
        <f t="shared" si="37"/>
        <v>2480000</v>
      </c>
    </row>
    <row r="30" spans="1:34" x14ac:dyDescent="0.25">
      <c r="A30" s="618"/>
      <c r="B30" s="622" t="s">
        <v>493</v>
      </c>
      <c r="C30" s="624">
        <v>1800000</v>
      </c>
      <c r="D30" s="624">
        <v>0</v>
      </c>
      <c r="E30" s="624">
        <v>0</v>
      </c>
      <c r="F30" s="624">
        <f t="shared" si="11"/>
        <v>1800000</v>
      </c>
      <c r="G30" s="624">
        <v>1950000</v>
      </c>
      <c r="H30" s="624">
        <v>0</v>
      </c>
      <c r="I30" s="624">
        <v>0</v>
      </c>
      <c r="J30" s="624">
        <f t="shared" si="13"/>
        <v>1950000</v>
      </c>
      <c r="K30" s="624">
        <v>2035000</v>
      </c>
      <c r="L30" s="624">
        <v>0</v>
      </c>
      <c r="M30" s="624">
        <v>0</v>
      </c>
      <c r="N30" s="624">
        <f t="shared" si="15"/>
        <v>2035000</v>
      </c>
      <c r="O30" s="624">
        <v>2138481</v>
      </c>
      <c r="P30" s="624">
        <v>0</v>
      </c>
      <c r="Q30" s="624">
        <v>0</v>
      </c>
      <c r="R30" s="624">
        <f t="shared" si="17"/>
        <v>2138481</v>
      </c>
      <c r="S30" s="960">
        <f>2150000+30000</f>
        <v>2180000</v>
      </c>
      <c r="T30" s="960">
        <v>0</v>
      </c>
      <c r="U30" s="960">
        <v>0</v>
      </c>
      <c r="V30" s="960">
        <f t="shared" si="19"/>
        <v>2180000</v>
      </c>
      <c r="W30" s="624">
        <f>2150000+30000</f>
        <v>2180000</v>
      </c>
      <c r="X30" s="624">
        <v>0</v>
      </c>
      <c r="Y30" s="624">
        <v>0</v>
      </c>
      <c r="Z30" s="624">
        <f t="shared" si="35"/>
        <v>2180000</v>
      </c>
      <c r="AA30" s="624">
        <f>2150000+30000</f>
        <v>2180000</v>
      </c>
      <c r="AB30" s="624">
        <v>0</v>
      </c>
      <c r="AC30" s="624">
        <v>0</v>
      </c>
      <c r="AD30" s="624">
        <f t="shared" si="36"/>
        <v>2180000</v>
      </c>
      <c r="AE30" s="925">
        <f>2180000+230000</f>
        <v>2410000</v>
      </c>
      <c r="AF30" s="925">
        <v>0</v>
      </c>
      <c r="AG30" s="925">
        <v>0</v>
      </c>
      <c r="AH30" s="925">
        <f t="shared" si="37"/>
        <v>2410000</v>
      </c>
    </row>
    <row r="31" spans="1:34" x14ac:dyDescent="0.25">
      <c r="A31" s="618"/>
      <c r="B31" s="622" t="s">
        <v>494</v>
      </c>
      <c r="C31" s="624">
        <v>64000</v>
      </c>
      <c r="D31" s="624">
        <v>0</v>
      </c>
      <c r="E31" s="624">
        <v>0</v>
      </c>
      <c r="F31" s="624">
        <f t="shared" si="11"/>
        <v>64000</v>
      </c>
      <c r="G31" s="624">
        <v>64000</v>
      </c>
      <c r="H31" s="624">
        <v>0</v>
      </c>
      <c r="I31" s="624">
        <v>0</v>
      </c>
      <c r="J31" s="624">
        <f t="shared" si="13"/>
        <v>64000</v>
      </c>
      <c r="K31" s="624">
        <v>62000</v>
      </c>
      <c r="L31" s="624">
        <v>0</v>
      </c>
      <c r="M31" s="624">
        <v>0</v>
      </c>
      <c r="N31" s="624">
        <f t="shared" si="15"/>
        <v>62000</v>
      </c>
      <c r="O31" s="624">
        <v>70350</v>
      </c>
      <c r="P31" s="624">
        <v>0</v>
      </c>
      <c r="Q31" s="624">
        <v>0</v>
      </c>
      <c r="R31" s="624">
        <f t="shared" si="17"/>
        <v>70350</v>
      </c>
      <c r="S31" s="960">
        <v>70000</v>
      </c>
      <c r="T31" s="960">
        <v>0</v>
      </c>
      <c r="U31" s="960">
        <v>0</v>
      </c>
      <c r="V31" s="960">
        <f t="shared" si="19"/>
        <v>70000</v>
      </c>
      <c r="W31" s="624">
        <v>70000</v>
      </c>
      <c r="X31" s="624">
        <v>0</v>
      </c>
      <c r="Y31" s="624">
        <v>0</v>
      </c>
      <c r="Z31" s="624">
        <f t="shared" si="35"/>
        <v>70000</v>
      </c>
      <c r="AA31" s="624">
        <v>70000</v>
      </c>
      <c r="AB31" s="624">
        <v>0</v>
      </c>
      <c r="AC31" s="624">
        <v>0</v>
      </c>
      <c r="AD31" s="624">
        <f t="shared" si="36"/>
        <v>70000</v>
      </c>
      <c r="AE31" s="925">
        <v>70000</v>
      </c>
      <c r="AF31" s="925">
        <v>0</v>
      </c>
      <c r="AG31" s="925">
        <v>0</v>
      </c>
      <c r="AH31" s="925">
        <f t="shared" si="37"/>
        <v>70000</v>
      </c>
    </row>
    <row r="32" spans="1:34" x14ac:dyDescent="0.25">
      <c r="A32" s="618"/>
      <c r="B32" s="619" t="s">
        <v>495</v>
      </c>
      <c r="C32" s="625">
        <f t="shared" ref="C32:D32" si="80">SUM(C33:C35)</f>
        <v>10500</v>
      </c>
      <c r="D32" s="625">
        <f t="shared" si="80"/>
        <v>0</v>
      </c>
      <c r="E32" s="625">
        <f t="shared" ref="E32" si="81">SUM(E33:E35)</f>
        <v>0</v>
      </c>
      <c r="F32" s="625">
        <f t="shared" si="11"/>
        <v>10500</v>
      </c>
      <c r="G32" s="625">
        <f t="shared" ref="G32:I32" si="82">SUM(G33:G35)</f>
        <v>10500</v>
      </c>
      <c r="H32" s="625">
        <f t="shared" si="82"/>
        <v>0</v>
      </c>
      <c r="I32" s="625">
        <f t="shared" si="82"/>
        <v>0</v>
      </c>
      <c r="J32" s="625">
        <f t="shared" si="13"/>
        <v>10500</v>
      </c>
      <c r="K32" s="625">
        <f t="shared" ref="K32:M32" si="83">SUM(K33:K35)</f>
        <v>5500</v>
      </c>
      <c r="L32" s="625">
        <f t="shared" si="83"/>
        <v>0</v>
      </c>
      <c r="M32" s="625">
        <f t="shared" si="83"/>
        <v>0</v>
      </c>
      <c r="N32" s="625">
        <f t="shared" si="15"/>
        <v>5500</v>
      </c>
      <c r="O32" s="625">
        <f t="shared" ref="O32:Q32" si="84">SUM(O33:O35)</f>
        <v>7963</v>
      </c>
      <c r="P32" s="625">
        <f t="shared" si="84"/>
        <v>0</v>
      </c>
      <c r="Q32" s="625">
        <f t="shared" si="84"/>
        <v>0</v>
      </c>
      <c r="R32" s="625">
        <f t="shared" si="17"/>
        <v>7963</v>
      </c>
      <c r="S32" s="961">
        <f t="shared" ref="S32:U32" si="85">SUM(S33:S35)</f>
        <v>10500</v>
      </c>
      <c r="T32" s="961">
        <f t="shared" si="85"/>
        <v>0</v>
      </c>
      <c r="U32" s="961">
        <f t="shared" si="85"/>
        <v>0</v>
      </c>
      <c r="V32" s="961">
        <f t="shared" si="19"/>
        <v>10500</v>
      </c>
      <c r="W32" s="625">
        <f t="shared" ref="W32:Y32" si="86">SUM(W33:W35)</f>
        <v>10500</v>
      </c>
      <c r="X32" s="625">
        <f t="shared" si="86"/>
        <v>0</v>
      </c>
      <c r="Y32" s="625">
        <f t="shared" si="86"/>
        <v>0</v>
      </c>
      <c r="Z32" s="625">
        <f t="shared" si="35"/>
        <v>10500</v>
      </c>
      <c r="AA32" s="625">
        <f t="shared" ref="AA32:AC32" si="87">SUM(AA33:AA35)</f>
        <v>10500</v>
      </c>
      <c r="AB32" s="625">
        <f t="shared" si="87"/>
        <v>0</v>
      </c>
      <c r="AC32" s="625">
        <f t="shared" si="87"/>
        <v>0</v>
      </c>
      <c r="AD32" s="625">
        <f t="shared" si="36"/>
        <v>10500</v>
      </c>
      <c r="AE32" s="961">
        <f t="shared" ref="AE32:AG32" si="88">SUM(AE33:AE35)</f>
        <v>10500</v>
      </c>
      <c r="AF32" s="961">
        <f t="shared" si="88"/>
        <v>0</v>
      </c>
      <c r="AG32" s="961">
        <f t="shared" si="88"/>
        <v>0</v>
      </c>
      <c r="AH32" s="961">
        <f t="shared" si="37"/>
        <v>10500</v>
      </c>
    </row>
    <row r="33" spans="1:35" x14ac:dyDescent="0.25">
      <c r="A33" s="618"/>
      <c r="B33" s="622" t="s">
        <v>496</v>
      </c>
      <c r="C33" s="624">
        <v>1500</v>
      </c>
      <c r="D33" s="624">
        <v>0</v>
      </c>
      <c r="E33" s="624">
        <v>0</v>
      </c>
      <c r="F33" s="624">
        <f t="shared" si="11"/>
        <v>1500</v>
      </c>
      <c r="G33" s="624">
        <v>1500</v>
      </c>
      <c r="H33" s="624">
        <v>0</v>
      </c>
      <c r="I33" s="624">
        <v>0</v>
      </c>
      <c r="J33" s="624">
        <f t="shared" si="13"/>
        <v>1500</v>
      </c>
      <c r="K33" s="624">
        <v>1000</v>
      </c>
      <c r="L33" s="624">
        <v>0</v>
      </c>
      <c r="M33" s="624">
        <v>0</v>
      </c>
      <c r="N33" s="624">
        <f t="shared" si="15"/>
        <v>1000</v>
      </c>
      <c r="O33" s="624">
        <v>0</v>
      </c>
      <c r="P33" s="624">
        <v>0</v>
      </c>
      <c r="Q33" s="624">
        <v>0</v>
      </c>
      <c r="R33" s="624">
        <f t="shared" si="17"/>
        <v>0</v>
      </c>
      <c r="S33" s="960">
        <v>1500</v>
      </c>
      <c r="T33" s="960">
        <v>0</v>
      </c>
      <c r="U33" s="960">
        <v>0</v>
      </c>
      <c r="V33" s="960">
        <f t="shared" si="19"/>
        <v>1500</v>
      </c>
      <c r="W33" s="624">
        <v>1500</v>
      </c>
      <c r="X33" s="624">
        <v>0</v>
      </c>
      <c r="Y33" s="624">
        <v>0</v>
      </c>
      <c r="Z33" s="624">
        <f t="shared" si="35"/>
        <v>1500</v>
      </c>
      <c r="AA33" s="624">
        <v>1500</v>
      </c>
      <c r="AB33" s="624">
        <v>0</v>
      </c>
      <c r="AC33" s="624">
        <v>0</v>
      </c>
      <c r="AD33" s="624">
        <f t="shared" si="36"/>
        <v>1500</v>
      </c>
      <c r="AE33" s="960">
        <v>1500</v>
      </c>
      <c r="AF33" s="960">
        <v>0</v>
      </c>
      <c r="AG33" s="960">
        <v>0</v>
      </c>
      <c r="AH33" s="960">
        <f t="shared" si="37"/>
        <v>1500</v>
      </c>
    </row>
    <row r="34" spans="1:35" x14ac:dyDescent="0.25">
      <c r="A34" s="618"/>
      <c r="B34" s="622" t="s">
        <v>497</v>
      </c>
      <c r="C34" s="624">
        <v>9000</v>
      </c>
      <c r="D34" s="624">
        <v>0</v>
      </c>
      <c r="E34" s="624">
        <v>0</v>
      </c>
      <c r="F34" s="624">
        <f t="shared" si="11"/>
        <v>9000</v>
      </c>
      <c r="G34" s="624">
        <v>9000</v>
      </c>
      <c r="H34" s="624">
        <v>0</v>
      </c>
      <c r="I34" s="624">
        <v>0</v>
      </c>
      <c r="J34" s="624">
        <f t="shared" si="13"/>
        <v>9000</v>
      </c>
      <c r="K34" s="624">
        <v>4500</v>
      </c>
      <c r="L34" s="624">
        <v>0</v>
      </c>
      <c r="M34" s="624">
        <v>0</v>
      </c>
      <c r="N34" s="624">
        <f t="shared" si="15"/>
        <v>4500</v>
      </c>
      <c r="O34" s="624">
        <v>7963</v>
      </c>
      <c r="P34" s="624">
        <v>0</v>
      </c>
      <c r="Q34" s="624">
        <v>0</v>
      </c>
      <c r="R34" s="624">
        <f t="shared" si="17"/>
        <v>7963</v>
      </c>
      <c r="S34" s="960">
        <v>9000</v>
      </c>
      <c r="T34" s="960">
        <v>0</v>
      </c>
      <c r="U34" s="960">
        <v>0</v>
      </c>
      <c r="V34" s="960">
        <f t="shared" si="19"/>
        <v>9000</v>
      </c>
      <c r="W34" s="624">
        <v>9000</v>
      </c>
      <c r="X34" s="624">
        <v>0</v>
      </c>
      <c r="Y34" s="624">
        <v>0</v>
      </c>
      <c r="Z34" s="624">
        <f t="shared" si="35"/>
        <v>9000</v>
      </c>
      <c r="AA34" s="624">
        <v>9000</v>
      </c>
      <c r="AB34" s="624">
        <v>0</v>
      </c>
      <c r="AC34" s="624">
        <v>0</v>
      </c>
      <c r="AD34" s="624">
        <f t="shared" si="36"/>
        <v>9000</v>
      </c>
      <c r="AE34" s="960">
        <v>9000</v>
      </c>
      <c r="AF34" s="960">
        <v>0</v>
      </c>
      <c r="AG34" s="960">
        <v>0</v>
      </c>
      <c r="AH34" s="960">
        <f t="shared" si="37"/>
        <v>9000</v>
      </c>
    </row>
    <row r="35" spans="1:35" x14ac:dyDescent="0.25">
      <c r="A35" s="618"/>
      <c r="B35" s="622" t="s">
        <v>498</v>
      </c>
      <c r="C35" s="624">
        <v>0</v>
      </c>
      <c r="D35" s="624">
        <v>0</v>
      </c>
      <c r="E35" s="624">
        <v>0</v>
      </c>
      <c r="F35" s="624">
        <f t="shared" si="11"/>
        <v>0</v>
      </c>
      <c r="G35" s="624">
        <v>0</v>
      </c>
      <c r="H35" s="624">
        <v>0</v>
      </c>
      <c r="I35" s="624">
        <v>0</v>
      </c>
      <c r="J35" s="624">
        <f t="shared" si="13"/>
        <v>0</v>
      </c>
      <c r="K35" s="624">
        <v>0</v>
      </c>
      <c r="L35" s="624">
        <v>0</v>
      </c>
      <c r="M35" s="624">
        <v>0</v>
      </c>
      <c r="N35" s="624">
        <f t="shared" si="15"/>
        <v>0</v>
      </c>
      <c r="O35" s="624"/>
      <c r="P35" s="624">
        <v>0</v>
      </c>
      <c r="Q35" s="624">
        <v>0</v>
      </c>
      <c r="R35" s="624">
        <f t="shared" si="17"/>
        <v>0</v>
      </c>
      <c r="S35" s="960">
        <v>0</v>
      </c>
      <c r="T35" s="960">
        <v>0</v>
      </c>
      <c r="U35" s="960">
        <v>0</v>
      </c>
      <c r="V35" s="960">
        <f t="shared" si="19"/>
        <v>0</v>
      </c>
      <c r="W35" s="624">
        <v>0</v>
      </c>
      <c r="X35" s="624">
        <v>0</v>
      </c>
      <c r="Y35" s="624">
        <v>0</v>
      </c>
      <c r="Z35" s="624">
        <f t="shared" si="35"/>
        <v>0</v>
      </c>
      <c r="AA35" s="624">
        <v>0</v>
      </c>
      <c r="AB35" s="624">
        <v>0</v>
      </c>
      <c r="AC35" s="624">
        <v>0</v>
      </c>
      <c r="AD35" s="624">
        <f t="shared" si="36"/>
        <v>0</v>
      </c>
      <c r="AE35" s="960">
        <v>0</v>
      </c>
      <c r="AF35" s="960">
        <v>0</v>
      </c>
      <c r="AG35" s="960">
        <v>0</v>
      </c>
      <c r="AH35" s="960">
        <f t="shared" si="37"/>
        <v>0</v>
      </c>
    </row>
    <row r="36" spans="1:35" x14ac:dyDescent="0.25">
      <c r="A36" s="618"/>
      <c r="B36" s="619" t="s">
        <v>499</v>
      </c>
      <c r="C36" s="625">
        <f t="shared" ref="C36:D36" si="89">SUM(C37:C40)</f>
        <v>12000</v>
      </c>
      <c r="D36" s="625">
        <f t="shared" si="89"/>
        <v>0</v>
      </c>
      <c r="E36" s="625">
        <f t="shared" ref="E36" si="90">SUM(E37:E40)</f>
        <v>0</v>
      </c>
      <c r="F36" s="625">
        <f t="shared" si="11"/>
        <v>12000</v>
      </c>
      <c r="G36" s="625">
        <f t="shared" ref="G36:I36" si="91">SUM(G37:G40)</f>
        <v>12000</v>
      </c>
      <c r="H36" s="625">
        <f t="shared" si="91"/>
        <v>0</v>
      </c>
      <c r="I36" s="625">
        <f t="shared" si="91"/>
        <v>0</v>
      </c>
      <c r="J36" s="625">
        <f t="shared" si="13"/>
        <v>12000</v>
      </c>
      <c r="K36" s="625">
        <f t="shared" ref="K36:M36" si="92">SUM(K37:K40)</f>
        <v>12000</v>
      </c>
      <c r="L36" s="625">
        <f t="shared" si="92"/>
        <v>0</v>
      </c>
      <c r="M36" s="625">
        <f t="shared" si="92"/>
        <v>0</v>
      </c>
      <c r="N36" s="625">
        <f t="shared" si="15"/>
        <v>12000</v>
      </c>
      <c r="O36" s="625">
        <f t="shared" ref="O36:Q36" si="93">SUM(O37:O40)</f>
        <v>17581</v>
      </c>
      <c r="P36" s="625">
        <f t="shared" si="93"/>
        <v>0</v>
      </c>
      <c r="Q36" s="625">
        <f t="shared" si="93"/>
        <v>0</v>
      </c>
      <c r="R36" s="625">
        <f t="shared" si="17"/>
        <v>17581</v>
      </c>
      <c r="S36" s="961">
        <f t="shared" ref="S36:U36" si="94">SUM(S37:S40)</f>
        <v>16000</v>
      </c>
      <c r="T36" s="961">
        <f t="shared" si="94"/>
        <v>0</v>
      </c>
      <c r="U36" s="961">
        <f t="shared" si="94"/>
        <v>0</v>
      </c>
      <c r="V36" s="961">
        <f t="shared" si="19"/>
        <v>16000</v>
      </c>
      <c r="W36" s="625">
        <f t="shared" ref="W36:Y36" si="95">SUM(W37:W40)</f>
        <v>16000</v>
      </c>
      <c r="X36" s="625">
        <f t="shared" si="95"/>
        <v>0</v>
      </c>
      <c r="Y36" s="625">
        <f t="shared" si="95"/>
        <v>0</v>
      </c>
      <c r="Z36" s="625">
        <f t="shared" si="35"/>
        <v>16000</v>
      </c>
      <c r="AA36" s="625">
        <f t="shared" ref="AA36:AC36" si="96">SUM(AA37:AA40)</f>
        <v>16000</v>
      </c>
      <c r="AB36" s="625">
        <f t="shared" si="96"/>
        <v>0</v>
      </c>
      <c r="AC36" s="625">
        <f t="shared" si="96"/>
        <v>0</v>
      </c>
      <c r="AD36" s="625">
        <f t="shared" si="36"/>
        <v>16000</v>
      </c>
      <c r="AE36" s="961">
        <f t="shared" ref="AE36:AG36" si="97">SUM(AE37:AE40)</f>
        <v>16000</v>
      </c>
      <c r="AF36" s="961">
        <f t="shared" si="97"/>
        <v>0</v>
      </c>
      <c r="AG36" s="961">
        <f t="shared" si="97"/>
        <v>0</v>
      </c>
      <c r="AH36" s="961">
        <f t="shared" si="37"/>
        <v>16000</v>
      </c>
    </row>
    <row r="37" spans="1:35" x14ac:dyDescent="0.25">
      <c r="A37" s="618"/>
      <c r="B37" s="622" t="s">
        <v>500</v>
      </c>
      <c r="C37" s="624">
        <v>2000</v>
      </c>
      <c r="D37" s="624">
        <v>0</v>
      </c>
      <c r="E37" s="624">
        <v>0</v>
      </c>
      <c r="F37" s="624">
        <f t="shared" si="11"/>
        <v>2000</v>
      </c>
      <c r="G37" s="624">
        <v>2000</v>
      </c>
      <c r="H37" s="624">
        <v>0</v>
      </c>
      <c r="I37" s="624">
        <v>0</v>
      </c>
      <c r="J37" s="624">
        <f t="shared" si="13"/>
        <v>2000</v>
      </c>
      <c r="K37" s="624">
        <v>2000</v>
      </c>
      <c r="L37" s="624">
        <v>0</v>
      </c>
      <c r="M37" s="624">
        <v>0</v>
      </c>
      <c r="N37" s="624">
        <f t="shared" si="15"/>
        <v>2000</v>
      </c>
      <c r="O37" s="624">
        <v>6198</v>
      </c>
      <c r="P37" s="624">
        <v>0</v>
      </c>
      <c r="Q37" s="624">
        <v>0</v>
      </c>
      <c r="R37" s="624">
        <f t="shared" si="17"/>
        <v>6198</v>
      </c>
      <c r="S37" s="960">
        <f>2000+4000</f>
        <v>6000</v>
      </c>
      <c r="T37" s="960">
        <v>0</v>
      </c>
      <c r="U37" s="960">
        <v>0</v>
      </c>
      <c r="V37" s="960">
        <f t="shared" si="19"/>
        <v>6000</v>
      </c>
      <c r="W37" s="624">
        <f>2000+4000</f>
        <v>6000</v>
      </c>
      <c r="X37" s="624">
        <v>0</v>
      </c>
      <c r="Y37" s="624">
        <v>0</v>
      </c>
      <c r="Z37" s="624">
        <f t="shared" si="35"/>
        <v>6000</v>
      </c>
      <c r="AA37" s="624">
        <f>2000+4000</f>
        <v>6000</v>
      </c>
      <c r="AB37" s="624">
        <v>0</v>
      </c>
      <c r="AC37" s="624">
        <v>0</v>
      </c>
      <c r="AD37" s="624">
        <f t="shared" si="36"/>
        <v>6000</v>
      </c>
      <c r="AE37" s="960">
        <f>2000+4000</f>
        <v>6000</v>
      </c>
      <c r="AF37" s="960">
        <v>0</v>
      </c>
      <c r="AG37" s="960">
        <v>0</v>
      </c>
      <c r="AH37" s="960">
        <f t="shared" si="37"/>
        <v>6000</v>
      </c>
    </row>
    <row r="38" spans="1:35" x14ac:dyDescent="0.25">
      <c r="A38" s="618"/>
      <c r="B38" s="622" t="s">
        <v>501</v>
      </c>
      <c r="C38" s="624">
        <v>0</v>
      </c>
      <c r="D38" s="624">
        <v>0</v>
      </c>
      <c r="E38" s="624">
        <v>0</v>
      </c>
      <c r="F38" s="624">
        <f t="shared" si="11"/>
        <v>0</v>
      </c>
      <c r="G38" s="624">
        <v>0</v>
      </c>
      <c r="H38" s="624">
        <v>0</v>
      </c>
      <c r="I38" s="624">
        <v>0</v>
      </c>
      <c r="J38" s="624">
        <f t="shared" si="13"/>
        <v>0</v>
      </c>
      <c r="K38" s="624">
        <v>0</v>
      </c>
      <c r="L38" s="624">
        <v>0</v>
      </c>
      <c r="M38" s="624">
        <v>0</v>
      </c>
      <c r="N38" s="624">
        <f t="shared" si="15"/>
        <v>0</v>
      </c>
      <c r="O38" s="624">
        <v>0</v>
      </c>
      <c r="P38" s="624">
        <v>0</v>
      </c>
      <c r="Q38" s="624">
        <v>0</v>
      </c>
      <c r="R38" s="624">
        <f t="shared" si="17"/>
        <v>0</v>
      </c>
      <c r="S38" s="960">
        <v>0</v>
      </c>
      <c r="T38" s="960">
        <v>0</v>
      </c>
      <c r="U38" s="960">
        <v>0</v>
      </c>
      <c r="V38" s="960">
        <f t="shared" si="19"/>
        <v>0</v>
      </c>
      <c r="W38" s="624">
        <v>0</v>
      </c>
      <c r="X38" s="624">
        <v>0</v>
      </c>
      <c r="Y38" s="624">
        <v>0</v>
      </c>
      <c r="Z38" s="624">
        <f t="shared" si="35"/>
        <v>0</v>
      </c>
      <c r="AA38" s="624">
        <v>0</v>
      </c>
      <c r="AB38" s="624">
        <v>0</v>
      </c>
      <c r="AC38" s="624">
        <v>0</v>
      </c>
      <c r="AD38" s="624">
        <f t="shared" si="36"/>
        <v>0</v>
      </c>
      <c r="AE38" s="960">
        <v>0</v>
      </c>
      <c r="AF38" s="960">
        <v>0</v>
      </c>
      <c r="AG38" s="960">
        <v>0</v>
      </c>
      <c r="AH38" s="960">
        <f t="shared" si="37"/>
        <v>0</v>
      </c>
    </row>
    <row r="39" spans="1:35" x14ac:dyDescent="0.25">
      <c r="A39" s="618"/>
      <c r="B39" s="622" t="s">
        <v>502</v>
      </c>
      <c r="C39" s="624">
        <v>0</v>
      </c>
      <c r="D39" s="624">
        <v>0</v>
      </c>
      <c r="E39" s="624">
        <v>0</v>
      </c>
      <c r="F39" s="624">
        <f t="shared" si="11"/>
        <v>0</v>
      </c>
      <c r="G39" s="624">
        <v>0</v>
      </c>
      <c r="H39" s="624">
        <v>0</v>
      </c>
      <c r="I39" s="624">
        <v>0</v>
      </c>
      <c r="J39" s="624">
        <f t="shared" si="13"/>
        <v>0</v>
      </c>
      <c r="K39" s="624">
        <v>0</v>
      </c>
      <c r="L39" s="624">
        <v>0</v>
      </c>
      <c r="M39" s="624">
        <v>0</v>
      </c>
      <c r="N39" s="624">
        <f t="shared" si="15"/>
        <v>0</v>
      </c>
      <c r="O39" s="624">
        <v>0</v>
      </c>
      <c r="P39" s="624">
        <v>0</v>
      </c>
      <c r="Q39" s="624">
        <v>0</v>
      </c>
      <c r="R39" s="624">
        <f t="shared" si="17"/>
        <v>0</v>
      </c>
      <c r="S39" s="960">
        <v>0</v>
      </c>
      <c r="T39" s="960">
        <v>0</v>
      </c>
      <c r="U39" s="960">
        <v>0</v>
      </c>
      <c r="V39" s="960">
        <f t="shared" si="19"/>
        <v>0</v>
      </c>
      <c r="W39" s="624">
        <v>0</v>
      </c>
      <c r="X39" s="624">
        <v>0</v>
      </c>
      <c r="Y39" s="624">
        <v>0</v>
      </c>
      <c r="Z39" s="624">
        <f t="shared" si="35"/>
        <v>0</v>
      </c>
      <c r="AA39" s="624">
        <v>0</v>
      </c>
      <c r="AB39" s="624">
        <v>0</v>
      </c>
      <c r="AC39" s="624">
        <v>0</v>
      </c>
      <c r="AD39" s="624">
        <f t="shared" si="36"/>
        <v>0</v>
      </c>
      <c r="AE39" s="960">
        <v>0</v>
      </c>
      <c r="AF39" s="960">
        <v>0</v>
      </c>
      <c r="AG39" s="960">
        <v>0</v>
      </c>
      <c r="AH39" s="960">
        <f t="shared" si="37"/>
        <v>0</v>
      </c>
    </row>
    <row r="40" spans="1:35" x14ac:dyDescent="0.25">
      <c r="A40" s="618"/>
      <c r="B40" s="622" t="s">
        <v>503</v>
      </c>
      <c r="C40" s="624">
        <v>10000</v>
      </c>
      <c r="D40" s="624">
        <v>0</v>
      </c>
      <c r="E40" s="624">
        <v>0</v>
      </c>
      <c r="F40" s="624">
        <f t="shared" si="11"/>
        <v>10000</v>
      </c>
      <c r="G40" s="624">
        <v>10000</v>
      </c>
      <c r="H40" s="624">
        <v>0</v>
      </c>
      <c r="I40" s="624">
        <v>0</v>
      </c>
      <c r="J40" s="624">
        <f t="shared" si="13"/>
        <v>10000</v>
      </c>
      <c r="K40" s="624">
        <v>10000</v>
      </c>
      <c r="L40" s="624">
        <v>0</v>
      </c>
      <c r="M40" s="624">
        <v>0</v>
      </c>
      <c r="N40" s="624">
        <f t="shared" si="15"/>
        <v>10000</v>
      </c>
      <c r="O40" s="624">
        <v>11383</v>
      </c>
      <c r="P40" s="624">
        <v>0</v>
      </c>
      <c r="Q40" s="624">
        <v>0</v>
      </c>
      <c r="R40" s="624">
        <f t="shared" si="17"/>
        <v>11383</v>
      </c>
      <c r="S40" s="960">
        <v>10000</v>
      </c>
      <c r="T40" s="960">
        <v>0</v>
      </c>
      <c r="U40" s="960">
        <v>0</v>
      </c>
      <c r="V40" s="960">
        <f t="shared" si="19"/>
        <v>10000</v>
      </c>
      <c r="W40" s="624">
        <v>10000</v>
      </c>
      <c r="X40" s="624">
        <v>0</v>
      </c>
      <c r="Y40" s="624">
        <v>0</v>
      </c>
      <c r="Z40" s="624">
        <f t="shared" si="35"/>
        <v>10000</v>
      </c>
      <c r="AA40" s="624">
        <v>10000</v>
      </c>
      <c r="AB40" s="624">
        <v>0</v>
      </c>
      <c r="AC40" s="624">
        <v>0</v>
      </c>
      <c r="AD40" s="624">
        <f t="shared" si="36"/>
        <v>10000</v>
      </c>
      <c r="AE40" s="960">
        <v>10000</v>
      </c>
      <c r="AF40" s="960">
        <v>0</v>
      </c>
      <c r="AG40" s="960">
        <v>0</v>
      </c>
      <c r="AH40" s="960">
        <f t="shared" si="37"/>
        <v>10000</v>
      </c>
    </row>
    <row r="41" spans="1:35" x14ac:dyDescent="0.25">
      <c r="A41" s="615" t="s">
        <v>315</v>
      </c>
      <c r="B41" s="616" t="s">
        <v>314</v>
      </c>
      <c r="C41" s="617">
        <f t="shared" ref="C41:D41" si="98">C42+C43+C46+C50+C51+C52+C53+C54</f>
        <v>26597</v>
      </c>
      <c r="D41" s="617">
        <f t="shared" si="98"/>
        <v>62090</v>
      </c>
      <c r="E41" s="617">
        <f t="shared" ref="E41" si="99">E42+E43+E46+E50+E51+E52+E53+E54</f>
        <v>0</v>
      </c>
      <c r="F41" s="617">
        <f t="shared" si="11"/>
        <v>88687</v>
      </c>
      <c r="G41" s="617">
        <f t="shared" ref="G41:I41" si="100">G42+G43+G46+G50+G51+G52+G53+G54</f>
        <v>85307</v>
      </c>
      <c r="H41" s="617">
        <f t="shared" si="100"/>
        <v>189649</v>
      </c>
      <c r="I41" s="617">
        <f t="shared" si="100"/>
        <v>0</v>
      </c>
      <c r="J41" s="617">
        <f t="shared" si="13"/>
        <v>274956</v>
      </c>
      <c r="K41" s="617">
        <f t="shared" ref="K41:M41" si="101">K42+K43+K46+K50+K51+K52+K53+K54</f>
        <v>26688</v>
      </c>
      <c r="L41" s="617">
        <f t="shared" si="101"/>
        <v>59543</v>
      </c>
      <c r="M41" s="617">
        <f t="shared" si="101"/>
        <v>0</v>
      </c>
      <c r="N41" s="617">
        <f t="shared" si="15"/>
        <v>86231</v>
      </c>
      <c r="O41" s="617">
        <f t="shared" ref="O41:Q41" si="102">O42+O43+O46+O50+O51+O52+O53+O54</f>
        <v>212365</v>
      </c>
      <c r="P41" s="617">
        <f t="shared" si="102"/>
        <v>0</v>
      </c>
      <c r="Q41" s="617">
        <f t="shared" si="102"/>
        <v>0</v>
      </c>
      <c r="R41" s="617">
        <f t="shared" si="17"/>
        <v>212365</v>
      </c>
      <c r="S41" s="617">
        <f t="shared" ref="S41:U41" si="103">S42+S43+S46+S50+S51+S52+S53+S54</f>
        <v>46490</v>
      </c>
      <c r="T41" s="617">
        <f t="shared" si="103"/>
        <v>36637</v>
      </c>
      <c r="U41" s="617">
        <f t="shared" si="103"/>
        <v>0</v>
      </c>
      <c r="V41" s="617">
        <f t="shared" si="19"/>
        <v>83127</v>
      </c>
      <c r="W41" s="617">
        <f t="shared" ref="W41:Y41" si="104">W42+W43+W46+W50+W51+W52+W53+W54</f>
        <v>46490</v>
      </c>
      <c r="X41" s="617">
        <f t="shared" si="104"/>
        <v>36637</v>
      </c>
      <c r="Y41" s="617">
        <f t="shared" si="104"/>
        <v>0</v>
      </c>
      <c r="Z41" s="617">
        <f t="shared" si="35"/>
        <v>83127</v>
      </c>
      <c r="AA41" s="617">
        <f t="shared" ref="AA41:AC41" si="105">AA42+AA43+AA46+AA50+AA51+AA52+AA53+AA54</f>
        <v>46490</v>
      </c>
      <c r="AB41" s="617">
        <f t="shared" si="105"/>
        <v>36637</v>
      </c>
      <c r="AC41" s="617">
        <f t="shared" si="105"/>
        <v>0</v>
      </c>
      <c r="AD41" s="617">
        <f t="shared" si="36"/>
        <v>83127</v>
      </c>
      <c r="AE41" s="617">
        <f t="shared" ref="AE41:AG41" si="106">AE42+AE43+AE46+AE50+AE51+AE52+AE53+AE54</f>
        <v>46490</v>
      </c>
      <c r="AF41" s="617">
        <f t="shared" si="106"/>
        <v>39875</v>
      </c>
      <c r="AG41" s="617">
        <f t="shared" si="106"/>
        <v>0</v>
      </c>
      <c r="AH41" s="617">
        <f t="shared" si="37"/>
        <v>86365</v>
      </c>
      <c r="AI41" s="639">
        <f>+AH41-AD41</f>
        <v>3238</v>
      </c>
    </row>
    <row r="42" spans="1:35" x14ac:dyDescent="0.25">
      <c r="A42" s="618"/>
      <c r="B42" s="619" t="s">
        <v>504</v>
      </c>
      <c r="C42" s="625">
        <v>0</v>
      </c>
      <c r="D42" s="625">
        <v>0</v>
      </c>
      <c r="E42" s="625">
        <v>0</v>
      </c>
      <c r="F42" s="625">
        <f t="shared" si="11"/>
        <v>0</v>
      </c>
      <c r="G42" s="625">
        <v>0</v>
      </c>
      <c r="H42" s="625">
        <v>0</v>
      </c>
      <c r="I42" s="625">
        <v>0</v>
      </c>
      <c r="J42" s="625">
        <f t="shared" si="13"/>
        <v>0</v>
      </c>
      <c r="K42" s="625">
        <v>0</v>
      </c>
      <c r="L42" s="625">
        <v>0</v>
      </c>
      <c r="M42" s="625">
        <v>0</v>
      </c>
      <c r="N42" s="625">
        <f t="shared" si="15"/>
        <v>0</v>
      </c>
      <c r="O42" s="625">
        <v>0</v>
      </c>
      <c r="P42" s="625"/>
      <c r="Q42" s="625">
        <v>0</v>
      </c>
      <c r="R42" s="625">
        <f t="shared" si="17"/>
        <v>0</v>
      </c>
      <c r="S42" s="961">
        <v>0</v>
      </c>
      <c r="T42" s="961">
        <v>0</v>
      </c>
      <c r="U42" s="961">
        <v>0</v>
      </c>
      <c r="V42" s="961">
        <f t="shared" si="19"/>
        <v>0</v>
      </c>
      <c r="W42" s="625">
        <v>0</v>
      </c>
      <c r="X42" s="625">
        <v>0</v>
      </c>
      <c r="Y42" s="625">
        <v>0</v>
      </c>
      <c r="Z42" s="625">
        <f t="shared" si="35"/>
        <v>0</v>
      </c>
      <c r="AA42" s="625">
        <v>0</v>
      </c>
      <c r="AB42" s="625">
        <v>0</v>
      </c>
      <c r="AC42" s="625">
        <v>0</v>
      </c>
      <c r="AD42" s="625">
        <f t="shared" si="36"/>
        <v>0</v>
      </c>
      <c r="AE42" s="961">
        <v>0</v>
      </c>
      <c r="AF42" s="961">
        <v>0</v>
      </c>
      <c r="AG42" s="961">
        <v>0</v>
      </c>
      <c r="AH42" s="961">
        <f t="shared" si="37"/>
        <v>0</v>
      </c>
    </row>
    <row r="43" spans="1:35" x14ac:dyDescent="0.25">
      <c r="A43" s="618"/>
      <c r="B43" s="619" t="s">
        <v>505</v>
      </c>
      <c r="C43" s="625">
        <f t="shared" ref="C43:D43" si="107">SUM(C44:C45)</f>
        <v>4490</v>
      </c>
      <c r="D43" s="625">
        <f t="shared" si="107"/>
        <v>0</v>
      </c>
      <c r="E43" s="625">
        <f t="shared" ref="E43" si="108">SUM(E44:E45)</f>
        <v>0</v>
      </c>
      <c r="F43" s="625">
        <f t="shared" si="11"/>
        <v>4490</v>
      </c>
      <c r="G43" s="625">
        <f t="shared" ref="G43:I43" si="109">SUM(G44:G45)</f>
        <v>50718</v>
      </c>
      <c r="H43" s="625">
        <f t="shared" si="109"/>
        <v>0</v>
      </c>
      <c r="I43" s="625">
        <f t="shared" si="109"/>
        <v>0</v>
      </c>
      <c r="J43" s="625">
        <f t="shared" si="13"/>
        <v>50718</v>
      </c>
      <c r="K43" s="625">
        <f t="shared" ref="K43:M43" si="110">SUM(K44:K45)</f>
        <v>4582</v>
      </c>
      <c r="L43" s="625">
        <f t="shared" si="110"/>
        <v>0</v>
      </c>
      <c r="M43" s="625">
        <f t="shared" si="110"/>
        <v>0</v>
      </c>
      <c r="N43" s="625">
        <f t="shared" si="15"/>
        <v>4582</v>
      </c>
      <c r="O43" s="625">
        <f t="shared" ref="O43:Q43" si="111">SUM(O44:O45)</f>
        <v>29461</v>
      </c>
      <c r="P43" s="625">
        <f t="shared" si="111"/>
        <v>0</v>
      </c>
      <c r="Q43" s="625">
        <f t="shared" si="111"/>
        <v>0</v>
      </c>
      <c r="R43" s="625">
        <f t="shared" si="17"/>
        <v>29461</v>
      </c>
      <c r="S43" s="961">
        <f t="shared" ref="S43:U43" si="112">SUM(S44:S45)</f>
        <v>24490</v>
      </c>
      <c r="T43" s="961">
        <f t="shared" si="112"/>
        <v>0</v>
      </c>
      <c r="U43" s="961">
        <f t="shared" si="112"/>
        <v>0</v>
      </c>
      <c r="V43" s="961">
        <f t="shared" si="19"/>
        <v>24490</v>
      </c>
      <c r="W43" s="625">
        <f t="shared" ref="W43:Y43" si="113">SUM(W44:W45)</f>
        <v>24490</v>
      </c>
      <c r="X43" s="625">
        <f t="shared" si="113"/>
        <v>0</v>
      </c>
      <c r="Y43" s="625">
        <f t="shared" si="113"/>
        <v>0</v>
      </c>
      <c r="Z43" s="625">
        <f t="shared" si="35"/>
        <v>24490</v>
      </c>
      <c r="AA43" s="625">
        <f t="shared" ref="AA43:AC43" si="114">SUM(AA44:AA45)</f>
        <v>24490</v>
      </c>
      <c r="AB43" s="625">
        <f t="shared" si="114"/>
        <v>0</v>
      </c>
      <c r="AC43" s="625">
        <f t="shared" si="114"/>
        <v>0</v>
      </c>
      <c r="AD43" s="625">
        <f t="shared" si="36"/>
        <v>24490</v>
      </c>
      <c r="AE43" s="961">
        <f t="shared" ref="AE43:AG43" si="115">SUM(AE44:AE45)</f>
        <v>24490</v>
      </c>
      <c r="AF43" s="961">
        <f t="shared" si="115"/>
        <v>3238</v>
      </c>
      <c r="AG43" s="961">
        <f t="shared" si="115"/>
        <v>0</v>
      </c>
      <c r="AH43" s="961">
        <f t="shared" si="37"/>
        <v>27728</v>
      </c>
      <c r="AI43" s="639">
        <f>+AH43-AD43</f>
        <v>3238</v>
      </c>
    </row>
    <row r="44" spans="1:35" x14ac:dyDescent="0.25">
      <c r="A44" s="618"/>
      <c r="B44" s="622" t="s">
        <v>506</v>
      </c>
      <c r="C44" s="624">
        <v>4490</v>
      </c>
      <c r="D44" s="624">
        <v>0</v>
      </c>
      <c r="E44" s="624">
        <v>0</v>
      </c>
      <c r="F44" s="624">
        <f t="shared" si="11"/>
        <v>4490</v>
      </c>
      <c r="G44" s="624">
        <v>4490</v>
      </c>
      <c r="H44" s="624">
        <v>0</v>
      </c>
      <c r="I44" s="624">
        <v>0</v>
      </c>
      <c r="J44" s="624">
        <f t="shared" si="13"/>
        <v>4490</v>
      </c>
      <c r="K44" s="624">
        <f>54490+1288-51196</f>
        <v>4582</v>
      </c>
      <c r="L44" s="624">
        <v>0</v>
      </c>
      <c r="M44" s="624">
        <v>0</v>
      </c>
      <c r="N44" s="624">
        <f t="shared" si="15"/>
        <v>4582</v>
      </c>
      <c r="O44" s="624">
        <v>4446</v>
      </c>
      <c r="P44" s="624">
        <v>0</v>
      </c>
      <c r="Q44" s="624">
        <v>0</v>
      </c>
      <c r="R44" s="624">
        <f t="shared" si="17"/>
        <v>4446</v>
      </c>
      <c r="S44" s="960">
        <v>4490</v>
      </c>
      <c r="T44" s="960">
        <v>0</v>
      </c>
      <c r="U44" s="960">
        <v>0</v>
      </c>
      <c r="V44" s="960">
        <f t="shared" si="19"/>
        <v>4490</v>
      </c>
      <c r="W44" s="624">
        <v>4490</v>
      </c>
      <c r="X44" s="624">
        <v>0</v>
      </c>
      <c r="Y44" s="624">
        <v>0</v>
      </c>
      <c r="Z44" s="624">
        <f t="shared" si="35"/>
        <v>4490</v>
      </c>
      <c r="AA44" s="624">
        <v>4490</v>
      </c>
      <c r="AB44" s="624">
        <v>0</v>
      </c>
      <c r="AC44" s="624">
        <v>0</v>
      </c>
      <c r="AD44" s="624">
        <f t="shared" si="36"/>
        <v>4490</v>
      </c>
      <c r="AE44" s="960">
        <v>4490</v>
      </c>
      <c r="AF44" s="960">
        <v>0</v>
      </c>
      <c r="AG44" s="960">
        <v>0</v>
      </c>
      <c r="AH44" s="960">
        <f t="shared" si="37"/>
        <v>4490</v>
      </c>
    </row>
    <row r="45" spans="1:35" x14ac:dyDescent="0.25">
      <c r="A45" s="618"/>
      <c r="B45" s="622" t="s">
        <v>507</v>
      </c>
      <c r="C45" s="624">
        <v>0</v>
      </c>
      <c r="D45" s="624">
        <v>0</v>
      </c>
      <c r="E45" s="624">
        <v>0</v>
      </c>
      <c r="F45" s="624">
        <f t="shared" si="11"/>
        <v>0</v>
      </c>
      <c r="G45" s="624">
        <v>46228</v>
      </c>
      <c r="H45" s="624">
        <v>0</v>
      </c>
      <c r="I45" s="624">
        <v>0</v>
      </c>
      <c r="J45" s="624">
        <f t="shared" si="13"/>
        <v>46228</v>
      </c>
      <c r="K45" s="624">
        <v>0</v>
      </c>
      <c r="L45" s="624">
        <v>0</v>
      </c>
      <c r="M45" s="624">
        <v>0</v>
      </c>
      <c r="N45" s="624">
        <f t="shared" si="15"/>
        <v>0</v>
      </c>
      <c r="O45" s="624">
        <f>22705+2310</f>
        <v>25015</v>
      </c>
      <c r="P45" s="624">
        <v>0</v>
      </c>
      <c r="Q45" s="624">
        <v>0</v>
      </c>
      <c r="R45" s="624">
        <f t="shared" si="17"/>
        <v>25015</v>
      </c>
      <c r="S45" s="960">
        <v>20000</v>
      </c>
      <c r="T45" s="960">
        <v>0</v>
      </c>
      <c r="U45" s="960">
        <v>0</v>
      </c>
      <c r="V45" s="960">
        <f t="shared" si="19"/>
        <v>20000</v>
      </c>
      <c r="W45" s="624">
        <v>20000</v>
      </c>
      <c r="X45" s="624">
        <v>0</v>
      </c>
      <c r="Y45" s="624">
        <v>0</v>
      </c>
      <c r="Z45" s="624">
        <f t="shared" si="35"/>
        <v>20000</v>
      </c>
      <c r="AA45" s="624">
        <v>20000</v>
      </c>
      <c r="AB45" s="624">
        <v>0</v>
      </c>
      <c r="AC45" s="624">
        <v>0</v>
      </c>
      <c r="AD45" s="624">
        <f t="shared" si="36"/>
        <v>20000</v>
      </c>
      <c r="AE45" s="960">
        <v>20000</v>
      </c>
      <c r="AF45" s="960">
        <v>3238</v>
      </c>
      <c r="AG45" s="960">
        <v>0</v>
      </c>
      <c r="AH45" s="960">
        <f t="shared" si="37"/>
        <v>23238</v>
      </c>
      <c r="AI45" s="639">
        <f>+AH45-AD45</f>
        <v>3238</v>
      </c>
    </row>
    <row r="46" spans="1:35" x14ac:dyDescent="0.25">
      <c r="A46" s="618"/>
      <c r="B46" s="619" t="s">
        <v>508</v>
      </c>
      <c r="C46" s="625">
        <f t="shared" ref="C46:D46" si="116">SUM(C47:C49)</f>
        <v>8674</v>
      </c>
      <c r="D46" s="625">
        <f t="shared" si="116"/>
        <v>48890</v>
      </c>
      <c r="E46" s="625">
        <f t="shared" ref="E46" si="117">SUM(E47:E49)</f>
        <v>0</v>
      </c>
      <c r="F46" s="625">
        <f t="shared" si="11"/>
        <v>57564</v>
      </c>
      <c r="G46" s="625">
        <f t="shared" ref="G46:I46" si="118">SUM(G47:G49)</f>
        <v>8674</v>
      </c>
      <c r="H46" s="625">
        <f t="shared" si="118"/>
        <v>48890</v>
      </c>
      <c r="I46" s="625">
        <f t="shared" si="118"/>
        <v>0</v>
      </c>
      <c r="J46" s="625">
        <f t="shared" si="13"/>
        <v>57564</v>
      </c>
      <c r="K46" s="625">
        <f t="shared" ref="K46:M46" si="119">SUM(K47:K49)</f>
        <v>8673</v>
      </c>
      <c r="L46" s="625">
        <f t="shared" si="119"/>
        <v>46884</v>
      </c>
      <c r="M46" s="625">
        <f t="shared" si="119"/>
        <v>0</v>
      </c>
      <c r="N46" s="625">
        <f t="shared" si="15"/>
        <v>55557</v>
      </c>
      <c r="O46" s="625">
        <f t="shared" ref="O46:Q46" si="120">SUM(O47:O49)</f>
        <v>14797</v>
      </c>
      <c r="P46" s="625">
        <f t="shared" si="120"/>
        <v>0</v>
      </c>
      <c r="Q46" s="625">
        <f t="shared" si="120"/>
        <v>0</v>
      </c>
      <c r="R46" s="625">
        <f t="shared" si="17"/>
        <v>14797</v>
      </c>
      <c r="S46" s="961">
        <f t="shared" ref="S46:U46" si="121">SUM(S47:S49)</f>
        <v>8000</v>
      </c>
      <c r="T46" s="961">
        <f t="shared" si="121"/>
        <v>28848</v>
      </c>
      <c r="U46" s="961">
        <f t="shared" si="121"/>
        <v>0</v>
      </c>
      <c r="V46" s="961">
        <f t="shared" si="19"/>
        <v>36848</v>
      </c>
      <c r="W46" s="625">
        <f t="shared" ref="W46:Y46" si="122">SUM(W47:W49)</f>
        <v>8000</v>
      </c>
      <c r="X46" s="625">
        <f t="shared" si="122"/>
        <v>28848</v>
      </c>
      <c r="Y46" s="625">
        <f t="shared" si="122"/>
        <v>0</v>
      </c>
      <c r="Z46" s="625">
        <f t="shared" si="35"/>
        <v>36848</v>
      </c>
      <c r="AA46" s="625">
        <f t="shared" ref="AA46:AC46" si="123">SUM(AA47:AA49)</f>
        <v>8000</v>
      </c>
      <c r="AB46" s="625">
        <f t="shared" si="123"/>
        <v>28848</v>
      </c>
      <c r="AC46" s="625">
        <f t="shared" si="123"/>
        <v>0</v>
      </c>
      <c r="AD46" s="625">
        <f t="shared" si="36"/>
        <v>36848</v>
      </c>
      <c r="AE46" s="961">
        <f t="shared" ref="AE46:AG46" si="124">SUM(AE47:AE49)</f>
        <v>8000</v>
      </c>
      <c r="AF46" s="961">
        <f t="shared" si="124"/>
        <v>28848</v>
      </c>
      <c r="AG46" s="961">
        <f t="shared" si="124"/>
        <v>0</v>
      </c>
      <c r="AH46" s="961">
        <f t="shared" si="37"/>
        <v>36848</v>
      </c>
      <c r="AI46" s="639">
        <f>+AH46-AD46</f>
        <v>0</v>
      </c>
    </row>
    <row r="47" spans="1:35" x14ac:dyDescent="0.25">
      <c r="A47" s="618"/>
      <c r="B47" s="622" t="s">
        <v>509</v>
      </c>
      <c r="C47" s="624">
        <v>1500</v>
      </c>
      <c r="D47" s="624">
        <v>0</v>
      </c>
      <c r="E47" s="624">
        <v>0</v>
      </c>
      <c r="F47" s="624">
        <f t="shared" si="11"/>
        <v>1500</v>
      </c>
      <c r="G47" s="624">
        <v>1500</v>
      </c>
      <c r="H47" s="624">
        <v>0</v>
      </c>
      <c r="I47" s="624">
        <v>0</v>
      </c>
      <c r="J47" s="624">
        <f t="shared" si="13"/>
        <v>1500</v>
      </c>
      <c r="K47" s="624">
        <v>1500</v>
      </c>
      <c r="L47" s="624">
        <v>0</v>
      </c>
      <c r="M47" s="624">
        <v>0</v>
      </c>
      <c r="N47" s="624">
        <f t="shared" si="15"/>
        <v>1500</v>
      </c>
      <c r="O47" s="624"/>
      <c r="P47" s="624">
        <v>0</v>
      </c>
      <c r="Q47" s="624">
        <v>0</v>
      </c>
      <c r="R47" s="624">
        <f t="shared" si="17"/>
        <v>0</v>
      </c>
      <c r="S47" s="960">
        <v>1000</v>
      </c>
      <c r="T47" s="960">
        <v>0</v>
      </c>
      <c r="U47" s="960">
        <v>0</v>
      </c>
      <c r="V47" s="960">
        <f t="shared" si="19"/>
        <v>1000</v>
      </c>
      <c r="W47" s="624">
        <v>1000</v>
      </c>
      <c r="X47" s="624">
        <v>0</v>
      </c>
      <c r="Y47" s="624">
        <v>0</v>
      </c>
      <c r="Z47" s="624">
        <f t="shared" si="35"/>
        <v>1000</v>
      </c>
      <c r="AA47" s="624">
        <v>1000</v>
      </c>
      <c r="AB47" s="624">
        <v>0</v>
      </c>
      <c r="AC47" s="624">
        <v>0</v>
      </c>
      <c r="AD47" s="624">
        <f t="shared" si="36"/>
        <v>1000</v>
      </c>
      <c r="AE47" s="960">
        <v>1000</v>
      </c>
      <c r="AF47" s="960">
        <v>0</v>
      </c>
      <c r="AG47" s="960">
        <v>0</v>
      </c>
      <c r="AH47" s="960">
        <f t="shared" si="37"/>
        <v>1000</v>
      </c>
    </row>
    <row r="48" spans="1:35" x14ac:dyDescent="0.25">
      <c r="A48" s="618"/>
      <c r="B48" s="622" t="s">
        <v>510</v>
      </c>
      <c r="C48" s="624">
        <v>0</v>
      </c>
      <c r="D48" s="624">
        <v>48890</v>
      </c>
      <c r="E48" s="624">
        <v>0</v>
      </c>
      <c r="F48" s="624">
        <f t="shared" si="11"/>
        <v>48890</v>
      </c>
      <c r="G48" s="624">
        <v>0</v>
      </c>
      <c r="H48" s="624">
        <v>48890</v>
      </c>
      <c r="I48" s="624">
        <v>0</v>
      </c>
      <c r="J48" s="624">
        <f t="shared" si="13"/>
        <v>48890</v>
      </c>
      <c r="K48" s="624">
        <v>0</v>
      </c>
      <c r="L48" s="624">
        <v>46884</v>
      </c>
      <c r="M48" s="624">
        <v>0</v>
      </c>
      <c r="N48" s="624">
        <f t="shared" si="15"/>
        <v>46884</v>
      </c>
      <c r="O48" s="624">
        <v>14797</v>
      </c>
      <c r="P48" s="624"/>
      <c r="Q48" s="624">
        <v>0</v>
      </c>
      <c r="R48" s="624">
        <f t="shared" si="17"/>
        <v>14797</v>
      </c>
      <c r="S48" s="960">
        <v>0</v>
      </c>
      <c r="T48" s="960">
        <v>28848</v>
      </c>
      <c r="U48" s="960">
        <v>0</v>
      </c>
      <c r="V48" s="960">
        <f t="shared" si="19"/>
        <v>28848</v>
      </c>
      <c r="W48" s="624">
        <v>0</v>
      </c>
      <c r="X48" s="624">
        <v>28848</v>
      </c>
      <c r="Y48" s="624">
        <v>0</v>
      </c>
      <c r="Z48" s="624">
        <f t="shared" si="35"/>
        <v>28848</v>
      </c>
      <c r="AA48" s="624">
        <v>0</v>
      </c>
      <c r="AB48" s="624">
        <v>28848</v>
      </c>
      <c r="AC48" s="624">
        <v>0</v>
      </c>
      <c r="AD48" s="624">
        <f t="shared" si="36"/>
        <v>28848</v>
      </c>
      <c r="AE48" s="960">
        <v>0</v>
      </c>
      <c r="AF48" s="960">
        <v>28848</v>
      </c>
      <c r="AG48" s="960">
        <v>0</v>
      </c>
      <c r="AH48" s="960">
        <f t="shared" si="37"/>
        <v>28848</v>
      </c>
    </row>
    <row r="49" spans="1:35" x14ac:dyDescent="0.25">
      <c r="A49" s="618"/>
      <c r="B49" s="622" t="s">
        <v>409</v>
      </c>
      <c r="C49" s="624">
        <f>6973+200+1</f>
        <v>7174</v>
      </c>
      <c r="D49" s="624">
        <v>0</v>
      </c>
      <c r="E49" s="624">
        <v>0</v>
      </c>
      <c r="F49" s="624">
        <f t="shared" si="11"/>
        <v>7174</v>
      </c>
      <c r="G49" s="624">
        <f>6973+200+1</f>
        <v>7174</v>
      </c>
      <c r="H49" s="624">
        <v>0</v>
      </c>
      <c r="I49" s="624">
        <v>0</v>
      </c>
      <c r="J49" s="624">
        <f t="shared" si="13"/>
        <v>7174</v>
      </c>
      <c r="K49" s="624">
        <v>7173</v>
      </c>
      <c r="L49" s="624">
        <v>0</v>
      </c>
      <c r="M49" s="624">
        <v>0</v>
      </c>
      <c r="N49" s="624">
        <f t="shared" si="15"/>
        <v>7173</v>
      </c>
      <c r="O49" s="624"/>
      <c r="P49" s="624">
        <v>0</v>
      </c>
      <c r="Q49" s="624">
        <v>0</v>
      </c>
      <c r="R49" s="624">
        <f t="shared" si="17"/>
        <v>0</v>
      </c>
      <c r="S49" s="960">
        <v>7000</v>
      </c>
      <c r="T49" s="960">
        <v>0</v>
      </c>
      <c r="U49" s="960">
        <v>0</v>
      </c>
      <c r="V49" s="960">
        <f t="shared" si="19"/>
        <v>7000</v>
      </c>
      <c r="W49" s="624">
        <v>7000</v>
      </c>
      <c r="X49" s="624">
        <v>0</v>
      </c>
      <c r="Y49" s="624">
        <v>0</v>
      </c>
      <c r="Z49" s="624">
        <f t="shared" si="35"/>
        <v>7000</v>
      </c>
      <c r="AA49" s="624">
        <v>7000</v>
      </c>
      <c r="AB49" s="624">
        <v>0</v>
      </c>
      <c r="AC49" s="624">
        <v>0</v>
      </c>
      <c r="AD49" s="624">
        <f t="shared" si="36"/>
        <v>7000</v>
      </c>
      <c r="AE49" s="960">
        <v>7000</v>
      </c>
      <c r="AF49" s="960">
        <v>0</v>
      </c>
      <c r="AG49" s="960">
        <v>0</v>
      </c>
      <c r="AH49" s="960">
        <f t="shared" si="37"/>
        <v>7000</v>
      </c>
    </row>
    <row r="50" spans="1:35" x14ac:dyDescent="0.25">
      <c r="A50" s="618"/>
      <c r="B50" s="619" t="s">
        <v>511</v>
      </c>
      <c r="C50" s="625">
        <v>0</v>
      </c>
      <c r="D50" s="625">
        <v>0</v>
      </c>
      <c r="E50" s="625">
        <v>0</v>
      </c>
      <c r="F50" s="625">
        <f t="shared" si="11"/>
        <v>0</v>
      </c>
      <c r="G50" s="625">
        <v>0</v>
      </c>
      <c r="H50" s="625">
        <v>0</v>
      </c>
      <c r="I50" s="625">
        <v>0</v>
      </c>
      <c r="J50" s="625">
        <f t="shared" si="13"/>
        <v>0</v>
      </c>
      <c r="K50" s="625">
        <v>0</v>
      </c>
      <c r="L50" s="625">
        <v>0</v>
      </c>
      <c r="M50" s="625">
        <v>0</v>
      </c>
      <c r="N50" s="625">
        <f t="shared" si="15"/>
        <v>0</v>
      </c>
      <c r="O50" s="625">
        <v>412</v>
      </c>
      <c r="P50" s="625"/>
      <c r="Q50" s="625">
        <v>0</v>
      </c>
      <c r="R50" s="625">
        <f t="shared" si="17"/>
        <v>412</v>
      </c>
      <c r="S50" s="961">
        <v>0</v>
      </c>
      <c r="T50" s="961">
        <v>0</v>
      </c>
      <c r="U50" s="961">
        <v>0</v>
      </c>
      <c r="V50" s="961">
        <f t="shared" si="19"/>
        <v>0</v>
      </c>
      <c r="W50" s="625">
        <v>0</v>
      </c>
      <c r="X50" s="625">
        <v>0</v>
      </c>
      <c r="Y50" s="625">
        <v>0</v>
      </c>
      <c r="Z50" s="625">
        <f t="shared" si="35"/>
        <v>0</v>
      </c>
      <c r="AA50" s="625">
        <v>0</v>
      </c>
      <c r="AB50" s="625">
        <v>0</v>
      </c>
      <c r="AC50" s="625">
        <v>0</v>
      </c>
      <c r="AD50" s="625">
        <f t="shared" si="36"/>
        <v>0</v>
      </c>
      <c r="AE50" s="961">
        <v>0</v>
      </c>
      <c r="AF50" s="961">
        <v>0</v>
      </c>
      <c r="AG50" s="961">
        <v>0</v>
      </c>
      <c r="AH50" s="961">
        <f t="shared" si="37"/>
        <v>0</v>
      </c>
      <c r="AI50" s="639">
        <f>+AH50-AD50</f>
        <v>0</v>
      </c>
    </row>
    <row r="51" spans="1:35" x14ac:dyDescent="0.25">
      <c r="A51" s="618"/>
      <c r="B51" s="619" t="s">
        <v>512</v>
      </c>
      <c r="C51" s="625">
        <f t="shared" ref="C51:D51" si="125">ROUND(C48*0.27,0)</f>
        <v>0</v>
      </c>
      <c r="D51" s="625">
        <f t="shared" si="125"/>
        <v>13200</v>
      </c>
      <c r="E51" s="625">
        <f t="shared" ref="E51" si="126">ROUND(E48*0.27,0)</f>
        <v>0</v>
      </c>
      <c r="F51" s="625">
        <f t="shared" si="11"/>
        <v>13200</v>
      </c>
      <c r="G51" s="625">
        <v>12482</v>
      </c>
      <c r="H51" s="625">
        <v>140759</v>
      </c>
      <c r="I51" s="625">
        <f t="shared" ref="I51" si="127">ROUND(I48*0.27,0)</f>
        <v>0</v>
      </c>
      <c r="J51" s="625">
        <f t="shared" si="13"/>
        <v>153241</v>
      </c>
      <c r="K51" s="625">
        <f t="shared" ref="K51:M51" si="128">ROUND(K48*0.27,0)</f>
        <v>0</v>
      </c>
      <c r="L51" s="625">
        <f t="shared" si="128"/>
        <v>12659</v>
      </c>
      <c r="M51" s="625">
        <f t="shared" si="128"/>
        <v>0</v>
      </c>
      <c r="N51" s="625">
        <f t="shared" si="15"/>
        <v>12659</v>
      </c>
      <c r="O51" s="625">
        <v>153334</v>
      </c>
      <c r="P51" s="625">
        <f t="shared" ref="P51:Q51" si="129">ROUND(P48*0.27,0)</f>
        <v>0</v>
      </c>
      <c r="Q51" s="625">
        <f t="shared" si="129"/>
        <v>0</v>
      </c>
      <c r="R51" s="625">
        <f t="shared" si="17"/>
        <v>153334</v>
      </c>
      <c r="S51" s="961">
        <f t="shared" ref="S51:U51" si="130">ROUND(S48*0.27,0)</f>
        <v>0</v>
      </c>
      <c r="T51" s="961">
        <f t="shared" si="130"/>
        <v>7789</v>
      </c>
      <c r="U51" s="961">
        <f t="shared" si="130"/>
        <v>0</v>
      </c>
      <c r="V51" s="961">
        <f t="shared" si="19"/>
        <v>7789</v>
      </c>
      <c r="W51" s="625">
        <f t="shared" ref="W51:Y51" si="131">ROUND(W48*0.27,0)</f>
        <v>0</v>
      </c>
      <c r="X51" s="625">
        <f t="shared" si="131"/>
        <v>7789</v>
      </c>
      <c r="Y51" s="625">
        <f t="shared" si="131"/>
        <v>0</v>
      </c>
      <c r="Z51" s="625">
        <f t="shared" si="35"/>
        <v>7789</v>
      </c>
      <c r="AA51" s="625">
        <f t="shared" ref="AA51:AC51" si="132">ROUND(AA48*0.27,0)</f>
        <v>0</v>
      </c>
      <c r="AB51" s="625">
        <f t="shared" si="132"/>
        <v>7789</v>
      </c>
      <c r="AC51" s="625">
        <f t="shared" si="132"/>
        <v>0</v>
      </c>
      <c r="AD51" s="625">
        <f t="shared" si="36"/>
        <v>7789</v>
      </c>
      <c r="AE51" s="961">
        <f t="shared" ref="AE51:AG51" si="133">ROUND(AE48*0.27,0)</f>
        <v>0</v>
      </c>
      <c r="AF51" s="961">
        <f t="shared" si="133"/>
        <v>7789</v>
      </c>
      <c r="AG51" s="961">
        <f t="shared" si="133"/>
        <v>0</v>
      </c>
      <c r="AH51" s="961">
        <f t="shared" si="37"/>
        <v>7789</v>
      </c>
      <c r="AI51" s="639">
        <f>+AH51-AD51</f>
        <v>0</v>
      </c>
    </row>
    <row r="52" spans="1:35" x14ac:dyDescent="0.25">
      <c r="A52" s="618"/>
      <c r="B52" s="619" t="s">
        <v>513</v>
      </c>
      <c r="C52" s="625">
        <v>0</v>
      </c>
      <c r="D52" s="625">
        <v>0</v>
      </c>
      <c r="E52" s="625">
        <v>0</v>
      </c>
      <c r="F52" s="625">
        <f t="shared" si="11"/>
        <v>0</v>
      </c>
      <c r="G52" s="625">
        <v>0</v>
      </c>
      <c r="H52" s="625">
        <v>0</v>
      </c>
      <c r="I52" s="625">
        <v>0</v>
      </c>
      <c r="J52" s="625">
        <f t="shared" si="13"/>
        <v>0</v>
      </c>
      <c r="K52" s="625">
        <v>0</v>
      </c>
      <c r="L52" s="625">
        <v>0</v>
      </c>
      <c r="M52" s="625">
        <v>0</v>
      </c>
      <c r="N52" s="625">
        <f t="shared" si="15"/>
        <v>0</v>
      </c>
      <c r="O52" s="625">
        <v>0</v>
      </c>
      <c r="P52" s="625">
        <v>0</v>
      </c>
      <c r="Q52" s="625">
        <v>0</v>
      </c>
      <c r="R52" s="625">
        <f t="shared" si="17"/>
        <v>0</v>
      </c>
      <c r="S52" s="961">
        <v>0</v>
      </c>
      <c r="T52" s="961">
        <v>0</v>
      </c>
      <c r="U52" s="961">
        <v>0</v>
      </c>
      <c r="V52" s="961">
        <f t="shared" si="19"/>
        <v>0</v>
      </c>
      <c r="W52" s="625">
        <v>0</v>
      </c>
      <c r="X52" s="625">
        <v>0</v>
      </c>
      <c r="Y52" s="625">
        <v>0</v>
      </c>
      <c r="Z52" s="625">
        <f t="shared" si="35"/>
        <v>0</v>
      </c>
      <c r="AA52" s="625">
        <v>0</v>
      </c>
      <c r="AB52" s="625">
        <v>0</v>
      </c>
      <c r="AC52" s="625">
        <v>0</v>
      </c>
      <c r="AD52" s="625">
        <f t="shared" si="36"/>
        <v>0</v>
      </c>
      <c r="AE52" s="961">
        <v>0</v>
      </c>
      <c r="AF52" s="961">
        <v>0</v>
      </c>
      <c r="AG52" s="961">
        <v>0</v>
      </c>
      <c r="AH52" s="961">
        <f t="shared" si="37"/>
        <v>0</v>
      </c>
    </row>
    <row r="53" spans="1:35" x14ac:dyDescent="0.25">
      <c r="A53" s="618"/>
      <c r="B53" s="619" t="s">
        <v>514</v>
      </c>
      <c r="C53" s="625">
        <v>6000</v>
      </c>
      <c r="D53" s="625">
        <v>0</v>
      </c>
      <c r="E53" s="625">
        <v>0</v>
      </c>
      <c r="F53" s="625">
        <f t="shared" si="11"/>
        <v>6000</v>
      </c>
      <c r="G53" s="625">
        <v>6000</v>
      </c>
      <c r="H53" s="625">
        <v>0</v>
      </c>
      <c r="I53" s="625">
        <v>0</v>
      </c>
      <c r="J53" s="625">
        <f t="shared" si="13"/>
        <v>6000</v>
      </c>
      <c r="K53" s="625">
        <v>6000</v>
      </c>
      <c r="L53" s="625">
        <v>0</v>
      </c>
      <c r="M53" s="625">
        <v>0</v>
      </c>
      <c r="N53" s="625">
        <f t="shared" si="15"/>
        <v>6000</v>
      </c>
      <c r="O53" s="625">
        <v>369</v>
      </c>
      <c r="P53" s="625">
        <v>0</v>
      </c>
      <c r="Q53" s="625">
        <v>0</v>
      </c>
      <c r="R53" s="625">
        <f t="shared" si="17"/>
        <v>369</v>
      </c>
      <c r="S53" s="961"/>
      <c r="T53" s="961">
        <v>0</v>
      </c>
      <c r="U53" s="961">
        <v>0</v>
      </c>
      <c r="V53" s="961">
        <f t="shared" si="19"/>
        <v>0</v>
      </c>
      <c r="W53" s="625"/>
      <c r="X53" s="625">
        <v>0</v>
      </c>
      <c r="Y53" s="625">
        <v>0</v>
      </c>
      <c r="Z53" s="625">
        <f t="shared" si="35"/>
        <v>0</v>
      </c>
      <c r="AA53" s="625"/>
      <c r="AB53" s="625">
        <v>0</v>
      </c>
      <c r="AC53" s="625">
        <v>0</v>
      </c>
      <c r="AD53" s="625">
        <f t="shared" si="36"/>
        <v>0</v>
      </c>
      <c r="AE53" s="961"/>
      <c r="AF53" s="961">
        <v>0</v>
      </c>
      <c r="AG53" s="961">
        <v>0</v>
      </c>
      <c r="AH53" s="961">
        <f t="shared" si="37"/>
        <v>0</v>
      </c>
    </row>
    <row r="54" spans="1:35" x14ac:dyDescent="0.25">
      <c r="A54" s="618"/>
      <c r="B54" s="619" t="s">
        <v>515</v>
      </c>
      <c r="C54" s="625">
        <v>7433</v>
      </c>
      <c r="D54" s="625">
        <v>0</v>
      </c>
      <c r="E54" s="625">
        <v>0</v>
      </c>
      <c r="F54" s="625">
        <f t="shared" si="11"/>
        <v>7433</v>
      </c>
      <c r="G54" s="625">
        <v>7433</v>
      </c>
      <c r="H54" s="625">
        <v>0</v>
      </c>
      <c r="I54" s="625">
        <v>0</v>
      </c>
      <c r="J54" s="625">
        <f t="shared" si="13"/>
        <v>7433</v>
      </c>
      <c r="K54" s="625">
        <v>7433</v>
      </c>
      <c r="L54" s="625">
        <v>0</v>
      </c>
      <c r="M54" s="625">
        <v>0</v>
      </c>
      <c r="N54" s="625">
        <f t="shared" si="15"/>
        <v>7433</v>
      </c>
      <c r="O54" s="625">
        <v>13992</v>
      </c>
      <c r="P54" s="625">
        <v>0</v>
      </c>
      <c r="Q54" s="625">
        <v>0</v>
      </c>
      <c r="R54" s="625">
        <f t="shared" si="17"/>
        <v>13992</v>
      </c>
      <c r="S54" s="961">
        <v>14000</v>
      </c>
      <c r="T54" s="961">
        <v>0</v>
      </c>
      <c r="U54" s="961">
        <v>0</v>
      </c>
      <c r="V54" s="961">
        <f t="shared" si="19"/>
        <v>14000</v>
      </c>
      <c r="W54" s="625">
        <v>14000</v>
      </c>
      <c r="X54" s="625">
        <v>0</v>
      </c>
      <c r="Y54" s="625">
        <v>0</v>
      </c>
      <c r="Z54" s="625">
        <f t="shared" si="35"/>
        <v>14000</v>
      </c>
      <c r="AA54" s="625">
        <v>14000</v>
      </c>
      <c r="AB54" s="625">
        <v>0</v>
      </c>
      <c r="AC54" s="625">
        <v>0</v>
      </c>
      <c r="AD54" s="625">
        <f t="shared" si="36"/>
        <v>14000</v>
      </c>
      <c r="AE54" s="961">
        <v>14000</v>
      </c>
      <c r="AF54" s="961"/>
      <c r="AG54" s="961">
        <v>0</v>
      </c>
      <c r="AH54" s="961">
        <f t="shared" si="37"/>
        <v>14000</v>
      </c>
    </row>
    <row r="55" spans="1:35" x14ac:dyDescent="0.25">
      <c r="A55" s="615" t="s">
        <v>336</v>
      </c>
      <c r="B55" s="616" t="s">
        <v>316</v>
      </c>
      <c r="C55" s="617">
        <f t="shared" ref="C55:D55" si="134">C56+C57</f>
        <v>0</v>
      </c>
      <c r="D55" s="617">
        <f t="shared" si="134"/>
        <v>260</v>
      </c>
      <c r="E55" s="617">
        <f t="shared" ref="E55" si="135">E56+E57</f>
        <v>0</v>
      </c>
      <c r="F55" s="617">
        <f t="shared" si="11"/>
        <v>260</v>
      </c>
      <c r="G55" s="617">
        <f t="shared" ref="G55:I55" si="136">G56+G57</f>
        <v>0</v>
      </c>
      <c r="H55" s="617">
        <f t="shared" si="136"/>
        <v>8408</v>
      </c>
      <c r="I55" s="617">
        <f t="shared" si="136"/>
        <v>0</v>
      </c>
      <c r="J55" s="617">
        <f t="shared" si="13"/>
        <v>8408</v>
      </c>
      <c r="K55" s="617">
        <f t="shared" ref="K55:M55" si="137">K56+K57</f>
        <v>0</v>
      </c>
      <c r="L55" s="617">
        <f t="shared" si="137"/>
        <v>108432</v>
      </c>
      <c r="M55" s="617">
        <f t="shared" si="137"/>
        <v>0</v>
      </c>
      <c r="N55" s="617">
        <f t="shared" si="15"/>
        <v>108432</v>
      </c>
      <c r="O55" s="617">
        <f t="shared" ref="O55:Q55" si="138">O56+O57</f>
        <v>260</v>
      </c>
      <c r="P55" s="617">
        <f t="shared" si="138"/>
        <v>0</v>
      </c>
      <c r="Q55" s="617">
        <f t="shared" si="138"/>
        <v>0</v>
      </c>
      <c r="R55" s="617">
        <f t="shared" si="17"/>
        <v>260</v>
      </c>
      <c r="S55" s="617">
        <f t="shared" ref="S55:U55" si="139">S56+S57</f>
        <v>0</v>
      </c>
      <c r="T55" s="617">
        <f t="shared" si="139"/>
        <v>0</v>
      </c>
      <c r="U55" s="617">
        <f t="shared" si="139"/>
        <v>0</v>
      </c>
      <c r="V55" s="617">
        <f t="shared" si="19"/>
        <v>0</v>
      </c>
      <c r="W55" s="617">
        <f t="shared" ref="W55:Y55" si="140">W56+W57</f>
        <v>0</v>
      </c>
      <c r="X55" s="617">
        <f t="shared" si="140"/>
        <v>0</v>
      </c>
      <c r="Y55" s="617">
        <f t="shared" si="140"/>
        <v>0</v>
      </c>
      <c r="Z55" s="617">
        <f t="shared" si="35"/>
        <v>0</v>
      </c>
      <c r="AA55" s="617">
        <f t="shared" ref="AA55:AC55" si="141">AA56+AA57</f>
        <v>0</v>
      </c>
      <c r="AB55" s="617">
        <f t="shared" si="141"/>
        <v>0</v>
      </c>
      <c r="AC55" s="617">
        <f t="shared" si="141"/>
        <v>0</v>
      </c>
      <c r="AD55" s="617">
        <f t="shared" si="36"/>
        <v>0</v>
      </c>
      <c r="AE55" s="617">
        <f t="shared" ref="AE55:AG55" si="142">AE56+AE57</f>
        <v>0</v>
      </c>
      <c r="AF55" s="617">
        <f t="shared" si="142"/>
        <v>0</v>
      </c>
      <c r="AG55" s="617">
        <f t="shared" si="142"/>
        <v>0</v>
      </c>
      <c r="AH55" s="617">
        <f t="shared" si="37"/>
        <v>0</v>
      </c>
    </row>
    <row r="56" spans="1:35" ht="30" x14ac:dyDescent="0.25">
      <c r="A56" s="618"/>
      <c r="B56" s="619" t="s">
        <v>516</v>
      </c>
      <c r="C56" s="625">
        <v>0</v>
      </c>
      <c r="D56" s="625">
        <v>0</v>
      </c>
      <c r="E56" s="625">
        <v>0</v>
      </c>
      <c r="F56" s="625">
        <f t="shared" si="11"/>
        <v>0</v>
      </c>
      <c r="G56" s="625">
        <v>0</v>
      </c>
      <c r="H56" s="625">
        <v>0</v>
      </c>
      <c r="I56" s="625">
        <v>0</v>
      </c>
      <c r="J56" s="625">
        <f t="shared" si="13"/>
        <v>0</v>
      </c>
      <c r="K56" s="625">
        <v>0</v>
      </c>
      <c r="L56" s="625">
        <v>0</v>
      </c>
      <c r="M56" s="625">
        <v>0</v>
      </c>
      <c r="N56" s="625">
        <f t="shared" si="15"/>
        <v>0</v>
      </c>
      <c r="O56" s="625">
        <v>0</v>
      </c>
      <c r="P56" s="625">
        <v>0</v>
      </c>
      <c r="Q56" s="625">
        <v>0</v>
      </c>
      <c r="R56" s="625">
        <f t="shared" si="17"/>
        <v>0</v>
      </c>
      <c r="S56" s="961">
        <v>0</v>
      </c>
      <c r="T56" s="961">
        <v>0</v>
      </c>
      <c r="U56" s="961">
        <v>0</v>
      </c>
      <c r="V56" s="961">
        <f t="shared" si="19"/>
        <v>0</v>
      </c>
      <c r="W56" s="625">
        <v>0</v>
      </c>
      <c r="X56" s="625">
        <v>0</v>
      </c>
      <c r="Y56" s="625">
        <v>0</v>
      </c>
      <c r="Z56" s="625">
        <f t="shared" si="35"/>
        <v>0</v>
      </c>
      <c r="AA56" s="625">
        <v>0</v>
      </c>
      <c r="AB56" s="625">
        <v>0</v>
      </c>
      <c r="AC56" s="625">
        <v>0</v>
      </c>
      <c r="AD56" s="625">
        <f t="shared" si="36"/>
        <v>0</v>
      </c>
      <c r="AE56" s="961">
        <v>0</v>
      </c>
      <c r="AF56" s="961">
        <v>0</v>
      </c>
      <c r="AG56" s="961">
        <v>0</v>
      </c>
      <c r="AH56" s="961">
        <f t="shared" si="37"/>
        <v>0</v>
      </c>
    </row>
    <row r="57" spans="1:35" x14ac:dyDescent="0.25">
      <c r="A57" s="618"/>
      <c r="B57" s="619" t="s">
        <v>517</v>
      </c>
      <c r="C57" s="625"/>
      <c r="D57" s="625">
        <f>SUM(D58:D59)</f>
        <v>260</v>
      </c>
      <c r="E57" s="625">
        <v>0</v>
      </c>
      <c r="F57" s="625">
        <f>SUM(F58:F59)</f>
        <v>260</v>
      </c>
      <c r="G57" s="625">
        <f>SUM(G58:G61)</f>
        <v>0</v>
      </c>
      <c r="H57" s="625">
        <f>SUM(H58:H61)</f>
        <v>8408</v>
      </c>
      <c r="I57" s="625">
        <f>SUM(I58:I61)</f>
        <v>0</v>
      </c>
      <c r="J57" s="625">
        <f>SUM(J58:J61)</f>
        <v>8408</v>
      </c>
      <c r="K57" s="625"/>
      <c r="L57" s="625">
        <f>SUM(L58:L60)</f>
        <v>108432</v>
      </c>
      <c r="M57" s="625">
        <v>0</v>
      </c>
      <c r="N57" s="625">
        <f>SUM(N58:N60)</f>
        <v>108432</v>
      </c>
      <c r="O57" s="625">
        <f>SUM(O58:O60)</f>
        <v>260</v>
      </c>
      <c r="P57" s="625">
        <f>SUM(P58:P60)</f>
        <v>0</v>
      </c>
      <c r="Q57" s="625">
        <v>0</v>
      </c>
      <c r="R57" s="625">
        <f>SUM(R58:R60)</f>
        <v>260</v>
      </c>
      <c r="S57" s="961"/>
      <c r="T57" s="961">
        <f>SUM(T58:T60)</f>
        <v>0</v>
      </c>
      <c r="U57" s="961">
        <v>0</v>
      </c>
      <c r="V57" s="961">
        <f>SUM(V58:V60)</f>
        <v>0</v>
      </c>
      <c r="W57" s="625"/>
      <c r="X57" s="625">
        <f>SUM(X58:X60)</f>
        <v>0</v>
      </c>
      <c r="Y57" s="625">
        <v>0</v>
      </c>
      <c r="Z57" s="625">
        <f>SUM(Z58:Z60)</f>
        <v>0</v>
      </c>
      <c r="AA57" s="625"/>
      <c r="AB57" s="625">
        <f>SUM(AB58:AB60)</f>
        <v>0</v>
      </c>
      <c r="AC57" s="625">
        <v>0</v>
      </c>
      <c r="AD57" s="625">
        <f>SUM(AD58:AD60)</f>
        <v>0</v>
      </c>
      <c r="AE57" s="961"/>
      <c r="AF57" s="961">
        <f>SUM(AF58:AF60)</f>
        <v>0</v>
      </c>
      <c r="AG57" s="961">
        <v>0</v>
      </c>
      <c r="AH57" s="961">
        <f>SUM(AH58:AH60)</f>
        <v>0</v>
      </c>
    </row>
    <row r="58" spans="1:35" hidden="1" x14ac:dyDescent="0.25">
      <c r="A58" s="618"/>
      <c r="B58" s="622" t="s">
        <v>1337</v>
      </c>
      <c r="C58" s="624"/>
      <c r="D58" s="624">
        <v>260</v>
      </c>
      <c r="E58" s="624"/>
      <c r="F58" s="624">
        <v>260</v>
      </c>
      <c r="G58" s="624"/>
      <c r="H58" s="624">
        <v>260</v>
      </c>
      <c r="I58" s="624"/>
      <c r="J58" s="624">
        <f>SUM(G58:I58)</f>
        <v>260</v>
      </c>
      <c r="K58" s="624"/>
      <c r="L58" s="624">
        <v>260</v>
      </c>
      <c r="M58" s="624"/>
      <c r="N58" s="624">
        <v>260</v>
      </c>
      <c r="O58" s="624">
        <v>260</v>
      </c>
      <c r="P58" s="624">
        <v>0</v>
      </c>
      <c r="Q58" s="624"/>
      <c r="R58" s="624">
        <f>SUM(O58:Q58)</f>
        <v>260</v>
      </c>
      <c r="S58" s="624"/>
      <c r="T58" s="624"/>
      <c r="U58" s="624"/>
      <c r="V58" s="624">
        <f t="shared" ref="V58:V59" si="143">SUM(S58:U58)</f>
        <v>0</v>
      </c>
      <c r="W58" s="624"/>
      <c r="X58" s="624"/>
      <c r="Y58" s="624"/>
      <c r="Z58" s="624">
        <f t="shared" ref="Z58:Z59" si="144">SUM(W58:Y58)</f>
        <v>0</v>
      </c>
      <c r="AA58" s="624"/>
      <c r="AB58" s="624"/>
      <c r="AC58" s="624"/>
      <c r="AD58" s="624">
        <f t="shared" ref="AD58:AD59" si="145">SUM(AA58:AC58)</f>
        <v>0</v>
      </c>
      <c r="AE58" s="624"/>
      <c r="AF58" s="624"/>
      <c r="AG58" s="624"/>
      <c r="AH58" s="624">
        <f t="shared" ref="AH58:AH59" si="146">SUM(AE58:AG58)</f>
        <v>0</v>
      </c>
    </row>
    <row r="59" spans="1:35" hidden="1" x14ac:dyDescent="0.25">
      <c r="A59" s="618"/>
      <c r="B59" s="622" t="s">
        <v>1307</v>
      </c>
      <c r="C59" s="624"/>
      <c r="D59" s="624">
        <v>0</v>
      </c>
      <c r="E59" s="624"/>
      <c r="F59" s="624">
        <v>0</v>
      </c>
      <c r="G59" s="624"/>
      <c r="H59" s="624">
        <v>0</v>
      </c>
      <c r="I59" s="624"/>
      <c r="J59" s="624">
        <f t="shared" ref="J59:J61" si="147">SUM(G59:I59)</f>
        <v>0</v>
      </c>
      <c r="K59" s="624"/>
      <c r="L59" s="624">
        <v>106705</v>
      </c>
      <c r="M59" s="624"/>
      <c r="N59" s="624">
        <v>106705</v>
      </c>
      <c r="O59" s="624"/>
      <c r="P59" s="624"/>
      <c r="Q59" s="624"/>
      <c r="R59" s="624">
        <f>SUM(O59:Q59)</f>
        <v>0</v>
      </c>
      <c r="S59" s="624"/>
      <c r="T59" s="624">
        <v>0</v>
      </c>
      <c r="U59" s="624"/>
      <c r="V59" s="624">
        <f t="shared" si="143"/>
        <v>0</v>
      </c>
      <c r="W59" s="624"/>
      <c r="X59" s="624">
        <v>0</v>
      </c>
      <c r="Y59" s="624"/>
      <c r="Z59" s="624">
        <f t="shared" si="144"/>
        <v>0</v>
      </c>
      <c r="AA59" s="624"/>
      <c r="AB59" s="624">
        <v>0</v>
      </c>
      <c r="AC59" s="624"/>
      <c r="AD59" s="624">
        <f t="shared" si="145"/>
        <v>0</v>
      </c>
      <c r="AE59" s="624"/>
      <c r="AF59" s="624">
        <v>0</v>
      </c>
      <c r="AG59" s="624"/>
      <c r="AH59" s="624">
        <f t="shared" si="146"/>
        <v>0</v>
      </c>
    </row>
    <row r="60" spans="1:35" hidden="1" x14ac:dyDescent="0.25">
      <c r="A60" s="618"/>
      <c r="B60" s="622" t="s">
        <v>1383</v>
      </c>
      <c r="C60" s="624"/>
      <c r="D60" s="624"/>
      <c r="E60" s="624"/>
      <c r="F60" s="624"/>
      <c r="G60" s="624"/>
      <c r="H60" s="624"/>
      <c r="I60" s="624"/>
      <c r="J60" s="624">
        <f t="shared" si="147"/>
        <v>0</v>
      </c>
      <c r="K60" s="624"/>
      <c r="L60" s="624">
        <v>1467</v>
      </c>
      <c r="M60" s="624"/>
      <c r="N60" s="624">
        <f>SUM(K60:M60)</f>
        <v>1467</v>
      </c>
      <c r="O60" s="624"/>
      <c r="P60" s="624"/>
      <c r="Q60" s="624"/>
      <c r="R60" s="624">
        <f>SUM(O60:Q60)</f>
        <v>0</v>
      </c>
      <c r="S60" s="624"/>
      <c r="T60" s="624">
        <v>0</v>
      </c>
      <c r="U60" s="624"/>
      <c r="V60" s="624">
        <f>SUM(S60:U60)</f>
        <v>0</v>
      </c>
      <c r="W60" s="624"/>
      <c r="X60" s="624">
        <v>0</v>
      </c>
      <c r="Y60" s="624"/>
      <c r="Z60" s="624">
        <f>SUM(W60:Y60)</f>
        <v>0</v>
      </c>
      <c r="AA60" s="624"/>
      <c r="AB60" s="624">
        <v>0</v>
      </c>
      <c r="AC60" s="624"/>
      <c r="AD60" s="624">
        <f>SUM(AA60:AC60)</f>
        <v>0</v>
      </c>
      <c r="AE60" s="624"/>
      <c r="AF60" s="624">
        <v>0</v>
      </c>
      <c r="AG60" s="624"/>
      <c r="AH60" s="624">
        <f>SUM(AE60:AG60)</f>
        <v>0</v>
      </c>
    </row>
    <row r="61" spans="1:35" hidden="1" x14ac:dyDescent="0.25">
      <c r="A61" s="618"/>
      <c r="B61" s="651" t="s">
        <v>1479</v>
      </c>
      <c r="C61" s="624"/>
      <c r="D61" s="624"/>
      <c r="E61" s="624"/>
      <c r="F61" s="624"/>
      <c r="G61" s="624"/>
      <c r="H61" s="624">
        <v>8148</v>
      </c>
      <c r="I61" s="624"/>
      <c r="J61" s="624">
        <f t="shared" si="147"/>
        <v>8148</v>
      </c>
      <c r="K61" s="624"/>
      <c r="L61" s="624"/>
      <c r="M61" s="624"/>
      <c r="N61" s="624"/>
      <c r="O61" s="624"/>
      <c r="P61" s="624"/>
      <c r="Q61" s="624"/>
      <c r="R61" s="624"/>
      <c r="S61" s="624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4"/>
      <c r="AG61" s="624"/>
      <c r="AH61" s="624"/>
    </row>
    <row r="62" spans="1:35" x14ac:dyDescent="0.25">
      <c r="A62" s="612" t="s">
        <v>318</v>
      </c>
      <c r="B62" s="613" t="s">
        <v>319</v>
      </c>
      <c r="C62" s="614">
        <f t="shared" ref="C62:D62" si="148">C63+C67+C75</f>
        <v>4186</v>
      </c>
      <c r="D62" s="614">
        <f t="shared" si="148"/>
        <v>386983</v>
      </c>
      <c r="E62" s="614">
        <f t="shared" ref="E62" si="149">E63+E67+E75</f>
        <v>0</v>
      </c>
      <c r="F62" s="614">
        <f t="shared" si="11"/>
        <v>391169</v>
      </c>
      <c r="G62" s="614">
        <f t="shared" ref="G62:I62" si="150">G63+G67+G75</f>
        <v>70588</v>
      </c>
      <c r="H62" s="614">
        <f t="shared" si="150"/>
        <v>521270</v>
      </c>
      <c r="I62" s="614">
        <f t="shared" si="150"/>
        <v>0</v>
      </c>
      <c r="J62" s="614">
        <f t="shared" ref="J62:J74" si="151">SUM(G62:I62)</f>
        <v>591858</v>
      </c>
      <c r="K62" s="614">
        <f t="shared" ref="K62:M62" si="152">K63+K67+K75</f>
        <v>4186</v>
      </c>
      <c r="L62" s="614">
        <f t="shared" si="152"/>
        <v>446528</v>
      </c>
      <c r="M62" s="614">
        <f t="shared" si="152"/>
        <v>0</v>
      </c>
      <c r="N62" s="614">
        <f t="shared" ref="N62:N74" si="153">SUM(K62:M62)</f>
        <v>450714</v>
      </c>
      <c r="O62" s="614">
        <f t="shared" ref="O62:Q62" si="154">O63+O67+O75</f>
        <v>588460</v>
      </c>
      <c r="P62" s="614">
        <f t="shared" si="154"/>
        <v>0</v>
      </c>
      <c r="Q62" s="614">
        <f t="shared" si="154"/>
        <v>0</v>
      </c>
      <c r="R62" s="614">
        <f t="shared" ref="R62:R74" si="155">SUM(O62:Q62)</f>
        <v>588460</v>
      </c>
      <c r="S62" s="614">
        <f t="shared" ref="S62:U62" si="156">S63+S67+S75</f>
        <v>492377</v>
      </c>
      <c r="T62" s="614">
        <f t="shared" si="156"/>
        <v>1650</v>
      </c>
      <c r="U62" s="614">
        <f t="shared" si="156"/>
        <v>0</v>
      </c>
      <c r="V62" s="614">
        <f t="shared" ref="V62:V74" si="157">SUM(S62:U62)</f>
        <v>494027</v>
      </c>
      <c r="W62" s="614">
        <f t="shared" ref="W62:Y62" si="158">W63+W67+W75</f>
        <v>492377</v>
      </c>
      <c r="X62" s="614">
        <f t="shared" si="158"/>
        <v>1650</v>
      </c>
      <c r="Y62" s="614">
        <f t="shared" si="158"/>
        <v>0</v>
      </c>
      <c r="Z62" s="614">
        <f t="shared" ref="Z62:Z74" si="159">SUM(W62:Y62)</f>
        <v>494027</v>
      </c>
      <c r="AA62" s="614">
        <f t="shared" ref="AA62:AC62" si="160">AA63+AA67+AA75</f>
        <v>492377</v>
      </c>
      <c r="AB62" s="614">
        <f t="shared" si="160"/>
        <v>1650</v>
      </c>
      <c r="AC62" s="614">
        <f t="shared" si="160"/>
        <v>0</v>
      </c>
      <c r="AD62" s="614">
        <f t="shared" ref="AD62:AD74" si="161">SUM(AA62:AC62)</f>
        <v>494027</v>
      </c>
      <c r="AE62" s="614">
        <f t="shared" ref="AE62:AG62" si="162">AE63+AE67+AE75</f>
        <v>531493</v>
      </c>
      <c r="AF62" s="614">
        <f t="shared" si="162"/>
        <v>1650</v>
      </c>
      <c r="AG62" s="614">
        <f t="shared" si="162"/>
        <v>0</v>
      </c>
      <c r="AH62" s="614">
        <f t="shared" ref="AH62:AH74" si="163">SUM(AE62:AG62)</f>
        <v>533143</v>
      </c>
    </row>
    <row r="63" spans="1:35" x14ac:dyDescent="0.25">
      <c r="A63" s="615" t="s">
        <v>311</v>
      </c>
      <c r="B63" s="616" t="s">
        <v>320</v>
      </c>
      <c r="C63" s="617">
        <f t="shared" ref="C63:D63" si="164">C64+C65+C66</f>
        <v>0</v>
      </c>
      <c r="D63" s="617">
        <f t="shared" si="164"/>
        <v>0</v>
      </c>
      <c r="E63" s="617">
        <f t="shared" ref="E63" si="165">E64+E65+E66</f>
        <v>0</v>
      </c>
      <c r="F63" s="617">
        <f t="shared" si="11"/>
        <v>0</v>
      </c>
      <c r="G63" s="617">
        <f t="shared" ref="G63:I63" si="166">G64+G65+G66</f>
        <v>0</v>
      </c>
      <c r="H63" s="628">
        <f t="shared" si="166"/>
        <v>14100</v>
      </c>
      <c r="I63" s="617">
        <f t="shared" si="166"/>
        <v>0</v>
      </c>
      <c r="J63" s="628">
        <f t="shared" si="151"/>
        <v>14100</v>
      </c>
      <c r="K63" s="617">
        <f t="shared" ref="K63:M63" si="167">K64+K65+K66</f>
        <v>0</v>
      </c>
      <c r="L63" s="628">
        <f t="shared" si="167"/>
        <v>153384</v>
      </c>
      <c r="M63" s="617">
        <f t="shared" si="167"/>
        <v>0</v>
      </c>
      <c r="N63" s="628">
        <f t="shared" si="153"/>
        <v>153384</v>
      </c>
      <c r="O63" s="617">
        <f t="shared" ref="O63:Q63" si="168">O64+O65+O66</f>
        <v>21100</v>
      </c>
      <c r="P63" s="628">
        <f t="shared" si="168"/>
        <v>0</v>
      </c>
      <c r="Q63" s="617">
        <f t="shared" si="168"/>
        <v>0</v>
      </c>
      <c r="R63" s="628">
        <f t="shared" si="155"/>
        <v>21100</v>
      </c>
      <c r="S63" s="617">
        <f t="shared" ref="S63:U63" si="169">S64+S65+S66</f>
        <v>200000</v>
      </c>
      <c r="T63" s="628">
        <f t="shared" si="169"/>
        <v>0</v>
      </c>
      <c r="U63" s="617">
        <f t="shared" si="169"/>
        <v>0</v>
      </c>
      <c r="V63" s="628">
        <f t="shared" si="157"/>
        <v>200000</v>
      </c>
      <c r="W63" s="617">
        <f t="shared" ref="W63:Y63" si="170">W64+W65+W66</f>
        <v>200000</v>
      </c>
      <c r="X63" s="628">
        <f t="shared" si="170"/>
        <v>0</v>
      </c>
      <c r="Y63" s="617">
        <f t="shared" si="170"/>
        <v>0</v>
      </c>
      <c r="Z63" s="628">
        <f t="shared" si="159"/>
        <v>200000</v>
      </c>
      <c r="AA63" s="617">
        <f t="shared" ref="AA63:AC63" si="171">AA64+AA65+AA66</f>
        <v>200000</v>
      </c>
      <c r="AB63" s="628">
        <f t="shared" si="171"/>
        <v>0</v>
      </c>
      <c r="AC63" s="617">
        <f t="shared" si="171"/>
        <v>0</v>
      </c>
      <c r="AD63" s="628">
        <f t="shared" si="161"/>
        <v>200000</v>
      </c>
      <c r="AE63" s="617">
        <f t="shared" ref="AE63:AG63" si="172">AE64+AE65+AE66</f>
        <v>239116</v>
      </c>
      <c r="AF63" s="628">
        <f t="shared" si="172"/>
        <v>0</v>
      </c>
      <c r="AG63" s="617">
        <f t="shared" si="172"/>
        <v>0</v>
      </c>
      <c r="AH63" s="628">
        <f t="shared" si="163"/>
        <v>239116</v>
      </c>
    </row>
    <row r="64" spans="1:35" x14ac:dyDescent="0.25">
      <c r="A64" s="618"/>
      <c r="B64" s="629" t="s">
        <v>518</v>
      </c>
      <c r="C64" s="625">
        <v>0</v>
      </c>
      <c r="D64" s="625">
        <v>0</v>
      </c>
      <c r="E64" s="625">
        <v>0</v>
      </c>
      <c r="F64" s="625">
        <f t="shared" si="11"/>
        <v>0</v>
      </c>
      <c r="G64" s="625">
        <v>0</v>
      </c>
      <c r="H64" s="630">
        <v>14100</v>
      </c>
      <c r="I64" s="625">
        <v>0</v>
      </c>
      <c r="J64" s="630">
        <f t="shared" si="151"/>
        <v>14100</v>
      </c>
      <c r="K64" s="625">
        <v>0</v>
      </c>
      <c r="L64" s="630">
        <v>0</v>
      </c>
      <c r="M64" s="625">
        <v>0</v>
      </c>
      <c r="N64" s="630">
        <f t="shared" si="153"/>
        <v>0</v>
      </c>
      <c r="O64" s="625">
        <v>14100</v>
      </c>
      <c r="P64" s="630">
        <v>0</v>
      </c>
      <c r="Q64" s="625">
        <v>0</v>
      </c>
      <c r="R64" s="630">
        <f t="shared" si="155"/>
        <v>14100</v>
      </c>
      <c r="S64" s="961">
        <v>200000</v>
      </c>
      <c r="T64" s="962">
        <v>0</v>
      </c>
      <c r="U64" s="961">
        <v>0</v>
      </c>
      <c r="V64" s="962">
        <f t="shared" si="157"/>
        <v>200000</v>
      </c>
      <c r="W64" s="625">
        <v>200000</v>
      </c>
      <c r="X64" s="630">
        <v>0</v>
      </c>
      <c r="Y64" s="625">
        <v>0</v>
      </c>
      <c r="Z64" s="630">
        <f t="shared" si="159"/>
        <v>200000</v>
      </c>
      <c r="AA64" s="625">
        <v>200000</v>
      </c>
      <c r="AB64" s="630">
        <v>0</v>
      </c>
      <c r="AC64" s="625">
        <v>0</v>
      </c>
      <c r="AD64" s="630">
        <f t="shared" si="161"/>
        <v>200000</v>
      </c>
      <c r="AE64" s="961">
        <v>200000</v>
      </c>
      <c r="AF64" s="962">
        <v>0</v>
      </c>
      <c r="AG64" s="961">
        <v>0</v>
      </c>
      <c r="AH64" s="962">
        <f t="shared" si="163"/>
        <v>200000</v>
      </c>
    </row>
    <row r="65" spans="1:34" x14ac:dyDescent="0.25">
      <c r="A65" s="618"/>
      <c r="B65" s="629" t="s">
        <v>519</v>
      </c>
      <c r="C65" s="625">
        <v>0</v>
      </c>
      <c r="D65" s="625">
        <v>0</v>
      </c>
      <c r="E65" s="625">
        <v>0</v>
      </c>
      <c r="F65" s="625">
        <f t="shared" si="11"/>
        <v>0</v>
      </c>
      <c r="G65" s="625">
        <v>0</v>
      </c>
      <c r="H65" s="630">
        <v>0</v>
      </c>
      <c r="I65" s="625">
        <v>0</v>
      </c>
      <c r="J65" s="630">
        <f t="shared" si="151"/>
        <v>0</v>
      </c>
      <c r="K65" s="625">
        <v>0</v>
      </c>
      <c r="L65" s="630">
        <v>0</v>
      </c>
      <c r="M65" s="625">
        <v>0</v>
      </c>
      <c r="N65" s="630">
        <f t="shared" si="153"/>
        <v>0</v>
      </c>
      <c r="O65" s="625">
        <v>0</v>
      </c>
      <c r="P65" s="630">
        <v>0</v>
      </c>
      <c r="Q65" s="625">
        <v>0</v>
      </c>
      <c r="R65" s="630">
        <f t="shared" si="155"/>
        <v>0</v>
      </c>
      <c r="S65" s="961">
        <v>0</v>
      </c>
      <c r="T65" s="962">
        <v>0</v>
      </c>
      <c r="U65" s="961">
        <v>0</v>
      </c>
      <c r="V65" s="962">
        <f t="shared" si="157"/>
        <v>0</v>
      </c>
      <c r="W65" s="625">
        <v>0</v>
      </c>
      <c r="X65" s="630">
        <v>0</v>
      </c>
      <c r="Y65" s="625">
        <v>0</v>
      </c>
      <c r="Z65" s="630">
        <f t="shared" si="159"/>
        <v>0</v>
      </c>
      <c r="AA65" s="625">
        <v>0</v>
      </c>
      <c r="AB65" s="630">
        <v>0</v>
      </c>
      <c r="AC65" s="625">
        <v>0</v>
      </c>
      <c r="AD65" s="630">
        <f t="shared" si="161"/>
        <v>0</v>
      </c>
      <c r="AE65" s="961">
        <v>0</v>
      </c>
      <c r="AF65" s="962">
        <v>0</v>
      </c>
      <c r="AG65" s="961">
        <v>0</v>
      </c>
      <c r="AH65" s="962">
        <f t="shared" si="163"/>
        <v>0</v>
      </c>
    </row>
    <row r="66" spans="1:34" x14ac:dyDescent="0.25">
      <c r="A66" s="618"/>
      <c r="B66" s="629" t="s">
        <v>520</v>
      </c>
      <c r="C66" s="625">
        <v>0</v>
      </c>
      <c r="D66" s="625">
        <v>0</v>
      </c>
      <c r="E66" s="625">
        <v>0</v>
      </c>
      <c r="F66" s="625">
        <f t="shared" si="11"/>
        <v>0</v>
      </c>
      <c r="G66" s="625">
        <v>0</v>
      </c>
      <c r="H66" s="630">
        <v>0</v>
      </c>
      <c r="I66" s="625">
        <v>0</v>
      </c>
      <c r="J66" s="630">
        <f t="shared" si="151"/>
        <v>0</v>
      </c>
      <c r="K66" s="625">
        <v>0</v>
      </c>
      <c r="L66" s="630">
        <v>153384</v>
      </c>
      <c r="M66" s="625">
        <v>0</v>
      </c>
      <c r="N66" s="630">
        <f t="shared" si="153"/>
        <v>153384</v>
      </c>
      <c r="O66" s="625">
        <v>7000</v>
      </c>
      <c r="P66" s="630"/>
      <c r="Q66" s="625">
        <v>0</v>
      </c>
      <c r="R66" s="630">
        <f t="shared" si="155"/>
        <v>7000</v>
      </c>
      <c r="S66" s="961">
        <v>0</v>
      </c>
      <c r="T66" s="962">
        <v>0</v>
      </c>
      <c r="U66" s="961">
        <v>0</v>
      </c>
      <c r="V66" s="962">
        <f t="shared" si="157"/>
        <v>0</v>
      </c>
      <c r="W66" s="625">
        <v>0</v>
      </c>
      <c r="X66" s="630">
        <v>0</v>
      </c>
      <c r="Y66" s="625">
        <v>0</v>
      </c>
      <c r="Z66" s="630">
        <f t="shared" si="159"/>
        <v>0</v>
      </c>
      <c r="AA66" s="625">
        <v>0</v>
      </c>
      <c r="AB66" s="630">
        <v>0</v>
      </c>
      <c r="AC66" s="625">
        <v>0</v>
      </c>
      <c r="AD66" s="630">
        <f t="shared" si="161"/>
        <v>0</v>
      </c>
      <c r="AE66" s="961">
        <v>39116</v>
      </c>
      <c r="AF66" s="962">
        <v>0</v>
      </c>
      <c r="AG66" s="961">
        <v>0</v>
      </c>
      <c r="AH66" s="962">
        <f t="shared" si="163"/>
        <v>39116</v>
      </c>
    </row>
    <row r="67" spans="1:34" x14ac:dyDescent="0.25">
      <c r="A67" s="615" t="s">
        <v>322</v>
      </c>
      <c r="B67" s="616" t="s">
        <v>257</v>
      </c>
      <c r="C67" s="617">
        <f t="shared" ref="C67:D67" si="173">C68+C69+C73+C74</f>
        <v>0</v>
      </c>
      <c r="D67" s="617">
        <f t="shared" si="173"/>
        <v>385369</v>
      </c>
      <c r="E67" s="617">
        <f t="shared" ref="E67" si="174">E68+E69+E73+E74</f>
        <v>0</v>
      </c>
      <c r="F67" s="617">
        <f t="shared" si="11"/>
        <v>385369</v>
      </c>
      <c r="G67" s="617">
        <f t="shared" ref="G67:I67" si="175">G68+G69+G73+G74</f>
        <v>0</v>
      </c>
      <c r="H67" s="617">
        <f t="shared" si="175"/>
        <v>495556</v>
      </c>
      <c r="I67" s="617">
        <f t="shared" si="175"/>
        <v>0</v>
      </c>
      <c r="J67" s="617">
        <f t="shared" si="151"/>
        <v>495556</v>
      </c>
      <c r="K67" s="617">
        <f t="shared" ref="K67:M67" si="176">K68+K69+K73+K74</f>
        <v>0</v>
      </c>
      <c r="L67" s="617">
        <f t="shared" si="176"/>
        <v>153404</v>
      </c>
      <c r="M67" s="617">
        <f t="shared" si="176"/>
        <v>0</v>
      </c>
      <c r="N67" s="617">
        <f t="shared" si="153"/>
        <v>153404</v>
      </c>
      <c r="O67" s="617">
        <f t="shared" ref="O67:Q67" si="177">O68+O69+O73+O74</f>
        <v>498415</v>
      </c>
      <c r="P67" s="617">
        <f t="shared" si="177"/>
        <v>0</v>
      </c>
      <c r="Q67" s="617">
        <f t="shared" si="177"/>
        <v>0</v>
      </c>
      <c r="R67" s="617">
        <f t="shared" si="155"/>
        <v>498415</v>
      </c>
      <c r="S67" s="617">
        <f t="shared" ref="S67:U67" si="178">S68+S69+S73+S74</f>
        <v>243000</v>
      </c>
      <c r="T67" s="617">
        <f t="shared" si="178"/>
        <v>0</v>
      </c>
      <c r="U67" s="617">
        <f t="shared" si="178"/>
        <v>0</v>
      </c>
      <c r="V67" s="617">
        <f t="shared" si="157"/>
        <v>243000</v>
      </c>
      <c r="W67" s="617">
        <f t="shared" ref="W67:Y67" si="179">W68+W69+W73+W74</f>
        <v>243000</v>
      </c>
      <c r="X67" s="617">
        <f t="shared" si="179"/>
        <v>0</v>
      </c>
      <c r="Y67" s="617">
        <f t="shared" si="179"/>
        <v>0</v>
      </c>
      <c r="Z67" s="617">
        <f t="shared" si="159"/>
        <v>243000</v>
      </c>
      <c r="AA67" s="617">
        <f t="shared" ref="AA67:AC67" si="180">AA68+AA69+AA73+AA74</f>
        <v>243000</v>
      </c>
      <c r="AB67" s="617">
        <f t="shared" si="180"/>
        <v>0</v>
      </c>
      <c r="AC67" s="617">
        <f t="shared" si="180"/>
        <v>0</v>
      </c>
      <c r="AD67" s="617">
        <f t="shared" si="161"/>
        <v>243000</v>
      </c>
      <c r="AE67" s="617">
        <f t="shared" ref="AE67:AG67" si="181">AE68+AE69+AE73+AE74</f>
        <v>243000</v>
      </c>
      <c r="AF67" s="617">
        <f t="shared" si="181"/>
        <v>0</v>
      </c>
      <c r="AG67" s="617">
        <f t="shared" si="181"/>
        <v>0</v>
      </c>
      <c r="AH67" s="617">
        <f t="shared" si="163"/>
        <v>243000</v>
      </c>
    </row>
    <row r="68" spans="1:34" x14ac:dyDescent="0.25">
      <c r="A68" s="618"/>
      <c r="B68" s="629" t="s">
        <v>323</v>
      </c>
      <c r="C68" s="625">
        <v>0</v>
      </c>
      <c r="D68" s="625">
        <v>0</v>
      </c>
      <c r="E68" s="625">
        <v>0</v>
      </c>
      <c r="F68" s="625">
        <f t="shared" si="11"/>
        <v>0</v>
      </c>
      <c r="G68" s="625">
        <v>0</v>
      </c>
      <c r="H68" s="625">
        <v>0</v>
      </c>
      <c r="I68" s="625">
        <v>0</v>
      </c>
      <c r="J68" s="625">
        <f t="shared" si="151"/>
        <v>0</v>
      </c>
      <c r="K68" s="625">
        <v>0</v>
      </c>
      <c r="L68" s="625">
        <v>0</v>
      </c>
      <c r="M68" s="625">
        <v>0</v>
      </c>
      <c r="N68" s="625">
        <f t="shared" si="153"/>
        <v>0</v>
      </c>
      <c r="O68" s="625">
        <v>0</v>
      </c>
      <c r="P68" s="625">
        <v>0</v>
      </c>
      <c r="Q68" s="625">
        <v>0</v>
      </c>
      <c r="R68" s="625">
        <f t="shared" si="155"/>
        <v>0</v>
      </c>
      <c r="S68" s="961">
        <v>0</v>
      </c>
      <c r="T68" s="961">
        <v>0</v>
      </c>
      <c r="U68" s="961">
        <v>0</v>
      </c>
      <c r="V68" s="961">
        <f t="shared" si="157"/>
        <v>0</v>
      </c>
      <c r="W68" s="625">
        <v>0</v>
      </c>
      <c r="X68" s="625">
        <v>0</v>
      </c>
      <c r="Y68" s="625">
        <v>0</v>
      </c>
      <c r="Z68" s="625">
        <f t="shared" si="159"/>
        <v>0</v>
      </c>
      <c r="AA68" s="625">
        <v>0</v>
      </c>
      <c r="AB68" s="625">
        <v>0</v>
      </c>
      <c r="AC68" s="625">
        <v>0</v>
      </c>
      <c r="AD68" s="625">
        <f t="shared" si="161"/>
        <v>0</v>
      </c>
      <c r="AE68" s="961">
        <v>0</v>
      </c>
      <c r="AF68" s="961">
        <v>0</v>
      </c>
      <c r="AG68" s="961">
        <v>0</v>
      </c>
      <c r="AH68" s="961">
        <f t="shared" si="163"/>
        <v>0</v>
      </c>
    </row>
    <row r="69" spans="1:34" x14ac:dyDescent="0.25">
      <c r="A69" s="618"/>
      <c r="B69" s="629" t="s">
        <v>521</v>
      </c>
      <c r="C69" s="625">
        <f t="shared" ref="C69:E69" si="182">SUM(C70:C72)</f>
        <v>0</v>
      </c>
      <c r="D69" s="625">
        <f t="shared" si="182"/>
        <v>385369</v>
      </c>
      <c r="E69" s="625">
        <f t="shared" si="182"/>
        <v>0</v>
      </c>
      <c r="F69" s="625">
        <f t="shared" si="11"/>
        <v>385369</v>
      </c>
      <c r="G69" s="625">
        <f t="shared" ref="G69:I69" si="183">SUM(G70:G72)</f>
        <v>0</v>
      </c>
      <c r="H69" s="625">
        <f t="shared" si="183"/>
        <v>495556</v>
      </c>
      <c r="I69" s="625">
        <f t="shared" si="183"/>
        <v>0</v>
      </c>
      <c r="J69" s="625">
        <f t="shared" si="151"/>
        <v>495556</v>
      </c>
      <c r="K69" s="625">
        <f t="shared" ref="K69:M69" si="184">SUM(K70:K72)</f>
        <v>0</v>
      </c>
      <c r="L69" s="625">
        <f t="shared" si="184"/>
        <v>153404</v>
      </c>
      <c r="M69" s="625">
        <f t="shared" si="184"/>
        <v>0</v>
      </c>
      <c r="N69" s="625">
        <f t="shared" si="153"/>
        <v>153404</v>
      </c>
      <c r="O69" s="625">
        <f t="shared" ref="O69:Q69" si="185">SUM(O70:O72)</f>
        <v>498415</v>
      </c>
      <c r="P69" s="625">
        <f t="shared" si="185"/>
        <v>0</v>
      </c>
      <c r="Q69" s="625">
        <f t="shared" si="185"/>
        <v>0</v>
      </c>
      <c r="R69" s="625">
        <f t="shared" si="155"/>
        <v>498415</v>
      </c>
      <c r="S69" s="961">
        <f t="shared" ref="S69:U69" si="186">SUM(S70:S72)</f>
        <v>243000</v>
      </c>
      <c r="T69" s="961">
        <f t="shared" si="186"/>
        <v>0</v>
      </c>
      <c r="U69" s="961">
        <f t="shared" si="186"/>
        <v>0</v>
      </c>
      <c r="V69" s="961">
        <f t="shared" si="157"/>
        <v>243000</v>
      </c>
      <c r="W69" s="625">
        <f t="shared" ref="W69:Y69" si="187">SUM(W70:W72)</f>
        <v>243000</v>
      </c>
      <c r="X69" s="625">
        <f t="shared" si="187"/>
        <v>0</v>
      </c>
      <c r="Y69" s="625">
        <f t="shared" si="187"/>
        <v>0</v>
      </c>
      <c r="Z69" s="625">
        <f t="shared" si="159"/>
        <v>243000</v>
      </c>
      <c r="AA69" s="625">
        <f t="shared" ref="AA69:AC69" si="188">SUM(AA70:AA72)</f>
        <v>243000</v>
      </c>
      <c r="AB69" s="625">
        <f t="shared" si="188"/>
        <v>0</v>
      </c>
      <c r="AC69" s="625">
        <f t="shared" si="188"/>
        <v>0</v>
      </c>
      <c r="AD69" s="625">
        <f t="shared" si="161"/>
        <v>243000</v>
      </c>
      <c r="AE69" s="961">
        <f t="shared" ref="AE69:AG69" si="189">SUM(AE70:AE72)</f>
        <v>243000</v>
      </c>
      <c r="AF69" s="961">
        <f t="shared" si="189"/>
        <v>0</v>
      </c>
      <c r="AG69" s="961">
        <f t="shared" si="189"/>
        <v>0</v>
      </c>
      <c r="AH69" s="961">
        <f t="shared" si="163"/>
        <v>243000</v>
      </c>
    </row>
    <row r="70" spans="1:34" x14ac:dyDescent="0.25">
      <c r="A70" s="618"/>
      <c r="B70" s="622" t="s">
        <v>522</v>
      </c>
      <c r="C70" s="624">
        <v>0</v>
      </c>
      <c r="D70" s="624">
        <v>2049</v>
      </c>
      <c r="E70" s="624">
        <v>0</v>
      </c>
      <c r="F70" s="624">
        <f t="shared" si="11"/>
        <v>2049</v>
      </c>
      <c r="G70" s="624">
        <v>0</v>
      </c>
      <c r="H70" s="624">
        <v>2049</v>
      </c>
      <c r="I70" s="624">
        <v>0</v>
      </c>
      <c r="J70" s="624">
        <f t="shared" si="151"/>
        <v>2049</v>
      </c>
      <c r="K70" s="624">
        <v>0</v>
      </c>
      <c r="L70" s="624">
        <v>3404</v>
      </c>
      <c r="M70" s="624">
        <v>0</v>
      </c>
      <c r="N70" s="624">
        <f t="shared" si="153"/>
        <v>3404</v>
      </c>
      <c r="O70" s="624">
        <v>0</v>
      </c>
      <c r="P70" s="624"/>
      <c r="Q70" s="624">
        <v>0</v>
      </c>
      <c r="R70" s="624">
        <f t="shared" si="155"/>
        <v>0</v>
      </c>
      <c r="S70" s="960">
        <v>0</v>
      </c>
      <c r="T70" s="960"/>
      <c r="U70" s="960">
        <v>0</v>
      </c>
      <c r="V70" s="960">
        <f t="shared" si="157"/>
        <v>0</v>
      </c>
      <c r="W70" s="624">
        <v>0</v>
      </c>
      <c r="X70" s="624"/>
      <c r="Y70" s="624">
        <v>0</v>
      </c>
      <c r="Z70" s="624">
        <f t="shared" si="159"/>
        <v>0</v>
      </c>
      <c r="AA70" s="624">
        <v>0</v>
      </c>
      <c r="AB70" s="624"/>
      <c r="AC70" s="624">
        <v>0</v>
      </c>
      <c r="AD70" s="624">
        <f t="shared" si="161"/>
        <v>0</v>
      </c>
      <c r="AE70" s="960">
        <v>0</v>
      </c>
      <c r="AF70" s="960"/>
      <c r="AG70" s="960">
        <v>0</v>
      </c>
      <c r="AH70" s="960">
        <f t="shared" si="163"/>
        <v>0</v>
      </c>
    </row>
    <row r="71" spans="1:34" x14ac:dyDescent="0.25">
      <c r="A71" s="618"/>
      <c r="B71" s="622" t="s">
        <v>523</v>
      </c>
      <c r="C71" s="624">
        <v>0</v>
      </c>
      <c r="D71" s="624">
        <v>0</v>
      </c>
      <c r="E71" s="624">
        <v>0</v>
      </c>
      <c r="F71" s="624">
        <f t="shared" si="11"/>
        <v>0</v>
      </c>
      <c r="G71" s="624">
        <v>0</v>
      </c>
      <c r="H71" s="624">
        <v>0</v>
      </c>
      <c r="I71" s="624">
        <v>0</v>
      </c>
      <c r="J71" s="624">
        <f t="shared" si="151"/>
        <v>0</v>
      </c>
      <c r="K71" s="624">
        <v>0</v>
      </c>
      <c r="L71" s="624">
        <v>0</v>
      </c>
      <c r="M71" s="624">
        <v>0</v>
      </c>
      <c r="N71" s="624">
        <f t="shared" si="153"/>
        <v>0</v>
      </c>
      <c r="O71" s="624">
        <v>0</v>
      </c>
      <c r="P71" s="624">
        <v>0</v>
      </c>
      <c r="Q71" s="624">
        <v>0</v>
      </c>
      <c r="R71" s="624">
        <f t="shared" si="155"/>
        <v>0</v>
      </c>
      <c r="S71" s="960">
        <v>0</v>
      </c>
      <c r="T71" s="960">
        <v>0</v>
      </c>
      <c r="U71" s="960">
        <v>0</v>
      </c>
      <c r="V71" s="960">
        <f t="shared" si="157"/>
        <v>0</v>
      </c>
      <c r="W71" s="624">
        <v>0</v>
      </c>
      <c r="X71" s="624">
        <v>0</v>
      </c>
      <c r="Y71" s="624">
        <v>0</v>
      </c>
      <c r="Z71" s="624">
        <f t="shared" si="159"/>
        <v>0</v>
      </c>
      <c r="AA71" s="624">
        <v>0</v>
      </c>
      <c r="AB71" s="624">
        <v>0</v>
      </c>
      <c r="AC71" s="624">
        <v>0</v>
      </c>
      <c r="AD71" s="624">
        <f t="shared" si="161"/>
        <v>0</v>
      </c>
      <c r="AE71" s="960">
        <v>0</v>
      </c>
      <c r="AF71" s="960">
        <v>0</v>
      </c>
      <c r="AG71" s="960">
        <v>0</v>
      </c>
      <c r="AH71" s="960">
        <f t="shared" si="163"/>
        <v>0</v>
      </c>
    </row>
    <row r="72" spans="1:34" x14ac:dyDescent="0.25">
      <c r="A72" s="683"/>
      <c r="B72" s="684" t="s">
        <v>524</v>
      </c>
      <c r="C72" s="685">
        <v>0</v>
      </c>
      <c r="D72" s="685">
        <v>383320</v>
      </c>
      <c r="E72" s="685">
        <v>0</v>
      </c>
      <c r="F72" s="685">
        <f t="shared" si="11"/>
        <v>383320</v>
      </c>
      <c r="G72" s="685">
        <v>0</v>
      </c>
      <c r="H72" s="685">
        <f>383320+110187</f>
        <v>493507</v>
      </c>
      <c r="I72" s="685">
        <v>0</v>
      </c>
      <c r="J72" s="685">
        <f t="shared" si="151"/>
        <v>493507</v>
      </c>
      <c r="K72" s="685">
        <v>0</v>
      </c>
      <c r="L72" s="685">
        <v>150000</v>
      </c>
      <c r="M72" s="685">
        <v>0</v>
      </c>
      <c r="N72" s="685">
        <f t="shared" si="153"/>
        <v>150000</v>
      </c>
      <c r="O72" s="685">
        <v>498415</v>
      </c>
      <c r="P72" s="685"/>
      <c r="Q72" s="685">
        <v>0</v>
      </c>
      <c r="R72" s="685">
        <f t="shared" si="155"/>
        <v>498415</v>
      </c>
      <c r="S72" s="960">
        <f>10000+230000+3000</f>
        <v>243000</v>
      </c>
      <c r="T72" s="960"/>
      <c r="U72" s="960">
        <v>0</v>
      </c>
      <c r="V72" s="960">
        <f t="shared" si="157"/>
        <v>243000</v>
      </c>
      <c r="W72" s="685">
        <f>10000+230000+3000</f>
        <v>243000</v>
      </c>
      <c r="X72" s="685"/>
      <c r="Y72" s="685">
        <v>0</v>
      </c>
      <c r="Z72" s="685">
        <f t="shared" si="159"/>
        <v>243000</v>
      </c>
      <c r="AA72" s="685">
        <f>10000+230000+3000</f>
        <v>243000</v>
      </c>
      <c r="AB72" s="685"/>
      <c r="AC72" s="685">
        <v>0</v>
      </c>
      <c r="AD72" s="685">
        <f t="shared" si="161"/>
        <v>243000</v>
      </c>
      <c r="AE72" s="925">
        <f>243000</f>
        <v>243000</v>
      </c>
      <c r="AF72" s="925"/>
      <c r="AG72" s="925">
        <v>0</v>
      </c>
      <c r="AH72" s="925">
        <f t="shared" si="163"/>
        <v>243000</v>
      </c>
    </row>
    <row r="73" spans="1:34" x14ac:dyDescent="0.25">
      <c r="A73" s="618"/>
      <c r="B73" s="629" t="s">
        <v>525</v>
      </c>
      <c r="C73" s="625">
        <v>0</v>
      </c>
      <c r="D73" s="625">
        <v>0</v>
      </c>
      <c r="E73" s="625">
        <v>0</v>
      </c>
      <c r="F73" s="625">
        <f t="shared" si="11"/>
        <v>0</v>
      </c>
      <c r="G73" s="625">
        <v>0</v>
      </c>
      <c r="H73" s="625">
        <v>0</v>
      </c>
      <c r="I73" s="625">
        <v>0</v>
      </c>
      <c r="J73" s="625">
        <f t="shared" si="151"/>
        <v>0</v>
      </c>
      <c r="K73" s="625">
        <v>0</v>
      </c>
      <c r="L73" s="625">
        <v>0</v>
      </c>
      <c r="M73" s="625">
        <v>0</v>
      </c>
      <c r="N73" s="625">
        <f t="shared" si="153"/>
        <v>0</v>
      </c>
      <c r="O73" s="625">
        <v>0</v>
      </c>
      <c r="P73" s="625">
        <v>0</v>
      </c>
      <c r="Q73" s="625">
        <v>0</v>
      </c>
      <c r="R73" s="625">
        <f t="shared" si="155"/>
        <v>0</v>
      </c>
      <c r="S73" s="961">
        <v>0</v>
      </c>
      <c r="T73" s="961">
        <v>0</v>
      </c>
      <c r="U73" s="961">
        <v>0</v>
      </c>
      <c r="V73" s="961">
        <f t="shared" si="157"/>
        <v>0</v>
      </c>
      <c r="W73" s="625">
        <v>0</v>
      </c>
      <c r="X73" s="625">
        <v>0</v>
      </c>
      <c r="Y73" s="625">
        <v>0</v>
      </c>
      <c r="Z73" s="625">
        <f t="shared" si="159"/>
        <v>0</v>
      </c>
      <c r="AA73" s="625">
        <v>0</v>
      </c>
      <c r="AB73" s="625">
        <v>0</v>
      </c>
      <c r="AC73" s="625">
        <v>0</v>
      </c>
      <c r="AD73" s="625">
        <f t="shared" si="161"/>
        <v>0</v>
      </c>
      <c r="AE73" s="961">
        <v>0</v>
      </c>
      <c r="AF73" s="961">
        <v>0</v>
      </c>
      <c r="AG73" s="961">
        <v>0</v>
      </c>
      <c r="AH73" s="961">
        <f t="shared" si="163"/>
        <v>0</v>
      </c>
    </row>
    <row r="74" spans="1:34" x14ac:dyDescent="0.25">
      <c r="A74" s="618"/>
      <c r="B74" s="629" t="s">
        <v>526</v>
      </c>
      <c r="C74" s="625">
        <v>0</v>
      </c>
      <c r="D74" s="625">
        <v>0</v>
      </c>
      <c r="E74" s="625">
        <v>0</v>
      </c>
      <c r="F74" s="625">
        <f t="shared" si="11"/>
        <v>0</v>
      </c>
      <c r="G74" s="625">
        <v>0</v>
      </c>
      <c r="H74" s="625">
        <v>0</v>
      </c>
      <c r="I74" s="625">
        <v>0</v>
      </c>
      <c r="J74" s="625">
        <f t="shared" si="151"/>
        <v>0</v>
      </c>
      <c r="K74" s="625">
        <v>0</v>
      </c>
      <c r="L74" s="625">
        <v>0</v>
      </c>
      <c r="M74" s="625">
        <v>0</v>
      </c>
      <c r="N74" s="625">
        <f t="shared" si="153"/>
        <v>0</v>
      </c>
      <c r="O74" s="625">
        <v>0</v>
      </c>
      <c r="P74" s="625">
        <v>0</v>
      </c>
      <c r="Q74" s="625">
        <v>0</v>
      </c>
      <c r="R74" s="625">
        <f t="shared" si="155"/>
        <v>0</v>
      </c>
      <c r="S74" s="961">
        <v>0</v>
      </c>
      <c r="T74" s="961">
        <v>0</v>
      </c>
      <c r="U74" s="961">
        <v>0</v>
      </c>
      <c r="V74" s="961">
        <f t="shared" si="157"/>
        <v>0</v>
      </c>
      <c r="W74" s="625">
        <v>0</v>
      </c>
      <c r="X74" s="625">
        <v>0</v>
      </c>
      <c r="Y74" s="625">
        <v>0</v>
      </c>
      <c r="Z74" s="625">
        <f t="shared" si="159"/>
        <v>0</v>
      </c>
      <c r="AA74" s="625">
        <v>0</v>
      </c>
      <c r="AB74" s="625">
        <v>0</v>
      </c>
      <c r="AC74" s="625">
        <v>0</v>
      </c>
      <c r="AD74" s="625">
        <f t="shared" si="161"/>
        <v>0</v>
      </c>
      <c r="AE74" s="961">
        <v>0</v>
      </c>
      <c r="AF74" s="961">
        <v>0</v>
      </c>
      <c r="AG74" s="961">
        <v>0</v>
      </c>
      <c r="AH74" s="961">
        <f t="shared" si="163"/>
        <v>0</v>
      </c>
    </row>
    <row r="75" spans="1:34" x14ac:dyDescent="0.25">
      <c r="A75" s="615" t="s">
        <v>315</v>
      </c>
      <c r="B75" s="616" t="s">
        <v>325</v>
      </c>
      <c r="C75" s="617">
        <f t="shared" ref="C75:D75" si="190">C78+C82+C76+C77</f>
        <v>4186</v>
      </c>
      <c r="D75" s="617">
        <f t="shared" si="190"/>
        <v>1614</v>
      </c>
      <c r="E75" s="617">
        <f t="shared" ref="E75" si="191">E78+E82+E76+E77</f>
        <v>0</v>
      </c>
      <c r="F75" s="617">
        <f t="shared" ref="F75:F108" si="192">SUM(C75:E75)</f>
        <v>5800</v>
      </c>
      <c r="G75" s="617">
        <f>G78+G82+G76+G77+G89</f>
        <v>70588</v>
      </c>
      <c r="H75" s="617">
        <f>H78+H82+H76+H77+H89</f>
        <v>11614</v>
      </c>
      <c r="I75" s="617">
        <f>I78+I82+I76+I77+I89</f>
        <v>0</v>
      </c>
      <c r="J75" s="617">
        <f t="shared" ref="J75:J93" si="193">SUM(G75:I75)</f>
        <v>82202</v>
      </c>
      <c r="K75" s="617">
        <f t="shared" ref="K75:M75" si="194">K78+K82+K76+K77</f>
        <v>4186</v>
      </c>
      <c r="L75" s="617">
        <f t="shared" si="194"/>
        <v>139740</v>
      </c>
      <c r="M75" s="617">
        <f t="shared" si="194"/>
        <v>0</v>
      </c>
      <c r="N75" s="617">
        <f t="shared" ref="N75:N93" si="195">SUM(K75:M75)</f>
        <v>143926</v>
      </c>
      <c r="O75" s="617">
        <f>O78+O82+O76+O77+O89</f>
        <v>68945</v>
      </c>
      <c r="P75" s="617">
        <f t="shared" ref="P75:Q75" si="196">P78+P82+P76+P77</f>
        <v>0</v>
      </c>
      <c r="Q75" s="617">
        <f t="shared" si="196"/>
        <v>0</v>
      </c>
      <c r="R75" s="617">
        <f t="shared" ref="R75:R93" si="197">SUM(O75:Q75)</f>
        <v>68945</v>
      </c>
      <c r="S75" s="617">
        <f>S78+S82+S76+S77+S89</f>
        <v>49377</v>
      </c>
      <c r="T75" s="617">
        <f t="shared" ref="T75:U75" si="198">T78+T82+T76+T77</f>
        <v>1650</v>
      </c>
      <c r="U75" s="617">
        <f t="shared" si="198"/>
        <v>0</v>
      </c>
      <c r="V75" s="617">
        <f t="shared" ref="V75:V93" si="199">SUM(S75:U75)</f>
        <v>51027</v>
      </c>
      <c r="W75" s="617">
        <f>W78+W82+W76+W77+W89</f>
        <v>49377</v>
      </c>
      <c r="X75" s="617">
        <f t="shared" ref="X75:Y75" si="200">X78+X82+X76+X77</f>
        <v>1650</v>
      </c>
      <c r="Y75" s="617">
        <f t="shared" si="200"/>
        <v>0</v>
      </c>
      <c r="Z75" s="617">
        <f t="shared" ref="Z75:Z88" si="201">SUM(W75:Y75)</f>
        <v>51027</v>
      </c>
      <c r="AA75" s="617">
        <f>AA78+AA82+AA76+AA77+AA89</f>
        <v>49377</v>
      </c>
      <c r="AB75" s="617">
        <f t="shared" ref="AB75:AC75" si="202">AB78+AB82+AB76+AB77</f>
        <v>1650</v>
      </c>
      <c r="AC75" s="617">
        <f t="shared" si="202"/>
        <v>0</v>
      </c>
      <c r="AD75" s="617">
        <f t="shared" ref="AD75:AD88" si="203">SUM(AA75:AC75)</f>
        <v>51027</v>
      </c>
      <c r="AE75" s="617">
        <f>AE78+AE82+AE76+AE77+AE89</f>
        <v>49377</v>
      </c>
      <c r="AF75" s="617">
        <f t="shared" ref="AF75:AG75" si="204">AF78+AF82+AF76+AF77</f>
        <v>1650</v>
      </c>
      <c r="AG75" s="617">
        <f t="shared" si="204"/>
        <v>0</v>
      </c>
      <c r="AH75" s="617">
        <f t="shared" ref="AH75:AH88" si="205">SUM(AE75:AG75)</f>
        <v>51027</v>
      </c>
    </row>
    <row r="76" spans="1:34" x14ac:dyDescent="0.25">
      <c r="A76" s="618"/>
      <c r="B76" s="629" t="s">
        <v>527</v>
      </c>
      <c r="C76" s="625">
        <v>0</v>
      </c>
      <c r="D76" s="625">
        <v>0</v>
      </c>
      <c r="E76" s="625">
        <v>0</v>
      </c>
      <c r="F76" s="625">
        <f t="shared" si="192"/>
        <v>0</v>
      </c>
      <c r="G76" s="625">
        <v>0</v>
      </c>
      <c r="H76" s="625">
        <v>0</v>
      </c>
      <c r="I76" s="625">
        <v>0</v>
      </c>
      <c r="J76" s="625">
        <f t="shared" si="193"/>
        <v>0</v>
      </c>
      <c r="K76" s="625">
        <v>0</v>
      </c>
      <c r="L76" s="625">
        <v>0</v>
      </c>
      <c r="M76" s="625">
        <v>0</v>
      </c>
      <c r="N76" s="625">
        <f t="shared" si="195"/>
        <v>0</v>
      </c>
      <c r="O76" s="625">
        <v>0</v>
      </c>
      <c r="P76" s="625"/>
      <c r="Q76" s="625">
        <v>0</v>
      </c>
      <c r="R76" s="625">
        <f t="shared" si="197"/>
        <v>0</v>
      </c>
      <c r="S76" s="961">
        <v>0</v>
      </c>
      <c r="T76" s="961">
        <v>0</v>
      </c>
      <c r="U76" s="961">
        <v>0</v>
      </c>
      <c r="V76" s="961">
        <f t="shared" si="199"/>
        <v>0</v>
      </c>
      <c r="W76" s="625">
        <v>0</v>
      </c>
      <c r="X76" s="625">
        <v>0</v>
      </c>
      <c r="Y76" s="625">
        <v>0</v>
      </c>
      <c r="Z76" s="625">
        <f t="shared" si="201"/>
        <v>0</v>
      </c>
      <c r="AA76" s="625">
        <v>0</v>
      </c>
      <c r="AB76" s="625">
        <v>0</v>
      </c>
      <c r="AC76" s="625">
        <v>0</v>
      </c>
      <c r="AD76" s="625">
        <f t="shared" si="203"/>
        <v>0</v>
      </c>
      <c r="AE76" s="961">
        <v>0</v>
      </c>
      <c r="AF76" s="961">
        <v>0</v>
      </c>
      <c r="AG76" s="961">
        <v>0</v>
      </c>
      <c r="AH76" s="961">
        <f t="shared" si="205"/>
        <v>0</v>
      </c>
    </row>
    <row r="77" spans="1:34" s="621" customFormat="1" ht="45" x14ac:dyDescent="0.25">
      <c r="A77" s="618"/>
      <c r="B77" s="631" t="s">
        <v>528</v>
      </c>
      <c r="C77" s="620">
        <v>0</v>
      </c>
      <c r="D77" s="620">
        <v>0</v>
      </c>
      <c r="E77" s="620">
        <v>0</v>
      </c>
      <c r="F77" s="620">
        <f t="shared" si="192"/>
        <v>0</v>
      </c>
      <c r="G77" s="620">
        <v>0</v>
      </c>
      <c r="H77" s="620">
        <v>0</v>
      </c>
      <c r="I77" s="620">
        <v>0</v>
      </c>
      <c r="J77" s="620">
        <f t="shared" si="193"/>
        <v>0</v>
      </c>
      <c r="K77" s="620">
        <v>0</v>
      </c>
      <c r="L77" s="620">
        <v>0</v>
      </c>
      <c r="M77" s="620">
        <v>0</v>
      </c>
      <c r="N77" s="620">
        <f t="shared" si="195"/>
        <v>0</v>
      </c>
      <c r="O77" s="620">
        <v>0</v>
      </c>
      <c r="P77" s="620">
        <v>0</v>
      </c>
      <c r="Q77" s="620">
        <v>0</v>
      </c>
      <c r="R77" s="620">
        <f t="shared" si="197"/>
        <v>0</v>
      </c>
      <c r="S77" s="958">
        <v>0</v>
      </c>
      <c r="T77" s="958">
        <v>0</v>
      </c>
      <c r="U77" s="958">
        <v>0</v>
      </c>
      <c r="V77" s="958">
        <f t="shared" si="199"/>
        <v>0</v>
      </c>
      <c r="W77" s="620">
        <v>0</v>
      </c>
      <c r="X77" s="620">
        <v>0</v>
      </c>
      <c r="Y77" s="620">
        <v>0</v>
      </c>
      <c r="Z77" s="620">
        <f t="shared" si="201"/>
        <v>0</v>
      </c>
      <c r="AA77" s="620">
        <v>0</v>
      </c>
      <c r="AB77" s="620">
        <v>0</v>
      </c>
      <c r="AC77" s="620">
        <v>0</v>
      </c>
      <c r="AD77" s="620">
        <f t="shared" si="203"/>
        <v>0</v>
      </c>
      <c r="AE77" s="958">
        <v>0</v>
      </c>
      <c r="AF77" s="958">
        <v>0</v>
      </c>
      <c r="AG77" s="958">
        <v>0</v>
      </c>
      <c r="AH77" s="958">
        <f t="shared" si="205"/>
        <v>0</v>
      </c>
    </row>
    <row r="78" spans="1:34" x14ac:dyDescent="0.25">
      <c r="A78" s="618"/>
      <c r="B78" s="629" t="s">
        <v>529</v>
      </c>
      <c r="C78" s="625">
        <f t="shared" ref="C78:D78" si="206">SUM(C79:C81)</f>
        <v>0</v>
      </c>
      <c r="D78" s="625">
        <f t="shared" si="206"/>
        <v>1614</v>
      </c>
      <c r="E78" s="625">
        <f t="shared" ref="E78" si="207">SUM(E79:E81)</f>
        <v>0</v>
      </c>
      <c r="F78" s="625">
        <f t="shared" si="192"/>
        <v>1614</v>
      </c>
      <c r="G78" s="625">
        <f t="shared" ref="G78:I78" si="208">SUM(G79:G81)</f>
        <v>0</v>
      </c>
      <c r="H78" s="625">
        <f t="shared" si="208"/>
        <v>1614</v>
      </c>
      <c r="I78" s="625">
        <f t="shared" si="208"/>
        <v>0</v>
      </c>
      <c r="J78" s="625">
        <f t="shared" si="193"/>
        <v>1614</v>
      </c>
      <c r="K78" s="625">
        <f t="shared" ref="K78:M78" si="209">SUM(K79:K81)</f>
        <v>0</v>
      </c>
      <c r="L78" s="625">
        <f t="shared" si="209"/>
        <v>2815</v>
      </c>
      <c r="M78" s="625">
        <f t="shared" si="209"/>
        <v>0</v>
      </c>
      <c r="N78" s="625">
        <f t="shared" si="195"/>
        <v>2815</v>
      </c>
      <c r="O78" s="625">
        <v>1652</v>
      </c>
      <c r="P78" s="625">
        <f t="shared" ref="P78:Q78" si="210">SUM(P79:P81)</f>
        <v>0</v>
      </c>
      <c r="Q78" s="625">
        <f t="shared" si="210"/>
        <v>0</v>
      </c>
      <c r="R78" s="625">
        <f t="shared" si="197"/>
        <v>1652</v>
      </c>
      <c r="S78" s="961">
        <f t="shared" ref="S78:U78" si="211">SUM(S79:S81)</f>
        <v>0</v>
      </c>
      <c r="T78" s="961">
        <v>1650</v>
      </c>
      <c r="U78" s="961">
        <f t="shared" si="211"/>
        <v>0</v>
      </c>
      <c r="V78" s="961">
        <f t="shared" si="199"/>
        <v>1650</v>
      </c>
      <c r="W78" s="625">
        <f t="shared" ref="W78" si="212">SUM(W79:W81)</f>
        <v>0</v>
      </c>
      <c r="X78" s="625">
        <v>1650</v>
      </c>
      <c r="Y78" s="625">
        <f t="shared" ref="Y78" si="213">SUM(Y79:Y81)</f>
        <v>0</v>
      </c>
      <c r="Z78" s="625">
        <f t="shared" si="201"/>
        <v>1650</v>
      </c>
      <c r="AA78" s="625">
        <f t="shared" ref="AA78" si="214">SUM(AA79:AA81)</f>
        <v>0</v>
      </c>
      <c r="AB78" s="625">
        <v>1650</v>
      </c>
      <c r="AC78" s="625">
        <f t="shared" ref="AC78" si="215">SUM(AC79:AC81)</f>
        <v>0</v>
      </c>
      <c r="AD78" s="625">
        <f t="shared" si="203"/>
        <v>1650</v>
      </c>
      <c r="AE78" s="961">
        <f t="shared" ref="AE78" si="216">SUM(AE79:AE81)</f>
        <v>0</v>
      </c>
      <c r="AF78" s="961">
        <v>1650</v>
      </c>
      <c r="AG78" s="961">
        <f t="shared" ref="AG78" si="217">SUM(AG79:AG81)</f>
        <v>0</v>
      </c>
      <c r="AH78" s="961">
        <f t="shared" si="205"/>
        <v>1650</v>
      </c>
    </row>
    <row r="79" spans="1:34" hidden="1" x14ac:dyDescent="0.25">
      <c r="A79" s="618"/>
      <c r="B79" s="622" t="s">
        <v>530</v>
      </c>
      <c r="C79" s="624">
        <v>0</v>
      </c>
      <c r="D79" s="624">
        <v>390</v>
      </c>
      <c r="E79" s="624">
        <v>0</v>
      </c>
      <c r="F79" s="624">
        <f t="shared" si="192"/>
        <v>390</v>
      </c>
      <c r="G79" s="624">
        <v>0</v>
      </c>
      <c r="H79" s="624">
        <v>390</v>
      </c>
      <c r="I79" s="624">
        <v>0</v>
      </c>
      <c r="J79" s="624">
        <f t="shared" si="193"/>
        <v>390</v>
      </c>
      <c r="K79" s="624">
        <v>0</v>
      </c>
      <c r="L79" s="624">
        <v>1591</v>
      </c>
      <c r="M79" s="624">
        <v>0</v>
      </c>
      <c r="N79" s="624">
        <f t="shared" si="195"/>
        <v>1591</v>
      </c>
      <c r="O79" s="624">
        <v>0</v>
      </c>
      <c r="P79" s="624"/>
      <c r="Q79" s="624">
        <v>0</v>
      </c>
      <c r="R79" s="624">
        <f t="shared" si="197"/>
        <v>0</v>
      </c>
      <c r="S79" s="960">
        <v>0</v>
      </c>
      <c r="T79" s="960"/>
      <c r="U79" s="960">
        <v>0</v>
      </c>
      <c r="V79" s="960">
        <f t="shared" si="199"/>
        <v>0</v>
      </c>
      <c r="W79" s="624">
        <v>0</v>
      </c>
      <c r="X79" s="624"/>
      <c r="Y79" s="624">
        <v>0</v>
      </c>
      <c r="Z79" s="624">
        <f t="shared" si="201"/>
        <v>0</v>
      </c>
      <c r="AA79" s="624">
        <v>0</v>
      </c>
      <c r="AB79" s="624"/>
      <c r="AC79" s="624">
        <v>0</v>
      </c>
      <c r="AD79" s="624">
        <f t="shared" si="203"/>
        <v>0</v>
      </c>
      <c r="AE79" s="960">
        <v>0</v>
      </c>
      <c r="AF79" s="960"/>
      <c r="AG79" s="960">
        <v>0</v>
      </c>
      <c r="AH79" s="960">
        <f t="shared" si="205"/>
        <v>0</v>
      </c>
    </row>
    <row r="80" spans="1:34" hidden="1" x14ac:dyDescent="0.25">
      <c r="A80" s="618"/>
      <c r="B80" s="622" t="s">
        <v>531</v>
      </c>
      <c r="C80" s="624">
        <v>0</v>
      </c>
      <c r="D80" s="624">
        <v>260</v>
      </c>
      <c r="E80" s="624">
        <v>0</v>
      </c>
      <c r="F80" s="624">
        <f t="shared" si="192"/>
        <v>260</v>
      </c>
      <c r="G80" s="624">
        <v>0</v>
      </c>
      <c r="H80" s="624">
        <v>260</v>
      </c>
      <c r="I80" s="624">
        <v>0</v>
      </c>
      <c r="J80" s="624">
        <f t="shared" si="193"/>
        <v>260</v>
      </c>
      <c r="K80" s="624">
        <v>0</v>
      </c>
      <c r="L80" s="624">
        <v>260</v>
      </c>
      <c r="M80" s="624">
        <v>0</v>
      </c>
      <c r="N80" s="624">
        <f t="shared" si="195"/>
        <v>260</v>
      </c>
      <c r="O80" s="624">
        <v>0</v>
      </c>
      <c r="P80" s="624">
        <v>0</v>
      </c>
      <c r="Q80" s="624">
        <v>0</v>
      </c>
      <c r="R80" s="624">
        <f t="shared" si="197"/>
        <v>0</v>
      </c>
      <c r="S80" s="960">
        <v>0</v>
      </c>
      <c r="T80" s="960"/>
      <c r="U80" s="960">
        <v>0</v>
      </c>
      <c r="V80" s="960">
        <f t="shared" si="199"/>
        <v>0</v>
      </c>
      <c r="W80" s="624">
        <v>0</v>
      </c>
      <c r="X80" s="624"/>
      <c r="Y80" s="624">
        <v>0</v>
      </c>
      <c r="Z80" s="624">
        <f t="shared" si="201"/>
        <v>0</v>
      </c>
      <c r="AA80" s="624">
        <v>0</v>
      </c>
      <c r="AB80" s="624"/>
      <c r="AC80" s="624">
        <v>0</v>
      </c>
      <c r="AD80" s="624">
        <f t="shared" si="203"/>
        <v>0</v>
      </c>
      <c r="AE80" s="960">
        <v>0</v>
      </c>
      <c r="AF80" s="960"/>
      <c r="AG80" s="960">
        <v>0</v>
      </c>
      <c r="AH80" s="960">
        <f t="shared" si="205"/>
        <v>0</v>
      </c>
    </row>
    <row r="81" spans="1:34 16365:16365" ht="30" hidden="1" x14ac:dyDescent="0.25">
      <c r="A81" s="618"/>
      <c r="B81" s="622" t="s">
        <v>532</v>
      </c>
      <c r="C81" s="624">
        <v>0</v>
      </c>
      <c r="D81" s="624">
        <v>964</v>
      </c>
      <c r="E81" s="624">
        <v>0</v>
      </c>
      <c r="F81" s="624">
        <f t="shared" si="192"/>
        <v>964</v>
      </c>
      <c r="G81" s="624">
        <v>0</v>
      </c>
      <c r="H81" s="624">
        <v>964</v>
      </c>
      <c r="I81" s="624">
        <v>0</v>
      </c>
      <c r="J81" s="624">
        <f t="shared" si="193"/>
        <v>964</v>
      </c>
      <c r="K81" s="624">
        <v>0</v>
      </c>
      <c r="L81" s="624">
        <v>964</v>
      </c>
      <c r="M81" s="624">
        <v>0</v>
      </c>
      <c r="N81" s="624">
        <f t="shared" si="195"/>
        <v>964</v>
      </c>
      <c r="O81" s="624">
        <v>0</v>
      </c>
      <c r="P81" s="624"/>
      <c r="Q81" s="624">
        <v>0</v>
      </c>
      <c r="R81" s="624">
        <f t="shared" si="197"/>
        <v>0</v>
      </c>
      <c r="S81" s="960">
        <v>0</v>
      </c>
      <c r="T81" s="960"/>
      <c r="U81" s="960">
        <v>0</v>
      </c>
      <c r="V81" s="960">
        <f t="shared" si="199"/>
        <v>0</v>
      </c>
      <c r="W81" s="624">
        <v>0</v>
      </c>
      <c r="X81" s="624"/>
      <c r="Y81" s="624">
        <v>0</v>
      </c>
      <c r="Z81" s="624">
        <f t="shared" si="201"/>
        <v>0</v>
      </c>
      <c r="AA81" s="624">
        <v>0</v>
      </c>
      <c r="AB81" s="624"/>
      <c r="AC81" s="624">
        <v>0</v>
      </c>
      <c r="AD81" s="624">
        <f t="shared" si="203"/>
        <v>0</v>
      </c>
      <c r="AE81" s="960">
        <v>0</v>
      </c>
      <c r="AF81" s="960"/>
      <c r="AG81" s="960">
        <v>0</v>
      </c>
      <c r="AH81" s="960">
        <f t="shared" si="205"/>
        <v>0</v>
      </c>
    </row>
    <row r="82" spans="1:34 16365:16365" x14ac:dyDescent="0.25">
      <c r="A82" s="618"/>
      <c r="B82" s="629" t="s">
        <v>533</v>
      </c>
      <c r="C82" s="625">
        <f t="shared" ref="C82:E82" si="218">SUM(C83:C88)</f>
        <v>4186</v>
      </c>
      <c r="D82" s="625">
        <f t="shared" si="218"/>
        <v>0</v>
      </c>
      <c r="E82" s="625">
        <f t="shared" si="218"/>
        <v>0</v>
      </c>
      <c r="F82" s="625">
        <f t="shared" si="192"/>
        <v>4186</v>
      </c>
      <c r="G82" s="625">
        <f t="shared" ref="G82:I82" si="219">SUM(G83:G88)</f>
        <v>4186</v>
      </c>
      <c r="H82" s="625">
        <f t="shared" si="219"/>
        <v>10000</v>
      </c>
      <c r="I82" s="625">
        <f t="shared" si="219"/>
        <v>0</v>
      </c>
      <c r="J82" s="625">
        <f t="shared" si="193"/>
        <v>14186</v>
      </c>
      <c r="K82" s="625">
        <f t="shared" ref="K82:M82" si="220">SUM(K83:K88)</f>
        <v>4186</v>
      </c>
      <c r="L82" s="625">
        <f t="shared" si="220"/>
        <v>136925</v>
      </c>
      <c r="M82" s="625">
        <f t="shared" si="220"/>
        <v>0</v>
      </c>
      <c r="N82" s="625">
        <f t="shared" si="195"/>
        <v>141111</v>
      </c>
      <c r="O82" s="625">
        <v>891</v>
      </c>
      <c r="P82" s="625">
        <f t="shared" ref="P82:Q82" si="221">SUM(P83:P88)</f>
        <v>0</v>
      </c>
      <c r="Q82" s="625">
        <f t="shared" si="221"/>
        <v>0</v>
      </c>
      <c r="R82" s="625">
        <f t="shared" si="197"/>
        <v>891</v>
      </c>
      <c r="S82" s="961">
        <f t="shared" ref="S82:U82" si="222">SUM(S83:S88)</f>
        <v>49377</v>
      </c>
      <c r="T82" s="961">
        <f t="shared" si="222"/>
        <v>0</v>
      </c>
      <c r="U82" s="961">
        <f t="shared" si="222"/>
        <v>0</v>
      </c>
      <c r="V82" s="961">
        <f t="shared" si="199"/>
        <v>49377</v>
      </c>
      <c r="W82" s="625">
        <f t="shared" ref="W82:Y82" si="223">SUM(W83:W88)</f>
        <v>49377</v>
      </c>
      <c r="X82" s="625">
        <f t="shared" si="223"/>
        <v>0</v>
      </c>
      <c r="Y82" s="625">
        <f t="shared" si="223"/>
        <v>0</v>
      </c>
      <c r="Z82" s="625">
        <f t="shared" si="201"/>
        <v>49377</v>
      </c>
      <c r="AA82" s="625">
        <f t="shared" ref="AA82:AC82" si="224">SUM(AA83:AA88)</f>
        <v>49377</v>
      </c>
      <c r="AB82" s="625">
        <f t="shared" si="224"/>
        <v>0</v>
      </c>
      <c r="AC82" s="625">
        <f t="shared" si="224"/>
        <v>0</v>
      </c>
      <c r="AD82" s="625">
        <f t="shared" si="203"/>
        <v>49377</v>
      </c>
      <c r="AE82" s="961">
        <f t="shared" ref="AE82:AG82" si="225">SUM(AE83:AE88)</f>
        <v>49377</v>
      </c>
      <c r="AF82" s="961">
        <f t="shared" si="225"/>
        <v>0</v>
      </c>
      <c r="AG82" s="961">
        <f t="shared" si="225"/>
        <v>0</v>
      </c>
      <c r="AH82" s="961">
        <f t="shared" si="205"/>
        <v>49377</v>
      </c>
    </row>
    <row r="83" spans="1:34 16365:16365" x14ac:dyDescent="0.25">
      <c r="A83" s="618"/>
      <c r="B83" s="622" t="s">
        <v>534</v>
      </c>
      <c r="C83" s="624">
        <v>1300</v>
      </c>
      <c r="D83" s="624">
        <v>0</v>
      </c>
      <c r="E83" s="624">
        <v>0</v>
      </c>
      <c r="F83" s="624">
        <f t="shared" si="192"/>
        <v>1300</v>
      </c>
      <c r="G83" s="624">
        <v>1300</v>
      </c>
      <c r="H83" s="624">
        <v>0</v>
      </c>
      <c r="I83" s="624">
        <v>0</v>
      </c>
      <c r="J83" s="624">
        <f t="shared" si="193"/>
        <v>1300</v>
      </c>
      <c r="K83" s="624">
        <v>1300</v>
      </c>
      <c r="L83" s="624">
        <v>0</v>
      </c>
      <c r="M83" s="624">
        <v>0</v>
      </c>
      <c r="N83" s="624">
        <f t="shared" si="195"/>
        <v>1300</v>
      </c>
      <c r="O83" s="624"/>
      <c r="P83" s="624"/>
      <c r="Q83" s="624">
        <v>0</v>
      </c>
      <c r="R83" s="624">
        <f t="shared" si="197"/>
        <v>0</v>
      </c>
      <c r="S83" s="960">
        <v>300</v>
      </c>
      <c r="T83" s="960">
        <v>0</v>
      </c>
      <c r="U83" s="960">
        <v>0</v>
      </c>
      <c r="V83" s="960">
        <f t="shared" si="199"/>
        <v>300</v>
      </c>
      <c r="W83" s="624">
        <v>300</v>
      </c>
      <c r="X83" s="624">
        <v>0</v>
      </c>
      <c r="Y83" s="624">
        <v>0</v>
      </c>
      <c r="Z83" s="624">
        <f t="shared" si="201"/>
        <v>300</v>
      </c>
      <c r="AA83" s="624">
        <v>300</v>
      </c>
      <c r="AB83" s="624">
        <v>0</v>
      </c>
      <c r="AC83" s="624">
        <v>0</v>
      </c>
      <c r="AD83" s="624">
        <f t="shared" si="203"/>
        <v>300</v>
      </c>
      <c r="AE83" s="960">
        <v>300</v>
      </c>
      <c r="AF83" s="960">
        <v>0</v>
      </c>
      <c r="AG83" s="960">
        <v>0</v>
      </c>
      <c r="AH83" s="960">
        <f t="shared" si="205"/>
        <v>300</v>
      </c>
    </row>
    <row r="84" spans="1:34 16365:16365" x14ac:dyDescent="0.25">
      <c r="A84" s="618"/>
      <c r="B84" s="622" t="s">
        <v>535</v>
      </c>
      <c r="C84" s="624">
        <v>1390</v>
      </c>
      <c r="D84" s="624">
        <v>0</v>
      </c>
      <c r="E84" s="624">
        <v>0</v>
      </c>
      <c r="F84" s="624">
        <f t="shared" si="192"/>
        <v>1390</v>
      </c>
      <c r="G84" s="624">
        <v>1390</v>
      </c>
      <c r="H84" s="624">
        <v>0</v>
      </c>
      <c r="I84" s="624">
        <v>0</v>
      </c>
      <c r="J84" s="624">
        <f t="shared" si="193"/>
        <v>1390</v>
      </c>
      <c r="K84" s="624">
        <v>1390</v>
      </c>
      <c r="L84" s="624">
        <v>0</v>
      </c>
      <c r="M84" s="624">
        <v>0</v>
      </c>
      <c r="N84" s="624">
        <f t="shared" si="195"/>
        <v>1390</v>
      </c>
      <c r="O84" s="624"/>
      <c r="P84" s="624">
        <v>0</v>
      </c>
      <c r="Q84" s="624">
        <v>0</v>
      </c>
      <c r="R84" s="624">
        <f t="shared" si="197"/>
        <v>0</v>
      </c>
      <c r="S84" s="960">
        <f>300+200</f>
        <v>500</v>
      </c>
      <c r="T84" s="960">
        <v>0</v>
      </c>
      <c r="U84" s="960">
        <v>0</v>
      </c>
      <c r="V84" s="960">
        <f t="shared" si="199"/>
        <v>500</v>
      </c>
      <c r="W84" s="624">
        <f>300+200</f>
        <v>500</v>
      </c>
      <c r="X84" s="624">
        <v>0</v>
      </c>
      <c r="Y84" s="624">
        <v>0</v>
      </c>
      <c r="Z84" s="624">
        <f t="shared" si="201"/>
        <v>500</v>
      </c>
      <c r="AA84" s="624">
        <f>300+200</f>
        <v>500</v>
      </c>
      <c r="AB84" s="624">
        <v>0</v>
      </c>
      <c r="AC84" s="624">
        <v>0</v>
      </c>
      <c r="AD84" s="624">
        <f t="shared" si="203"/>
        <v>500</v>
      </c>
      <c r="AE84" s="960">
        <f>300+200</f>
        <v>500</v>
      </c>
      <c r="AF84" s="960">
        <v>0</v>
      </c>
      <c r="AG84" s="960">
        <v>0</v>
      </c>
      <c r="AH84" s="960">
        <f t="shared" si="205"/>
        <v>500</v>
      </c>
    </row>
    <row r="85" spans="1:34 16365:16365" x14ac:dyDescent="0.25">
      <c r="A85" s="618"/>
      <c r="B85" s="622" t="s">
        <v>536</v>
      </c>
      <c r="C85" s="624">
        <v>1016</v>
      </c>
      <c r="D85" s="624">
        <v>0</v>
      </c>
      <c r="E85" s="624">
        <v>0</v>
      </c>
      <c r="F85" s="624">
        <f t="shared" si="192"/>
        <v>1016</v>
      </c>
      <c r="G85" s="624">
        <v>1016</v>
      </c>
      <c r="H85" s="624">
        <v>0</v>
      </c>
      <c r="I85" s="624">
        <v>0</v>
      </c>
      <c r="J85" s="624">
        <f t="shared" si="193"/>
        <v>1016</v>
      </c>
      <c r="K85" s="624">
        <v>1016</v>
      </c>
      <c r="L85" s="624">
        <v>0</v>
      </c>
      <c r="M85" s="624">
        <v>0</v>
      </c>
      <c r="N85" s="624">
        <f t="shared" si="195"/>
        <v>1016</v>
      </c>
      <c r="O85" s="624"/>
      <c r="P85" s="624">
        <v>0</v>
      </c>
      <c r="Q85" s="624">
        <v>0</v>
      </c>
      <c r="R85" s="624">
        <f t="shared" si="197"/>
        <v>0</v>
      </c>
      <c r="S85" s="960">
        <f>413+164</f>
        <v>577</v>
      </c>
      <c r="T85" s="960">
        <v>0</v>
      </c>
      <c r="U85" s="960">
        <v>0</v>
      </c>
      <c r="V85" s="960">
        <f t="shared" si="199"/>
        <v>577</v>
      </c>
      <c r="W85" s="624">
        <f>413+164</f>
        <v>577</v>
      </c>
      <c r="X85" s="624">
        <v>0</v>
      </c>
      <c r="Y85" s="624">
        <v>0</v>
      </c>
      <c r="Z85" s="624">
        <f t="shared" si="201"/>
        <v>577</v>
      </c>
      <c r="AA85" s="624">
        <f>413+164</f>
        <v>577</v>
      </c>
      <c r="AB85" s="624">
        <v>0</v>
      </c>
      <c r="AC85" s="624">
        <v>0</v>
      </c>
      <c r="AD85" s="624">
        <f t="shared" si="203"/>
        <v>577</v>
      </c>
      <c r="AE85" s="960">
        <f>413+164</f>
        <v>577</v>
      </c>
      <c r="AF85" s="960">
        <v>0</v>
      </c>
      <c r="AG85" s="960">
        <v>0</v>
      </c>
      <c r="AH85" s="960">
        <f t="shared" si="205"/>
        <v>577</v>
      </c>
    </row>
    <row r="86" spans="1:34 16365:16365" hidden="1" x14ac:dyDescent="0.25">
      <c r="A86" s="618"/>
      <c r="B86" s="622" t="s">
        <v>537</v>
      </c>
      <c r="C86" s="624">
        <v>480</v>
      </c>
      <c r="D86" s="624">
        <v>0</v>
      </c>
      <c r="E86" s="624">
        <v>0</v>
      </c>
      <c r="F86" s="624">
        <f t="shared" si="192"/>
        <v>480</v>
      </c>
      <c r="G86" s="624">
        <v>480</v>
      </c>
      <c r="H86" s="624">
        <v>0</v>
      </c>
      <c r="I86" s="624">
        <v>0</v>
      </c>
      <c r="J86" s="624">
        <f t="shared" si="193"/>
        <v>480</v>
      </c>
      <c r="K86" s="624">
        <v>480</v>
      </c>
      <c r="L86" s="624">
        <v>0</v>
      </c>
      <c r="M86" s="624">
        <v>0</v>
      </c>
      <c r="N86" s="624">
        <f t="shared" si="195"/>
        <v>480</v>
      </c>
      <c r="O86" s="624">
        <v>0</v>
      </c>
      <c r="P86" s="624">
        <v>0</v>
      </c>
      <c r="Q86" s="624">
        <v>0</v>
      </c>
      <c r="R86" s="624">
        <f t="shared" si="197"/>
        <v>0</v>
      </c>
      <c r="S86" s="960"/>
      <c r="T86" s="960">
        <v>0</v>
      </c>
      <c r="U86" s="960">
        <v>0</v>
      </c>
      <c r="V86" s="960">
        <f t="shared" si="199"/>
        <v>0</v>
      </c>
      <c r="W86" s="624"/>
      <c r="X86" s="624">
        <v>0</v>
      </c>
      <c r="Y86" s="624">
        <v>0</v>
      </c>
      <c r="Z86" s="624">
        <f t="shared" si="201"/>
        <v>0</v>
      </c>
      <c r="AA86" s="624"/>
      <c r="AB86" s="624">
        <v>0</v>
      </c>
      <c r="AC86" s="624">
        <v>0</v>
      </c>
      <c r="AD86" s="624">
        <f t="shared" si="203"/>
        <v>0</v>
      </c>
      <c r="AE86" s="960"/>
      <c r="AF86" s="960">
        <v>0</v>
      </c>
      <c r="AG86" s="960">
        <v>0</v>
      </c>
      <c r="AH86" s="960">
        <f t="shared" si="205"/>
        <v>0</v>
      </c>
    </row>
    <row r="87" spans="1:34 16365:16365" hidden="1" x14ac:dyDescent="0.25">
      <c r="A87" s="618"/>
      <c r="B87" s="622" t="s">
        <v>1307</v>
      </c>
      <c r="C87" s="624">
        <v>0</v>
      </c>
      <c r="D87" s="624">
        <v>0</v>
      </c>
      <c r="E87" s="624">
        <v>0</v>
      </c>
      <c r="F87" s="624">
        <f t="shared" si="192"/>
        <v>0</v>
      </c>
      <c r="G87" s="624">
        <v>0</v>
      </c>
      <c r="H87" s="624">
        <v>10000</v>
      </c>
      <c r="I87" s="624">
        <v>0</v>
      </c>
      <c r="J87" s="624">
        <f t="shared" si="193"/>
        <v>10000</v>
      </c>
      <c r="K87" s="624">
        <v>0</v>
      </c>
      <c r="L87" s="624">
        <v>136925</v>
      </c>
      <c r="M87" s="624">
        <v>0</v>
      </c>
      <c r="N87" s="624">
        <f t="shared" si="195"/>
        <v>136925</v>
      </c>
      <c r="O87" s="624">
        <v>0</v>
      </c>
      <c r="P87" s="624">
        <v>0</v>
      </c>
      <c r="Q87" s="624">
        <v>0</v>
      </c>
      <c r="R87" s="624">
        <f t="shared" si="197"/>
        <v>0</v>
      </c>
      <c r="S87" s="960">
        <v>0</v>
      </c>
      <c r="T87" s="960">
        <v>0</v>
      </c>
      <c r="U87" s="960">
        <v>0</v>
      </c>
      <c r="V87" s="960">
        <f t="shared" si="199"/>
        <v>0</v>
      </c>
      <c r="W87" s="624">
        <v>0</v>
      </c>
      <c r="X87" s="624">
        <v>0</v>
      </c>
      <c r="Y87" s="624">
        <v>0</v>
      </c>
      <c r="Z87" s="624">
        <f t="shared" si="201"/>
        <v>0</v>
      </c>
      <c r="AA87" s="624">
        <v>0</v>
      </c>
      <c r="AB87" s="624">
        <v>0</v>
      </c>
      <c r="AC87" s="624">
        <v>0</v>
      </c>
      <c r="AD87" s="624">
        <f t="shared" si="203"/>
        <v>0</v>
      </c>
      <c r="AE87" s="960">
        <v>0</v>
      </c>
      <c r="AF87" s="960">
        <v>0</v>
      </c>
      <c r="AG87" s="960">
        <v>0</v>
      </c>
      <c r="AH87" s="960">
        <f t="shared" si="205"/>
        <v>0</v>
      </c>
    </row>
    <row r="88" spans="1:34 16365:16365" x14ac:dyDescent="0.25">
      <c r="A88" s="618"/>
      <c r="B88" s="622" t="s">
        <v>1690</v>
      </c>
      <c r="C88" s="624">
        <v>0</v>
      </c>
      <c r="D88" s="624">
        <v>0</v>
      </c>
      <c r="E88" s="624">
        <v>0</v>
      </c>
      <c r="F88" s="624">
        <f t="shared" si="192"/>
        <v>0</v>
      </c>
      <c r="G88" s="624">
        <v>0</v>
      </c>
      <c r="H88" s="624">
        <v>0</v>
      </c>
      <c r="I88" s="624">
        <v>0</v>
      </c>
      <c r="J88" s="624">
        <f t="shared" si="193"/>
        <v>0</v>
      </c>
      <c r="K88" s="624">
        <v>0</v>
      </c>
      <c r="L88" s="624">
        <v>0</v>
      </c>
      <c r="M88" s="624">
        <v>0</v>
      </c>
      <c r="N88" s="624">
        <f t="shared" si="195"/>
        <v>0</v>
      </c>
      <c r="O88" s="624">
        <v>0</v>
      </c>
      <c r="P88" s="624">
        <v>0</v>
      </c>
      <c r="Q88" s="624">
        <v>0</v>
      </c>
      <c r="R88" s="624">
        <f t="shared" si="197"/>
        <v>0</v>
      </c>
      <c r="S88" s="960">
        <v>48000</v>
      </c>
      <c r="T88" s="960">
        <v>0</v>
      </c>
      <c r="U88" s="960">
        <v>0</v>
      </c>
      <c r="V88" s="960">
        <f t="shared" si="199"/>
        <v>48000</v>
      </c>
      <c r="W88" s="624">
        <v>48000</v>
      </c>
      <c r="X88" s="624">
        <v>0</v>
      </c>
      <c r="Y88" s="624">
        <v>0</v>
      </c>
      <c r="Z88" s="624">
        <f t="shared" si="201"/>
        <v>48000</v>
      </c>
      <c r="AA88" s="624">
        <v>48000</v>
      </c>
      <c r="AB88" s="624">
        <v>0</v>
      </c>
      <c r="AC88" s="624">
        <v>0</v>
      </c>
      <c r="AD88" s="624">
        <f t="shared" si="203"/>
        <v>48000</v>
      </c>
      <c r="AE88" s="960">
        <v>48000</v>
      </c>
      <c r="AF88" s="960">
        <v>0</v>
      </c>
      <c r="AG88" s="960">
        <v>0</v>
      </c>
      <c r="AH88" s="960">
        <f t="shared" si="205"/>
        <v>48000</v>
      </c>
    </row>
    <row r="89" spans="1:34 16365:16365" s="47" customFormat="1" ht="30" hidden="1" x14ac:dyDescent="0.25">
      <c r="A89" s="733"/>
      <c r="B89" s="731" t="s">
        <v>1467</v>
      </c>
      <c r="C89" s="339"/>
      <c r="D89" s="339"/>
      <c r="E89" s="339"/>
      <c r="F89" s="339"/>
      <c r="G89" s="339">
        <f>+G90</f>
        <v>66402</v>
      </c>
      <c r="H89" s="339"/>
      <c r="I89" s="339"/>
      <c r="J89" s="625">
        <f t="shared" si="193"/>
        <v>66402</v>
      </c>
      <c r="K89" s="339"/>
      <c r="L89" s="339"/>
      <c r="M89" s="339"/>
      <c r="N89" s="339"/>
      <c r="O89" s="339">
        <f>+O90</f>
        <v>66402</v>
      </c>
      <c r="P89" s="339"/>
      <c r="Q89" s="339"/>
      <c r="R89" s="625">
        <f t="shared" ref="R89" si="226">SUM(O89:Q89)</f>
        <v>66402</v>
      </c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XEK89" s="734" t="e">
        <f>SUM(#REF!)</f>
        <v>#REF!</v>
      </c>
    </row>
    <row r="90" spans="1:34 16365:16365" hidden="1" x14ac:dyDescent="0.25">
      <c r="A90" s="618"/>
      <c r="B90" s="651" t="s">
        <v>1468</v>
      </c>
      <c r="C90" s="624"/>
      <c r="D90" s="624"/>
      <c r="E90" s="624"/>
      <c r="F90" s="624"/>
      <c r="G90" s="624">
        <v>66402</v>
      </c>
      <c r="H90" s="624"/>
      <c r="I90" s="624"/>
      <c r="J90" s="624">
        <f t="shared" si="193"/>
        <v>66402</v>
      </c>
      <c r="K90" s="624"/>
      <c r="L90" s="624"/>
      <c r="M90" s="624"/>
      <c r="N90" s="624"/>
      <c r="O90" s="624">
        <v>66402</v>
      </c>
      <c r="P90" s="624"/>
      <c r="Q90" s="624"/>
      <c r="R90" s="624"/>
      <c r="S90" s="624"/>
      <c r="T90" s="624"/>
      <c r="U90" s="624"/>
      <c r="V90" s="624"/>
      <c r="W90" s="624"/>
      <c r="X90" s="624"/>
      <c r="Y90" s="624"/>
      <c r="Z90" s="624"/>
      <c r="AA90" s="624"/>
      <c r="AB90" s="624"/>
      <c r="AC90" s="624"/>
      <c r="AD90" s="624"/>
      <c r="AE90" s="624"/>
      <c r="AF90" s="624"/>
      <c r="AG90" s="624"/>
      <c r="AH90" s="624"/>
    </row>
    <row r="91" spans="1:34 16365:16365" x14ac:dyDescent="0.25">
      <c r="A91" s="632"/>
      <c r="B91" s="633" t="s">
        <v>327</v>
      </c>
      <c r="C91" s="634">
        <f t="shared" ref="C91:D91" si="227">C5+C62</f>
        <v>3689632</v>
      </c>
      <c r="D91" s="634">
        <f t="shared" si="227"/>
        <v>462133</v>
      </c>
      <c r="E91" s="634">
        <f t="shared" ref="E91" si="228">E5+E62</f>
        <v>0</v>
      </c>
      <c r="F91" s="634">
        <f t="shared" si="192"/>
        <v>4151765</v>
      </c>
      <c r="G91" s="634">
        <f t="shared" ref="G91:I91" si="229">G5+G62</f>
        <v>3900327</v>
      </c>
      <c r="H91" s="634">
        <f t="shared" si="229"/>
        <v>732127</v>
      </c>
      <c r="I91" s="634">
        <f t="shared" si="229"/>
        <v>0</v>
      </c>
      <c r="J91" s="634">
        <f t="shared" si="193"/>
        <v>4632454</v>
      </c>
      <c r="K91" s="634">
        <f t="shared" ref="K91:M91" si="230">K5+K62</f>
        <v>3709847</v>
      </c>
      <c r="L91" s="634">
        <f t="shared" si="230"/>
        <v>671933</v>
      </c>
      <c r="M91" s="634">
        <f t="shared" si="230"/>
        <v>0</v>
      </c>
      <c r="N91" s="634">
        <f t="shared" si="195"/>
        <v>4381780</v>
      </c>
      <c r="O91" s="634">
        <f t="shared" ref="O91:Q91" si="231">O5+O62</f>
        <v>4753155</v>
      </c>
      <c r="P91" s="634">
        <f t="shared" si="231"/>
        <v>12200</v>
      </c>
      <c r="Q91" s="634">
        <f t="shared" si="231"/>
        <v>0</v>
      </c>
      <c r="R91" s="634">
        <f t="shared" si="197"/>
        <v>4765355</v>
      </c>
      <c r="S91" s="634">
        <f t="shared" ref="S91:U91" si="232">S5+S62</f>
        <v>4454599.0810000002</v>
      </c>
      <c r="T91" s="634">
        <f t="shared" si="232"/>
        <v>50887</v>
      </c>
      <c r="U91" s="634">
        <f t="shared" si="232"/>
        <v>0</v>
      </c>
      <c r="V91" s="634">
        <f t="shared" si="199"/>
        <v>4505486.0810000002</v>
      </c>
      <c r="W91" s="634">
        <f t="shared" ref="W91:Y91" si="233">W5+W62</f>
        <v>4460965.8339999998</v>
      </c>
      <c r="X91" s="634">
        <f t="shared" si="233"/>
        <v>50887</v>
      </c>
      <c r="Y91" s="634">
        <f t="shared" si="233"/>
        <v>0</v>
      </c>
      <c r="Z91" s="634">
        <f t="shared" ref="Z91:Z93" si="234">SUM(W91:Y91)</f>
        <v>4511852.8339999998</v>
      </c>
      <c r="AA91" s="634">
        <f t="shared" ref="AA91:AC91" si="235">AA5+AA62</f>
        <v>4467776</v>
      </c>
      <c r="AB91" s="634">
        <f t="shared" si="235"/>
        <v>50887</v>
      </c>
      <c r="AC91" s="634">
        <f t="shared" si="235"/>
        <v>0</v>
      </c>
      <c r="AD91" s="634">
        <f t="shared" ref="AD91:AD93" si="236">SUM(AA91:AC91)</f>
        <v>4518663</v>
      </c>
      <c r="AE91" s="634">
        <f t="shared" ref="AE91:AG91" si="237">AE5+AE62</f>
        <v>4812838</v>
      </c>
      <c r="AF91" s="634">
        <f t="shared" si="237"/>
        <v>54125</v>
      </c>
      <c r="AG91" s="634">
        <f t="shared" si="237"/>
        <v>0</v>
      </c>
      <c r="AH91" s="634">
        <f t="shared" ref="AH91:AH93" si="238">SUM(AE91:AG91)</f>
        <v>4866963</v>
      </c>
    </row>
    <row r="92" spans="1:34 16365:16365" x14ac:dyDescent="0.25">
      <c r="A92" s="612" t="s">
        <v>328</v>
      </c>
      <c r="B92" s="613" t="s">
        <v>329</v>
      </c>
      <c r="C92" s="614">
        <f t="shared" ref="C92:D92" si="239">C93+C105</f>
        <v>0</v>
      </c>
      <c r="D92" s="614">
        <f t="shared" si="239"/>
        <v>2068000</v>
      </c>
      <c r="E92" s="614">
        <f t="shared" ref="E92" si="240">E93+E105</f>
        <v>0</v>
      </c>
      <c r="F92" s="614">
        <f t="shared" si="192"/>
        <v>2068000</v>
      </c>
      <c r="G92" s="614">
        <f t="shared" ref="G92:I92" si="241">G93+G105</f>
        <v>301443</v>
      </c>
      <c r="H92" s="614">
        <f t="shared" si="241"/>
        <v>2354045</v>
      </c>
      <c r="I92" s="614">
        <f t="shared" si="241"/>
        <v>0</v>
      </c>
      <c r="J92" s="614">
        <f t="shared" si="193"/>
        <v>2655488</v>
      </c>
      <c r="K92" s="614">
        <f t="shared" ref="K92:M92" si="242">K93+K105</f>
        <v>0</v>
      </c>
      <c r="L92" s="614">
        <f t="shared" si="242"/>
        <v>2237194</v>
      </c>
      <c r="M92" s="614">
        <f t="shared" si="242"/>
        <v>0</v>
      </c>
      <c r="N92" s="614">
        <f t="shared" si="195"/>
        <v>2237194</v>
      </c>
      <c r="O92" s="614">
        <f t="shared" ref="O92:Q92" si="243">O93+O105</f>
        <v>2356495</v>
      </c>
      <c r="P92" s="614">
        <f t="shared" si="243"/>
        <v>0</v>
      </c>
      <c r="Q92" s="614">
        <f t="shared" si="243"/>
        <v>0</v>
      </c>
      <c r="R92" s="614">
        <f t="shared" si="197"/>
        <v>2356495</v>
      </c>
      <c r="S92" s="614">
        <f t="shared" ref="S92:U92" si="244">S93+S105</f>
        <v>1100000</v>
      </c>
      <c r="T92" s="614">
        <f t="shared" si="244"/>
        <v>0</v>
      </c>
      <c r="U92" s="614">
        <f t="shared" si="244"/>
        <v>0</v>
      </c>
      <c r="V92" s="614">
        <f t="shared" si="199"/>
        <v>1100000</v>
      </c>
      <c r="W92" s="614">
        <f t="shared" ref="W92:Y92" si="245">W93+W105</f>
        <v>1637094</v>
      </c>
      <c r="X92" s="614">
        <f t="shared" si="245"/>
        <v>0</v>
      </c>
      <c r="Y92" s="614">
        <f t="shared" si="245"/>
        <v>0</v>
      </c>
      <c r="Z92" s="614">
        <f t="shared" si="234"/>
        <v>1637094</v>
      </c>
      <c r="AA92" s="614">
        <f t="shared" ref="AA92:AC92" si="246">AA93+AA105</f>
        <v>1775123</v>
      </c>
      <c r="AB92" s="614">
        <f t="shared" si="246"/>
        <v>0</v>
      </c>
      <c r="AC92" s="614">
        <f t="shared" si="246"/>
        <v>0</v>
      </c>
      <c r="AD92" s="614">
        <f t="shared" si="236"/>
        <v>1775123</v>
      </c>
      <c r="AE92" s="614">
        <f t="shared" ref="AE92:AG92" si="247">AE93+AE105</f>
        <v>1987749</v>
      </c>
      <c r="AF92" s="614">
        <f t="shared" si="247"/>
        <v>0</v>
      </c>
      <c r="AG92" s="614">
        <f t="shared" si="247"/>
        <v>0</v>
      </c>
      <c r="AH92" s="614">
        <f t="shared" si="238"/>
        <v>1987749</v>
      </c>
    </row>
    <row r="93" spans="1:34 16365:16365" x14ac:dyDescent="0.25">
      <c r="A93" s="615" t="s">
        <v>311</v>
      </c>
      <c r="B93" s="616" t="s">
        <v>330</v>
      </c>
      <c r="C93" s="617">
        <f t="shared" ref="C93" si="248">C94+C99+C100+C103+C104</f>
        <v>0</v>
      </c>
      <c r="D93" s="617">
        <f t="shared" ref="D93" si="249">D94+D99+D100+D103+D104</f>
        <v>2068000</v>
      </c>
      <c r="E93" s="617">
        <f t="shared" ref="E93" si="250">E94+E99+E100+E103+E104</f>
        <v>0</v>
      </c>
      <c r="F93" s="617">
        <f t="shared" si="192"/>
        <v>2068000</v>
      </c>
      <c r="G93" s="617">
        <f t="shared" ref="G93:I93" si="251">G94+G99+G100+G103+G104</f>
        <v>301443</v>
      </c>
      <c r="H93" s="617">
        <f t="shared" si="251"/>
        <v>2354045</v>
      </c>
      <c r="I93" s="617">
        <f t="shared" si="251"/>
        <v>0</v>
      </c>
      <c r="J93" s="617">
        <f t="shared" si="193"/>
        <v>2655488</v>
      </c>
      <c r="K93" s="617">
        <f t="shared" ref="K93:M93" si="252">K94+K99+K100+K103+K104</f>
        <v>0</v>
      </c>
      <c r="L93" s="617">
        <f t="shared" si="252"/>
        <v>2237194</v>
      </c>
      <c r="M93" s="617">
        <f t="shared" si="252"/>
        <v>0</v>
      </c>
      <c r="N93" s="617">
        <f t="shared" si="195"/>
        <v>2237194</v>
      </c>
      <c r="O93" s="617">
        <f t="shared" ref="O93:Q93" si="253">O94+O99+O100+O103+O104</f>
        <v>2356495</v>
      </c>
      <c r="P93" s="617">
        <f t="shared" si="253"/>
        <v>0</v>
      </c>
      <c r="Q93" s="617">
        <f t="shared" si="253"/>
        <v>0</v>
      </c>
      <c r="R93" s="617">
        <f t="shared" si="197"/>
        <v>2356495</v>
      </c>
      <c r="S93" s="617">
        <f t="shared" ref="S93:U93" si="254">S94+S99+S100+S103+S104</f>
        <v>1100000</v>
      </c>
      <c r="T93" s="617">
        <f t="shared" si="254"/>
        <v>0</v>
      </c>
      <c r="U93" s="617">
        <f t="shared" si="254"/>
        <v>0</v>
      </c>
      <c r="V93" s="617">
        <f t="shared" si="199"/>
        <v>1100000</v>
      </c>
      <c r="W93" s="617">
        <f t="shared" ref="W93:Y93" si="255">W94+W99+W100+W103+W104</f>
        <v>1637094</v>
      </c>
      <c r="X93" s="617">
        <f t="shared" si="255"/>
        <v>0</v>
      </c>
      <c r="Y93" s="617">
        <f t="shared" si="255"/>
        <v>0</v>
      </c>
      <c r="Z93" s="617">
        <f t="shared" si="234"/>
        <v>1637094</v>
      </c>
      <c r="AA93" s="617">
        <f t="shared" ref="AA93:AC93" si="256">AA94+AA99+AA100+AA103+AA104</f>
        <v>1775123</v>
      </c>
      <c r="AB93" s="617">
        <f t="shared" si="256"/>
        <v>0</v>
      </c>
      <c r="AC93" s="617">
        <f t="shared" si="256"/>
        <v>0</v>
      </c>
      <c r="AD93" s="617">
        <f t="shared" si="236"/>
        <v>1775123</v>
      </c>
      <c r="AE93" s="617">
        <f t="shared" ref="AE93:AG93" si="257">AE94+AE99+AE100+AE103+AE104</f>
        <v>1987749</v>
      </c>
      <c r="AF93" s="617">
        <f t="shared" si="257"/>
        <v>0</v>
      </c>
      <c r="AG93" s="617">
        <f t="shared" si="257"/>
        <v>0</v>
      </c>
      <c r="AH93" s="617">
        <f t="shared" si="238"/>
        <v>1987749</v>
      </c>
    </row>
    <row r="94" spans="1:34 16365:16365" x14ac:dyDescent="0.25">
      <c r="A94" s="618"/>
      <c r="B94" s="629" t="s">
        <v>538</v>
      </c>
      <c r="C94" s="625">
        <f t="shared" ref="C94" si="258">SUM(C95:C98)</f>
        <v>0</v>
      </c>
      <c r="D94" s="625">
        <f>SUM(D95:D98)</f>
        <v>768000</v>
      </c>
      <c r="E94" s="625">
        <f t="shared" ref="E94:G94" si="259">SUM(E95:E98)</f>
        <v>0</v>
      </c>
      <c r="F94" s="625">
        <f t="shared" si="259"/>
        <v>400000</v>
      </c>
      <c r="G94" s="625">
        <f t="shared" si="259"/>
        <v>0</v>
      </c>
      <c r="H94" s="625">
        <f>SUM(H95:H98)</f>
        <v>1000000</v>
      </c>
      <c r="I94" s="625">
        <f t="shared" ref="I94:K94" si="260">SUM(I95:I98)</f>
        <v>0</v>
      </c>
      <c r="J94" s="625">
        <f t="shared" si="260"/>
        <v>400000</v>
      </c>
      <c r="K94" s="625">
        <f t="shared" si="260"/>
        <v>0</v>
      </c>
      <c r="L94" s="625">
        <f>SUM(L95:L98)</f>
        <v>400000</v>
      </c>
      <c r="M94" s="625">
        <f t="shared" ref="M94:O94" si="261">SUM(M95:M98)</f>
        <v>0</v>
      </c>
      <c r="N94" s="625">
        <f t="shared" si="261"/>
        <v>400000</v>
      </c>
      <c r="O94" s="625">
        <f t="shared" si="261"/>
        <v>1000000</v>
      </c>
      <c r="P94" s="625">
        <f>SUM(P95:P98)</f>
        <v>0</v>
      </c>
      <c r="Q94" s="625">
        <f t="shared" ref="Q94:S94" si="262">SUM(Q95:Q98)</f>
        <v>0</v>
      </c>
      <c r="R94" s="625">
        <f t="shared" si="262"/>
        <v>0</v>
      </c>
      <c r="S94" s="961">
        <f t="shared" si="262"/>
        <v>0</v>
      </c>
      <c r="T94" s="961">
        <f>SUM(T95:T98)</f>
        <v>0</v>
      </c>
      <c r="U94" s="961">
        <f t="shared" ref="U94:W94" si="263">SUM(U95:U98)</f>
        <v>0</v>
      </c>
      <c r="V94" s="961">
        <f t="shared" si="263"/>
        <v>0</v>
      </c>
      <c r="W94" s="625">
        <f t="shared" si="263"/>
        <v>0</v>
      </c>
      <c r="X94" s="625">
        <f>SUM(X95:X98)</f>
        <v>0</v>
      </c>
      <c r="Y94" s="625">
        <f t="shared" ref="Y94:AA94" si="264">SUM(Y95:Y98)</f>
        <v>0</v>
      </c>
      <c r="Z94" s="625">
        <f t="shared" si="264"/>
        <v>0</v>
      </c>
      <c r="AA94" s="625">
        <f t="shared" si="264"/>
        <v>0</v>
      </c>
      <c r="AB94" s="625">
        <f>SUM(AB95:AB98)</f>
        <v>0</v>
      </c>
      <c r="AC94" s="625">
        <f t="shared" ref="AC94:AE94" si="265">SUM(AC95:AC98)</f>
        <v>0</v>
      </c>
      <c r="AD94" s="625">
        <f t="shared" si="265"/>
        <v>0</v>
      </c>
      <c r="AE94" s="961">
        <f t="shared" si="265"/>
        <v>0</v>
      </c>
      <c r="AF94" s="961">
        <f>SUM(AF95:AF98)</f>
        <v>0</v>
      </c>
      <c r="AG94" s="961">
        <f t="shared" ref="AG94:AH94" si="266">SUM(AG95:AG98)</f>
        <v>0</v>
      </c>
      <c r="AH94" s="961">
        <f t="shared" si="266"/>
        <v>0</v>
      </c>
    </row>
    <row r="95" spans="1:34 16365:16365" hidden="1" x14ac:dyDescent="0.25">
      <c r="A95" s="618"/>
      <c r="B95" s="622" t="s">
        <v>539</v>
      </c>
      <c r="C95" s="624">
        <v>0</v>
      </c>
      <c r="D95" s="624">
        <v>600000</v>
      </c>
      <c r="E95" s="624">
        <v>0</v>
      </c>
      <c r="F95" s="624">
        <v>400000</v>
      </c>
      <c r="G95" s="624">
        <v>0</v>
      </c>
      <c r="H95" s="624">
        <v>600000</v>
      </c>
      <c r="I95" s="624">
        <v>0</v>
      </c>
      <c r="J95" s="624">
        <v>400000</v>
      </c>
      <c r="K95" s="624">
        <v>0</v>
      </c>
      <c r="L95" s="624">
        <v>400000</v>
      </c>
      <c r="M95" s="624">
        <v>0</v>
      </c>
      <c r="N95" s="624">
        <v>400000</v>
      </c>
      <c r="O95" s="624">
        <v>600000</v>
      </c>
      <c r="P95" s="624"/>
      <c r="Q95" s="624">
        <v>0</v>
      </c>
      <c r="R95" s="624"/>
      <c r="S95" s="960">
        <v>0</v>
      </c>
      <c r="T95" s="960"/>
      <c r="U95" s="960">
        <v>0</v>
      </c>
      <c r="V95" s="960">
        <f t="shared" ref="V95:V103" si="267">SUM(S95:U95)</f>
        <v>0</v>
      </c>
      <c r="W95" s="624">
        <v>0</v>
      </c>
      <c r="X95" s="624"/>
      <c r="Y95" s="624">
        <v>0</v>
      </c>
      <c r="Z95" s="624">
        <f t="shared" ref="Z95:Z103" si="268">SUM(W95:Y95)</f>
        <v>0</v>
      </c>
      <c r="AA95" s="624">
        <v>0</v>
      </c>
      <c r="AB95" s="624"/>
      <c r="AC95" s="624">
        <v>0</v>
      </c>
      <c r="AD95" s="624">
        <f t="shared" ref="AD95:AD103" si="269">SUM(AA95:AC95)</f>
        <v>0</v>
      </c>
      <c r="AE95" s="960">
        <v>0</v>
      </c>
      <c r="AF95" s="960"/>
      <c r="AG95" s="960">
        <v>0</v>
      </c>
      <c r="AH95" s="960">
        <f t="shared" ref="AH95:AH103" si="270">SUM(AE95:AG95)</f>
        <v>0</v>
      </c>
    </row>
    <row r="96" spans="1:34 16365:16365" ht="30" hidden="1" x14ac:dyDescent="0.25">
      <c r="A96" s="618"/>
      <c r="B96" s="651" t="s">
        <v>1410</v>
      </c>
      <c r="C96" s="624"/>
      <c r="D96" s="624">
        <v>168000</v>
      </c>
      <c r="E96" s="624"/>
      <c r="F96" s="624"/>
      <c r="G96" s="624"/>
      <c r="H96" s="624">
        <v>400000</v>
      </c>
      <c r="I96" s="624"/>
      <c r="J96" s="624"/>
      <c r="K96" s="624"/>
      <c r="L96" s="624"/>
      <c r="M96" s="624"/>
      <c r="N96" s="624"/>
      <c r="O96" s="624">
        <v>400000</v>
      </c>
      <c r="P96" s="624"/>
      <c r="Q96" s="624"/>
      <c r="R96" s="624"/>
      <c r="S96" s="960"/>
      <c r="T96" s="960"/>
      <c r="U96" s="960"/>
      <c r="V96" s="960">
        <f t="shared" si="267"/>
        <v>0</v>
      </c>
      <c r="W96" s="624"/>
      <c r="X96" s="624"/>
      <c r="Y96" s="624"/>
      <c r="Z96" s="624">
        <f t="shared" si="268"/>
        <v>0</v>
      </c>
      <c r="AA96" s="624"/>
      <c r="AB96" s="624"/>
      <c r="AC96" s="624"/>
      <c r="AD96" s="624">
        <f t="shared" si="269"/>
        <v>0</v>
      </c>
      <c r="AE96" s="960"/>
      <c r="AF96" s="960"/>
      <c r="AG96" s="960"/>
      <c r="AH96" s="960">
        <f t="shared" si="270"/>
        <v>0</v>
      </c>
    </row>
    <row r="97" spans="1:34" hidden="1" x14ac:dyDescent="0.25">
      <c r="A97" s="618"/>
      <c r="B97" s="622" t="s">
        <v>540</v>
      </c>
      <c r="C97" s="624">
        <v>0</v>
      </c>
      <c r="D97" s="624">
        <v>0</v>
      </c>
      <c r="E97" s="624">
        <v>0</v>
      </c>
      <c r="F97" s="624">
        <f t="shared" si="192"/>
        <v>0</v>
      </c>
      <c r="G97" s="624">
        <v>0</v>
      </c>
      <c r="H97" s="624">
        <v>0</v>
      </c>
      <c r="I97" s="624">
        <v>0</v>
      </c>
      <c r="J97" s="624">
        <f t="shared" ref="J97:J103" si="271">SUM(G97:I97)</f>
        <v>0</v>
      </c>
      <c r="K97" s="624">
        <v>0</v>
      </c>
      <c r="L97" s="624">
        <v>0</v>
      </c>
      <c r="M97" s="624">
        <v>0</v>
      </c>
      <c r="N97" s="624">
        <f t="shared" ref="N97:N103" si="272">SUM(K97:M97)</f>
        <v>0</v>
      </c>
      <c r="O97" s="624">
        <v>0</v>
      </c>
      <c r="P97" s="624">
        <v>0</v>
      </c>
      <c r="Q97" s="624">
        <v>0</v>
      </c>
      <c r="R97" s="624">
        <f t="shared" ref="R97:R104" si="273">SUM(O97:Q97)</f>
        <v>0</v>
      </c>
      <c r="S97" s="960">
        <v>0</v>
      </c>
      <c r="T97" s="960">
        <v>0</v>
      </c>
      <c r="U97" s="960">
        <v>0</v>
      </c>
      <c r="V97" s="960">
        <f t="shared" si="267"/>
        <v>0</v>
      </c>
      <c r="W97" s="624">
        <v>0</v>
      </c>
      <c r="X97" s="624">
        <v>0</v>
      </c>
      <c r="Y97" s="624">
        <v>0</v>
      </c>
      <c r="Z97" s="624">
        <f t="shared" si="268"/>
        <v>0</v>
      </c>
      <c r="AA97" s="624">
        <v>0</v>
      </c>
      <c r="AB97" s="624">
        <v>0</v>
      </c>
      <c r="AC97" s="624">
        <v>0</v>
      </c>
      <c r="AD97" s="624">
        <f t="shared" si="269"/>
        <v>0</v>
      </c>
      <c r="AE97" s="960">
        <v>0</v>
      </c>
      <c r="AF97" s="960">
        <v>0</v>
      </c>
      <c r="AG97" s="960">
        <v>0</v>
      </c>
      <c r="AH97" s="960">
        <f t="shared" si="270"/>
        <v>0</v>
      </c>
    </row>
    <row r="98" spans="1:34" hidden="1" x14ac:dyDescent="0.25">
      <c r="A98" s="618"/>
      <c r="B98" s="622" t="s">
        <v>541</v>
      </c>
      <c r="C98" s="624">
        <v>0</v>
      </c>
      <c r="D98" s="624">
        <v>0</v>
      </c>
      <c r="E98" s="624">
        <v>0</v>
      </c>
      <c r="F98" s="624">
        <f t="shared" si="192"/>
        <v>0</v>
      </c>
      <c r="G98" s="624">
        <v>0</v>
      </c>
      <c r="H98" s="624">
        <v>0</v>
      </c>
      <c r="I98" s="624">
        <v>0</v>
      </c>
      <c r="J98" s="624">
        <f t="shared" si="271"/>
        <v>0</v>
      </c>
      <c r="K98" s="624">
        <v>0</v>
      </c>
      <c r="L98" s="624">
        <v>0</v>
      </c>
      <c r="M98" s="624">
        <v>0</v>
      </c>
      <c r="N98" s="624">
        <f t="shared" si="272"/>
        <v>0</v>
      </c>
      <c r="O98" s="624">
        <v>0</v>
      </c>
      <c r="P98" s="624">
        <v>0</v>
      </c>
      <c r="Q98" s="624">
        <v>0</v>
      </c>
      <c r="R98" s="624">
        <f t="shared" si="273"/>
        <v>0</v>
      </c>
      <c r="S98" s="960">
        <v>0</v>
      </c>
      <c r="T98" s="960">
        <v>0</v>
      </c>
      <c r="U98" s="960">
        <v>0</v>
      </c>
      <c r="V98" s="960">
        <f t="shared" si="267"/>
        <v>0</v>
      </c>
      <c r="W98" s="624">
        <v>0</v>
      </c>
      <c r="X98" s="624">
        <v>0</v>
      </c>
      <c r="Y98" s="624">
        <v>0</v>
      </c>
      <c r="Z98" s="624">
        <f t="shared" si="268"/>
        <v>0</v>
      </c>
      <c r="AA98" s="624">
        <v>0</v>
      </c>
      <c r="AB98" s="624">
        <v>0</v>
      </c>
      <c r="AC98" s="624">
        <v>0</v>
      </c>
      <c r="AD98" s="624">
        <f t="shared" si="269"/>
        <v>0</v>
      </c>
      <c r="AE98" s="960">
        <v>0</v>
      </c>
      <c r="AF98" s="960">
        <v>0</v>
      </c>
      <c r="AG98" s="960">
        <v>0</v>
      </c>
      <c r="AH98" s="960">
        <f t="shared" si="270"/>
        <v>0</v>
      </c>
    </row>
    <row r="99" spans="1:34" x14ac:dyDescent="0.25">
      <c r="A99" s="618"/>
      <c r="B99" s="629" t="s">
        <v>542</v>
      </c>
      <c r="C99" s="625">
        <v>0</v>
      </c>
      <c r="D99" s="625">
        <v>0</v>
      </c>
      <c r="E99" s="625">
        <v>0</v>
      </c>
      <c r="F99" s="625">
        <f t="shared" si="192"/>
        <v>0</v>
      </c>
      <c r="G99" s="625">
        <v>0</v>
      </c>
      <c r="H99" s="625">
        <v>0</v>
      </c>
      <c r="I99" s="625">
        <v>0</v>
      </c>
      <c r="J99" s="625">
        <f t="shared" si="271"/>
        <v>0</v>
      </c>
      <c r="K99" s="625">
        <v>0</v>
      </c>
      <c r="L99" s="625">
        <v>0</v>
      </c>
      <c r="M99" s="625">
        <v>0</v>
      </c>
      <c r="N99" s="625">
        <f t="shared" si="272"/>
        <v>0</v>
      </c>
      <c r="O99" s="625">
        <v>0</v>
      </c>
      <c r="P99" s="625">
        <v>0</v>
      </c>
      <c r="Q99" s="625">
        <v>0</v>
      </c>
      <c r="R99" s="625">
        <f t="shared" si="273"/>
        <v>0</v>
      </c>
      <c r="S99" s="961">
        <v>0</v>
      </c>
      <c r="T99" s="961">
        <v>0</v>
      </c>
      <c r="U99" s="961">
        <v>0</v>
      </c>
      <c r="V99" s="961">
        <f t="shared" si="267"/>
        <v>0</v>
      </c>
      <c r="W99" s="625">
        <v>0</v>
      </c>
      <c r="X99" s="625">
        <v>0</v>
      </c>
      <c r="Y99" s="625">
        <v>0</v>
      </c>
      <c r="Z99" s="625">
        <f t="shared" si="268"/>
        <v>0</v>
      </c>
      <c r="AA99" s="625">
        <v>0</v>
      </c>
      <c r="AB99" s="625">
        <v>0</v>
      </c>
      <c r="AC99" s="625">
        <v>0</v>
      </c>
      <c r="AD99" s="625">
        <f t="shared" si="269"/>
        <v>0</v>
      </c>
      <c r="AE99" s="961">
        <v>0</v>
      </c>
      <c r="AF99" s="961">
        <v>0</v>
      </c>
      <c r="AG99" s="961">
        <v>0</v>
      </c>
      <c r="AH99" s="961">
        <f t="shared" si="270"/>
        <v>0</v>
      </c>
    </row>
    <row r="100" spans="1:34" x14ac:dyDescent="0.25">
      <c r="A100" s="618"/>
      <c r="B100" s="629" t="s">
        <v>543</v>
      </c>
      <c r="C100" s="625">
        <f t="shared" ref="C100:D100" si="274">C101+C102</f>
        <v>0</v>
      </c>
      <c r="D100" s="625">
        <f t="shared" si="274"/>
        <v>800000</v>
      </c>
      <c r="E100" s="625">
        <f t="shared" ref="E100" si="275">E101+E102</f>
        <v>0</v>
      </c>
      <c r="F100" s="625">
        <f t="shared" si="192"/>
        <v>800000</v>
      </c>
      <c r="G100" s="625">
        <f t="shared" ref="G100:I100" si="276">G101+G102</f>
        <v>0</v>
      </c>
      <c r="H100" s="630">
        <f t="shared" si="276"/>
        <v>854045</v>
      </c>
      <c r="I100" s="630">
        <f t="shared" si="276"/>
        <v>0</v>
      </c>
      <c r="J100" s="630">
        <f t="shared" si="271"/>
        <v>854045</v>
      </c>
      <c r="K100" s="630">
        <f t="shared" ref="K100:M100" si="277">K101+K102</f>
        <v>0</v>
      </c>
      <c r="L100" s="630">
        <f t="shared" si="277"/>
        <v>1337194</v>
      </c>
      <c r="M100" s="630">
        <f t="shared" si="277"/>
        <v>0</v>
      </c>
      <c r="N100" s="630">
        <f t="shared" si="272"/>
        <v>1337194</v>
      </c>
      <c r="O100" s="630">
        <f t="shared" ref="O100:Q100" si="278">O101+O102</f>
        <v>854045</v>
      </c>
      <c r="P100" s="630">
        <f t="shared" si="278"/>
        <v>0</v>
      </c>
      <c r="Q100" s="630">
        <f t="shared" si="278"/>
        <v>0</v>
      </c>
      <c r="R100" s="630">
        <f t="shared" si="273"/>
        <v>854045</v>
      </c>
      <c r="S100" s="962">
        <f t="shared" ref="S100:U100" si="279">S101+S102</f>
        <v>1100000</v>
      </c>
      <c r="T100" s="962">
        <f t="shared" si="279"/>
        <v>0</v>
      </c>
      <c r="U100" s="962">
        <f t="shared" si="279"/>
        <v>0</v>
      </c>
      <c r="V100" s="962">
        <f t="shared" si="267"/>
        <v>1100000</v>
      </c>
      <c r="W100" s="630">
        <f t="shared" ref="W100:Y100" si="280">W101+W102</f>
        <v>1504796</v>
      </c>
      <c r="X100" s="630">
        <f t="shared" si="280"/>
        <v>0</v>
      </c>
      <c r="Y100" s="630">
        <f t="shared" si="280"/>
        <v>0</v>
      </c>
      <c r="Z100" s="630">
        <f t="shared" si="268"/>
        <v>1504796</v>
      </c>
      <c r="AA100" s="630">
        <f t="shared" ref="AA100:AC100" si="281">AA101+AA102</f>
        <v>1504796</v>
      </c>
      <c r="AB100" s="630">
        <f t="shared" si="281"/>
        <v>0</v>
      </c>
      <c r="AC100" s="630">
        <f t="shared" si="281"/>
        <v>0</v>
      </c>
      <c r="AD100" s="630">
        <f t="shared" si="269"/>
        <v>1504796</v>
      </c>
      <c r="AE100" s="962">
        <f t="shared" ref="AE100:AG100" si="282">AE101+AE102</f>
        <v>1504796</v>
      </c>
      <c r="AF100" s="962">
        <f t="shared" si="282"/>
        <v>0</v>
      </c>
      <c r="AG100" s="962">
        <f t="shared" si="282"/>
        <v>0</v>
      </c>
      <c r="AH100" s="962">
        <f t="shared" si="270"/>
        <v>1504796</v>
      </c>
    </row>
    <row r="101" spans="1:34" x14ac:dyDescent="0.25">
      <c r="A101" s="618"/>
      <c r="B101" s="622" t="s">
        <v>544</v>
      </c>
      <c r="C101" s="624">
        <v>0</v>
      </c>
      <c r="D101" s="624">
        <v>0</v>
      </c>
      <c r="E101" s="624">
        <v>0</v>
      </c>
      <c r="F101" s="624">
        <f t="shared" si="192"/>
        <v>0</v>
      </c>
      <c r="G101" s="624">
        <v>0</v>
      </c>
      <c r="H101" s="635">
        <v>0</v>
      </c>
      <c r="I101" s="635">
        <v>0</v>
      </c>
      <c r="J101" s="635">
        <f t="shared" si="271"/>
        <v>0</v>
      </c>
      <c r="K101" s="635">
        <v>0</v>
      </c>
      <c r="L101" s="635">
        <v>52177</v>
      </c>
      <c r="M101" s="635">
        <v>0</v>
      </c>
      <c r="N101" s="635">
        <f t="shared" si="272"/>
        <v>52177</v>
      </c>
      <c r="O101" s="635">
        <v>0</v>
      </c>
      <c r="P101" s="635"/>
      <c r="Q101" s="635">
        <v>0</v>
      </c>
      <c r="R101" s="635">
        <f t="shared" si="273"/>
        <v>0</v>
      </c>
      <c r="S101" s="963">
        <v>0</v>
      </c>
      <c r="T101" s="963">
        <v>0</v>
      </c>
      <c r="U101" s="963">
        <v>0</v>
      </c>
      <c r="V101" s="963">
        <f t="shared" si="267"/>
        <v>0</v>
      </c>
      <c r="W101" s="436">
        <f>404796-259084</f>
        <v>145712</v>
      </c>
      <c r="X101" s="436">
        <v>0</v>
      </c>
      <c r="Y101" s="436">
        <v>0</v>
      </c>
      <c r="Z101" s="436">
        <f t="shared" si="268"/>
        <v>145712</v>
      </c>
      <c r="AA101" s="436">
        <f>404796-259084</f>
        <v>145712</v>
      </c>
      <c r="AB101" s="436">
        <v>0</v>
      </c>
      <c r="AC101" s="436">
        <v>0</v>
      </c>
      <c r="AD101" s="436">
        <f t="shared" si="269"/>
        <v>145712</v>
      </c>
      <c r="AE101" s="925">
        <f>404796-259084</f>
        <v>145712</v>
      </c>
      <c r="AF101" s="925">
        <v>0</v>
      </c>
      <c r="AG101" s="925">
        <v>0</v>
      </c>
      <c r="AH101" s="925">
        <f t="shared" si="270"/>
        <v>145712</v>
      </c>
    </row>
    <row r="102" spans="1:34" x14ac:dyDescent="0.25">
      <c r="A102" s="618"/>
      <c r="B102" s="622" t="s">
        <v>545</v>
      </c>
      <c r="C102" s="624"/>
      <c r="D102" s="624">
        <v>800000</v>
      </c>
      <c r="E102" s="624">
        <v>0</v>
      </c>
      <c r="F102" s="624">
        <f t="shared" si="192"/>
        <v>800000</v>
      </c>
      <c r="G102" s="624"/>
      <c r="H102" s="624">
        <v>854045</v>
      </c>
      <c r="I102" s="624">
        <v>0</v>
      </c>
      <c r="J102" s="624">
        <f t="shared" si="271"/>
        <v>854045</v>
      </c>
      <c r="K102" s="624"/>
      <c r="L102" s="624">
        <v>1285017</v>
      </c>
      <c r="M102" s="624">
        <v>0</v>
      </c>
      <c r="N102" s="624">
        <f t="shared" si="272"/>
        <v>1285017</v>
      </c>
      <c r="O102" s="624">
        <v>854045</v>
      </c>
      <c r="P102" s="624"/>
      <c r="Q102" s="624">
        <v>0</v>
      </c>
      <c r="R102" s="624">
        <f t="shared" si="273"/>
        <v>854045</v>
      </c>
      <c r="S102" s="960">
        <f>800000+200000+100000</f>
        <v>1100000</v>
      </c>
      <c r="T102" s="960"/>
      <c r="U102" s="960">
        <v>0</v>
      </c>
      <c r="V102" s="960">
        <f t="shared" si="267"/>
        <v>1100000</v>
      </c>
      <c r="W102" s="624">
        <f>800000+200000+100000+259084</f>
        <v>1359084</v>
      </c>
      <c r="X102" s="624"/>
      <c r="Y102" s="624">
        <v>0</v>
      </c>
      <c r="Z102" s="624">
        <f t="shared" si="268"/>
        <v>1359084</v>
      </c>
      <c r="AA102" s="624">
        <f>800000+200000+100000+259084</f>
        <v>1359084</v>
      </c>
      <c r="AB102" s="624"/>
      <c r="AC102" s="624">
        <v>0</v>
      </c>
      <c r="AD102" s="624">
        <f t="shared" si="269"/>
        <v>1359084</v>
      </c>
      <c r="AE102" s="960">
        <f>800000+200000+100000+259084</f>
        <v>1359084</v>
      </c>
      <c r="AF102" s="960"/>
      <c r="AG102" s="960">
        <v>0</v>
      </c>
      <c r="AH102" s="960">
        <f t="shared" si="270"/>
        <v>1359084</v>
      </c>
    </row>
    <row r="103" spans="1:34" x14ac:dyDescent="0.25">
      <c r="A103" s="618"/>
      <c r="B103" s="771" t="s">
        <v>1475</v>
      </c>
      <c r="C103" s="625">
        <v>0</v>
      </c>
      <c r="D103" s="625">
        <v>0</v>
      </c>
      <c r="E103" s="625">
        <v>0</v>
      </c>
      <c r="F103" s="625">
        <f t="shared" si="192"/>
        <v>0</v>
      </c>
      <c r="G103" s="625">
        <v>301443</v>
      </c>
      <c r="H103" s="625">
        <v>0</v>
      </c>
      <c r="I103" s="625">
        <v>0</v>
      </c>
      <c r="J103" s="625">
        <f t="shared" si="271"/>
        <v>301443</v>
      </c>
      <c r="K103" s="625">
        <v>0</v>
      </c>
      <c r="L103" s="625">
        <v>0</v>
      </c>
      <c r="M103" s="625">
        <v>0</v>
      </c>
      <c r="N103" s="625">
        <f t="shared" si="272"/>
        <v>0</v>
      </c>
      <c r="O103" s="625">
        <v>0</v>
      </c>
      <c r="P103" s="625">
        <v>0</v>
      </c>
      <c r="Q103" s="625">
        <v>0</v>
      </c>
      <c r="R103" s="625">
        <f t="shared" si="273"/>
        <v>0</v>
      </c>
      <c r="S103" s="961">
        <v>0</v>
      </c>
      <c r="T103" s="961">
        <v>0</v>
      </c>
      <c r="U103" s="961">
        <v>0</v>
      </c>
      <c r="V103" s="961">
        <f t="shared" si="267"/>
        <v>0</v>
      </c>
      <c r="W103" s="625">
        <f>105077+27221</f>
        <v>132298</v>
      </c>
      <c r="X103" s="625">
        <v>0</v>
      </c>
      <c r="Y103" s="625">
        <v>0</v>
      </c>
      <c r="Z103" s="625">
        <f t="shared" si="268"/>
        <v>132298</v>
      </c>
      <c r="AA103" s="625">
        <f>132298+37567+38605+61858-1</f>
        <v>270327</v>
      </c>
      <c r="AB103" s="625">
        <v>0</v>
      </c>
      <c r="AC103" s="625">
        <v>0</v>
      </c>
      <c r="AD103" s="625">
        <f t="shared" si="269"/>
        <v>270327</v>
      </c>
      <c r="AE103" s="961">
        <f>270327+27568+27741+29773+1+43374+84168+1</f>
        <v>482953</v>
      </c>
      <c r="AF103" s="961">
        <v>0</v>
      </c>
      <c r="AG103" s="961">
        <v>0</v>
      </c>
      <c r="AH103" s="961">
        <f t="shared" si="270"/>
        <v>482953</v>
      </c>
    </row>
    <row r="104" spans="1:34" x14ac:dyDescent="0.25">
      <c r="A104" s="618"/>
      <c r="B104" s="629" t="s">
        <v>547</v>
      </c>
      <c r="C104" s="625">
        <v>0</v>
      </c>
      <c r="D104" s="625">
        <v>500000</v>
      </c>
      <c r="E104" s="625">
        <v>0</v>
      </c>
      <c r="F104" s="625">
        <v>500000</v>
      </c>
      <c r="G104" s="625">
        <v>0</v>
      </c>
      <c r="H104" s="625">
        <v>500000</v>
      </c>
      <c r="I104" s="625">
        <v>0</v>
      </c>
      <c r="J104" s="625">
        <v>500000</v>
      </c>
      <c r="K104" s="625">
        <v>0</v>
      </c>
      <c r="L104" s="625">
        <v>500000</v>
      </c>
      <c r="M104" s="625">
        <v>0</v>
      </c>
      <c r="N104" s="625">
        <v>500000</v>
      </c>
      <c r="O104" s="625">
        <v>502450</v>
      </c>
      <c r="P104" s="625"/>
      <c r="Q104" s="625">
        <v>0</v>
      </c>
      <c r="R104" s="625">
        <f t="shared" si="273"/>
        <v>502450</v>
      </c>
      <c r="S104" s="961">
        <v>0</v>
      </c>
      <c r="T104" s="961"/>
      <c r="U104" s="961">
        <v>0</v>
      </c>
      <c r="V104" s="961"/>
      <c r="W104" s="625">
        <v>0</v>
      </c>
      <c r="X104" s="625"/>
      <c r="Y104" s="625">
        <v>0</v>
      </c>
      <c r="Z104" s="625"/>
      <c r="AA104" s="625">
        <v>0</v>
      </c>
      <c r="AB104" s="625"/>
      <c r="AC104" s="625">
        <v>0</v>
      </c>
      <c r="AD104" s="625"/>
      <c r="AE104" s="961">
        <v>0</v>
      </c>
      <c r="AF104" s="961"/>
      <c r="AG104" s="961">
        <v>0</v>
      </c>
      <c r="AH104" s="961"/>
    </row>
    <row r="105" spans="1:34" x14ac:dyDescent="0.25">
      <c r="A105" s="615" t="s">
        <v>322</v>
      </c>
      <c r="B105" s="616" t="s">
        <v>548</v>
      </c>
      <c r="C105" s="617">
        <f t="shared" ref="C105:D105" si="283">C106+C107</f>
        <v>0</v>
      </c>
      <c r="D105" s="617">
        <f t="shared" si="283"/>
        <v>0</v>
      </c>
      <c r="E105" s="617">
        <f t="shared" ref="E105" si="284">E106+E107</f>
        <v>0</v>
      </c>
      <c r="F105" s="617">
        <f t="shared" si="192"/>
        <v>0</v>
      </c>
      <c r="G105" s="617">
        <f t="shared" ref="G105:I105" si="285">G106+G107</f>
        <v>0</v>
      </c>
      <c r="H105" s="617">
        <f t="shared" si="285"/>
        <v>0</v>
      </c>
      <c r="I105" s="617">
        <f t="shared" si="285"/>
        <v>0</v>
      </c>
      <c r="J105" s="617">
        <f t="shared" ref="J105:J108" si="286">SUM(G105:I105)</f>
        <v>0</v>
      </c>
      <c r="K105" s="617">
        <f t="shared" ref="K105:M105" si="287">K106+K107</f>
        <v>0</v>
      </c>
      <c r="L105" s="617">
        <f t="shared" si="287"/>
        <v>0</v>
      </c>
      <c r="M105" s="617">
        <f t="shared" si="287"/>
        <v>0</v>
      </c>
      <c r="N105" s="617">
        <f t="shared" ref="N105:N108" si="288">SUM(K105:M105)</f>
        <v>0</v>
      </c>
      <c r="O105" s="617">
        <f t="shared" ref="O105:Q105" si="289">O106+O107</f>
        <v>0</v>
      </c>
      <c r="P105" s="617">
        <f t="shared" si="289"/>
        <v>0</v>
      </c>
      <c r="Q105" s="617">
        <f t="shared" si="289"/>
        <v>0</v>
      </c>
      <c r="R105" s="617">
        <f t="shared" ref="R105:R108" si="290">SUM(O105:Q105)</f>
        <v>0</v>
      </c>
      <c r="S105" s="617">
        <f t="shared" ref="S105:U105" si="291">S106+S107</f>
        <v>0</v>
      </c>
      <c r="T105" s="617">
        <f t="shared" si="291"/>
        <v>0</v>
      </c>
      <c r="U105" s="617">
        <f t="shared" si="291"/>
        <v>0</v>
      </c>
      <c r="V105" s="617">
        <f t="shared" ref="V105:V108" si="292">SUM(S105:U105)</f>
        <v>0</v>
      </c>
      <c r="W105" s="617">
        <f t="shared" ref="W105:Y105" si="293">W106+W107</f>
        <v>0</v>
      </c>
      <c r="X105" s="617">
        <f t="shared" si="293"/>
        <v>0</v>
      </c>
      <c r="Y105" s="617">
        <f t="shared" si="293"/>
        <v>0</v>
      </c>
      <c r="Z105" s="617">
        <f t="shared" ref="Z105:Z108" si="294">SUM(W105:Y105)</f>
        <v>0</v>
      </c>
      <c r="AA105" s="617">
        <f t="shared" ref="AA105:AC105" si="295">AA106+AA107</f>
        <v>0</v>
      </c>
      <c r="AB105" s="617">
        <f t="shared" si="295"/>
        <v>0</v>
      </c>
      <c r="AC105" s="617">
        <f t="shared" si="295"/>
        <v>0</v>
      </c>
      <c r="AD105" s="617">
        <f t="shared" ref="AD105:AD108" si="296">SUM(AA105:AC105)</f>
        <v>0</v>
      </c>
      <c r="AE105" s="617">
        <f t="shared" ref="AE105:AG105" si="297">AE106+AE107</f>
        <v>0</v>
      </c>
      <c r="AF105" s="617">
        <f t="shared" si="297"/>
        <v>0</v>
      </c>
      <c r="AG105" s="617">
        <f t="shared" si="297"/>
        <v>0</v>
      </c>
      <c r="AH105" s="617">
        <f t="shared" ref="AH105:AH108" si="298">SUM(AE105:AG105)</f>
        <v>0</v>
      </c>
    </row>
    <row r="106" spans="1:34" x14ac:dyDescent="0.25">
      <c r="A106" s="618"/>
      <c r="B106" s="629" t="s">
        <v>549</v>
      </c>
      <c r="C106" s="625">
        <v>0</v>
      </c>
      <c r="D106" s="625">
        <v>0</v>
      </c>
      <c r="E106" s="625">
        <v>0</v>
      </c>
      <c r="F106" s="625">
        <f t="shared" si="192"/>
        <v>0</v>
      </c>
      <c r="G106" s="625">
        <v>0</v>
      </c>
      <c r="H106" s="625">
        <v>0</v>
      </c>
      <c r="I106" s="625">
        <v>0</v>
      </c>
      <c r="J106" s="625">
        <f t="shared" si="286"/>
        <v>0</v>
      </c>
      <c r="K106" s="625">
        <v>0</v>
      </c>
      <c r="L106" s="625">
        <v>0</v>
      </c>
      <c r="M106" s="625">
        <v>0</v>
      </c>
      <c r="N106" s="625">
        <f t="shared" si="288"/>
        <v>0</v>
      </c>
      <c r="O106" s="625">
        <v>0</v>
      </c>
      <c r="P106" s="625">
        <v>0</v>
      </c>
      <c r="Q106" s="625">
        <v>0</v>
      </c>
      <c r="R106" s="625">
        <f t="shared" si="290"/>
        <v>0</v>
      </c>
      <c r="S106" s="961">
        <v>0</v>
      </c>
      <c r="T106" s="961">
        <v>0</v>
      </c>
      <c r="U106" s="961">
        <v>0</v>
      </c>
      <c r="V106" s="961">
        <f t="shared" si="292"/>
        <v>0</v>
      </c>
      <c r="W106" s="625">
        <v>0</v>
      </c>
      <c r="X106" s="625">
        <v>0</v>
      </c>
      <c r="Y106" s="625">
        <v>0</v>
      </c>
      <c r="Z106" s="625">
        <f t="shared" si="294"/>
        <v>0</v>
      </c>
      <c r="AA106" s="625">
        <v>0</v>
      </c>
      <c r="AB106" s="625">
        <v>0</v>
      </c>
      <c r="AC106" s="625">
        <v>0</v>
      </c>
      <c r="AD106" s="625">
        <f t="shared" si="296"/>
        <v>0</v>
      </c>
      <c r="AE106" s="961">
        <v>0</v>
      </c>
      <c r="AF106" s="961">
        <v>0</v>
      </c>
      <c r="AG106" s="961">
        <v>0</v>
      </c>
      <c r="AH106" s="961">
        <f t="shared" si="298"/>
        <v>0</v>
      </c>
    </row>
    <row r="107" spans="1:34" x14ac:dyDescent="0.25">
      <c r="A107" s="618"/>
      <c r="B107" s="629" t="s">
        <v>550</v>
      </c>
      <c r="C107" s="625">
        <v>0</v>
      </c>
      <c r="D107" s="625">
        <v>0</v>
      </c>
      <c r="E107" s="625">
        <v>0</v>
      </c>
      <c r="F107" s="625">
        <f t="shared" si="192"/>
        <v>0</v>
      </c>
      <c r="G107" s="625">
        <v>0</v>
      </c>
      <c r="H107" s="625">
        <v>0</v>
      </c>
      <c r="I107" s="625">
        <v>0</v>
      </c>
      <c r="J107" s="625">
        <f t="shared" si="286"/>
        <v>0</v>
      </c>
      <c r="K107" s="625">
        <v>0</v>
      </c>
      <c r="L107" s="625">
        <v>0</v>
      </c>
      <c r="M107" s="625">
        <v>0</v>
      </c>
      <c r="N107" s="625">
        <f t="shared" si="288"/>
        <v>0</v>
      </c>
      <c r="O107" s="625">
        <v>0</v>
      </c>
      <c r="P107" s="625">
        <v>0</v>
      </c>
      <c r="Q107" s="625">
        <v>0</v>
      </c>
      <c r="R107" s="625">
        <f t="shared" si="290"/>
        <v>0</v>
      </c>
      <c r="S107" s="961">
        <v>0</v>
      </c>
      <c r="T107" s="961">
        <v>0</v>
      </c>
      <c r="U107" s="961">
        <v>0</v>
      </c>
      <c r="V107" s="961">
        <f t="shared" si="292"/>
        <v>0</v>
      </c>
      <c r="W107" s="625">
        <v>0</v>
      </c>
      <c r="X107" s="625">
        <v>0</v>
      </c>
      <c r="Y107" s="625">
        <v>0</v>
      </c>
      <c r="Z107" s="625">
        <f t="shared" si="294"/>
        <v>0</v>
      </c>
      <c r="AA107" s="625">
        <v>0</v>
      </c>
      <c r="AB107" s="625">
        <v>0</v>
      </c>
      <c r="AC107" s="625">
        <v>0</v>
      </c>
      <c r="AD107" s="625">
        <f t="shared" si="296"/>
        <v>0</v>
      </c>
      <c r="AE107" s="961">
        <v>0</v>
      </c>
      <c r="AF107" s="961">
        <v>0</v>
      </c>
      <c r="AG107" s="961">
        <v>0</v>
      </c>
      <c r="AH107" s="961">
        <f t="shared" si="298"/>
        <v>0</v>
      </c>
    </row>
    <row r="108" spans="1:34" x14ac:dyDescent="0.25">
      <c r="A108" s="636"/>
      <c r="B108" s="637" t="s">
        <v>333</v>
      </c>
      <c r="C108" s="638">
        <f t="shared" ref="C108:D108" si="299">C92+C62+C5</f>
        <v>3689632</v>
      </c>
      <c r="D108" s="638">
        <f t="shared" si="299"/>
        <v>2530133</v>
      </c>
      <c r="E108" s="638">
        <f t="shared" ref="E108" si="300">E92+E62+E5</f>
        <v>0</v>
      </c>
      <c r="F108" s="638">
        <f t="shared" si="192"/>
        <v>6219765</v>
      </c>
      <c r="G108" s="638">
        <f t="shared" ref="G108:I108" si="301">G92+G62+G5</f>
        <v>4201770</v>
      </c>
      <c r="H108" s="638">
        <f t="shared" si="301"/>
        <v>3086172</v>
      </c>
      <c r="I108" s="638">
        <f t="shared" si="301"/>
        <v>0</v>
      </c>
      <c r="J108" s="638">
        <f t="shared" si="286"/>
        <v>7287942</v>
      </c>
      <c r="K108" s="638">
        <f t="shared" ref="K108:M108" si="302">K92+K62+K5</f>
        <v>3709847</v>
      </c>
      <c r="L108" s="638">
        <f t="shared" si="302"/>
        <v>2909127</v>
      </c>
      <c r="M108" s="638">
        <f t="shared" si="302"/>
        <v>0</v>
      </c>
      <c r="N108" s="638">
        <f t="shared" si="288"/>
        <v>6618974</v>
      </c>
      <c r="O108" s="638">
        <f t="shared" ref="O108:Q108" si="303">O92+O62+O5</f>
        <v>7109650</v>
      </c>
      <c r="P108" s="638">
        <f t="shared" si="303"/>
        <v>12200</v>
      </c>
      <c r="Q108" s="638">
        <f t="shared" si="303"/>
        <v>0</v>
      </c>
      <c r="R108" s="638">
        <f t="shared" si="290"/>
        <v>7121850</v>
      </c>
      <c r="S108" s="638">
        <f t="shared" ref="S108:U108" si="304">S92+S62+S5</f>
        <v>5554599.0810000002</v>
      </c>
      <c r="T108" s="638">
        <f t="shared" si="304"/>
        <v>50887</v>
      </c>
      <c r="U108" s="638">
        <f t="shared" si="304"/>
        <v>0</v>
      </c>
      <c r="V108" s="638">
        <f t="shared" si="292"/>
        <v>5605486.0810000002</v>
      </c>
      <c r="W108" s="638">
        <f t="shared" ref="W108:Y108" si="305">W92+W62+W5</f>
        <v>6098059.8339999998</v>
      </c>
      <c r="X108" s="638">
        <f t="shared" si="305"/>
        <v>50887</v>
      </c>
      <c r="Y108" s="638">
        <f t="shared" si="305"/>
        <v>0</v>
      </c>
      <c r="Z108" s="638">
        <f t="shared" si="294"/>
        <v>6148946.8339999998</v>
      </c>
      <c r="AA108" s="638">
        <f t="shared" ref="AA108:AC108" si="306">AA92+AA62+AA5</f>
        <v>6242899</v>
      </c>
      <c r="AB108" s="638">
        <f t="shared" si="306"/>
        <v>50887</v>
      </c>
      <c r="AC108" s="638">
        <f t="shared" si="306"/>
        <v>0</v>
      </c>
      <c r="AD108" s="638">
        <f t="shared" si="296"/>
        <v>6293786</v>
      </c>
      <c r="AE108" s="638">
        <f t="shared" ref="AE108:AG108" si="307">AE92+AE62+AE5</f>
        <v>6800587</v>
      </c>
      <c r="AF108" s="638">
        <f t="shared" si="307"/>
        <v>54125</v>
      </c>
      <c r="AG108" s="638">
        <f t="shared" si="307"/>
        <v>0</v>
      </c>
      <c r="AH108" s="638">
        <f t="shared" si="298"/>
        <v>6854712</v>
      </c>
    </row>
    <row r="110" spans="1:34" x14ac:dyDescent="0.25">
      <c r="J110" s="639">
        <f>+J108-F108</f>
        <v>1068177</v>
      </c>
      <c r="V110" s="607">
        <v>2514343</v>
      </c>
      <c r="Z110" s="607">
        <v>2514343</v>
      </c>
      <c r="AD110" s="607">
        <v>2514343</v>
      </c>
      <c r="AH110" s="607">
        <v>2514343</v>
      </c>
    </row>
    <row r="111" spans="1:34" x14ac:dyDescent="0.25">
      <c r="V111" s="639">
        <f>+V110+V108</f>
        <v>8119829.0810000002</v>
      </c>
      <c r="Z111" s="639">
        <f>+Z110+Z108</f>
        <v>8663289.8339999989</v>
      </c>
      <c r="AD111" s="639">
        <f>+AD110+AD108</f>
        <v>8808129</v>
      </c>
      <c r="AH111" s="639">
        <f>+AH110+AH108</f>
        <v>9369055</v>
      </c>
    </row>
    <row r="112" spans="1:34" x14ac:dyDescent="0.25">
      <c r="V112" s="607">
        <v>2325719</v>
      </c>
      <c r="Z112" s="607">
        <v>2325719</v>
      </c>
      <c r="AD112" s="607">
        <v>2325719</v>
      </c>
      <c r="AH112" s="607">
        <v>2325719</v>
      </c>
    </row>
    <row r="113" spans="22:34" x14ac:dyDescent="0.25">
      <c r="V113" s="639">
        <f>+V111-V112</f>
        <v>5794110.0810000002</v>
      </c>
      <c r="Z113" s="639">
        <f>+Z111-Z112</f>
        <v>6337570.8339999989</v>
      </c>
      <c r="AD113" s="639">
        <f>+AD111-AD112</f>
        <v>6482410</v>
      </c>
      <c r="AH113" s="639">
        <f>+AH111-AH112</f>
        <v>7043336</v>
      </c>
    </row>
  </sheetData>
  <mergeCells count="10">
    <mergeCell ref="AE3:AH3"/>
    <mergeCell ref="AA3:AD3"/>
    <mergeCell ref="A3:A4"/>
    <mergeCell ref="B3:B4"/>
    <mergeCell ref="C3:F3"/>
    <mergeCell ref="G3:J3"/>
    <mergeCell ref="W3:Z3"/>
    <mergeCell ref="O3:R3"/>
    <mergeCell ref="S3:V3"/>
    <mergeCell ref="K3:N3"/>
  </mergeCells>
  <printOptions horizontalCentered="1"/>
  <pageMargins left="0.19685039370078741" right="0.19685039370078741" top="0.74803149606299213" bottom="0.39370078740157483" header="0.19685039370078741" footer="0.15748031496062992"/>
  <pageSetup paperSize="9" scale="41" fitToHeight="0" orientation="portrait" r:id="rId1"/>
  <headerFooter>
    <oddHeader>&amp;L2/A.  melléklet a ...../2020. (.......) önkormányzati rendelethez&amp;C&amp;"-,Félkövér"&amp;16
Az Önkormányzat 2019. évi bevételei forrásonként és feladatonként</oddHeader>
    <oddFooter>&amp;C&amp;P</oddFooter>
  </headerFooter>
  <rowBreaks count="1" manualBreakCount="1">
    <brk id="61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58"/>
  <sheetViews>
    <sheetView view="pageBreakPreview" zoomScale="75" zoomScaleNormal="100" zoomScaleSheetLayoutView="75" workbookViewId="0">
      <selection activeCell="AE10" sqref="AE10:AH10"/>
    </sheetView>
  </sheetViews>
  <sheetFormatPr defaultColWidth="9.140625" defaultRowHeight="15" x14ac:dyDescent="0.25"/>
  <cols>
    <col min="1" max="1" width="4.7109375" style="247" customWidth="1"/>
    <col min="2" max="2" width="48.7109375" style="96" customWidth="1"/>
    <col min="3" max="3" width="9.7109375" style="283" hidden="1" customWidth="1"/>
    <col min="4" max="4" width="9.85546875" style="283" hidden="1" customWidth="1"/>
    <col min="5" max="5" width="11.140625" style="283" hidden="1" customWidth="1"/>
    <col min="6" max="6" width="10.7109375" style="283" hidden="1" customWidth="1"/>
    <col min="7" max="7" width="10.28515625" style="283" hidden="1" customWidth="1"/>
    <col min="8" max="8" width="13.7109375" style="283" hidden="1" customWidth="1"/>
    <col min="9" max="9" width="11.28515625" style="283" hidden="1" customWidth="1"/>
    <col min="10" max="10" width="10.140625" style="283" hidden="1" customWidth="1"/>
    <col min="11" max="11" width="10.28515625" style="283" hidden="1" customWidth="1"/>
    <col min="12" max="12" width="11" style="283" hidden="1" customWidth="1"/>
    <col min="13" max="13" width="9.85546875" style="283" hidden="1" customWidth="1"/>
    <col min="14" max="14" width="13.28515625" style="283" hidden="1" customWidth="1"/>
    <col min="15" max="16" width="10.28515625" style="283" hidden="1" customWidth="1"/>
    <col min="17" max="17" width="9.85546875" style="283" hidden="1" customWidth="1"/>
    <col min="18" max="18" width="9.7109375" style="283" hidden="1" customWidth="1"/>
    <col min="19" max="19" width="10.28515625" style="283" customWidth="1"/>
    <col min="20" max="20" width="10.85546875" style="283" customWidth="1"/>
    <col min="21" max="21" width="9.85546875" style="283" customWidth="1"/>
    <col min="22" max="22" width="9.7109375" style="283" customWidth="1"/>
    <col min="23" max="23" width="10.28515625" style="283" hidden="1" customWidth="1"/>
    <col min="24" max="24" width="10.85546875" style="283" hidden="1" customWidth="1"/>
    <col min="25" max="25" width="9.85546875" style="283" hidden="1" customWidth="1"/>
    <col min="26" max="26" width="9.7109375" style="283" hidden="1" customWidth="1"/>
    <col min="27" max="27" width="10" style="283" bestFit="1" customWidth="1"/>
    <col min="28" max="28" width="9.140625" style="283"/>
    <col min="29" max="29" width="10" style="283" bestFit="1" customWidth="1"/>
    <col min="30" max="30" width="12.140625" style="283" customWidth="1"/>
    <col min="31" max="33" width="10" style="283" bestFit="1" customWidth="1"/>
    <col min="34" max="34" width="12.140625" style="283" customWidth="1"/>
    <col min="35" max="16384" width="9.140625" style="283"/>
  </cols>
  <sheetData>
    <row r="1" spans="1:34" x14ac:dyDescent="0.25">
      <c r="F1" s="566"/>
      <c r="N1" s="169"/>
      <c r="R1" s="169"/>
      <c r="V1" s="169"/>
      <c r="Z1" s="423"/>
      <c r="AD1" s="423"/>
      <c r="AH1" s="423" t="s">
        <v>302</v>
      </c>
    </row>
    <row r="2" spans="1:34" ht="30" x14ac:dyDescent="0.25">
      <c r="A2" s="346" t="s">
        <v>468</v>
      </c>
      <c r="B2" s="346" t="s">
        <v>469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</row>
    <row r="3" spans="1:34" ht="48.75" customHeight="1" x14ac:dyDescent="0.25">
      <c r="A3" s="991" t="s">
        <v>305</v>
      </c>
      <c r="B3" s="991" t="s">
        <v>586</v>
      </c>
      <c r="C3" s="988" t="s">
        <v>1503</v>
      </c>
      <c r="D3" s="989"/>
      <c r="E3" s="989"/>
      <c r="F3" s="990"/>
      <c r="G3" s="988" t="s">
        <v>1504</v>
      </c>
      <c r="H3" s="989"/>
      <c r="I3" s="989"/>
      <c r="J3" s="990"/>
      <c r="K3" s="988" t="s">
        <v>1505</v>
      </c>
      <c r="L3" s="989"/>
      <c r="M3" s="989"/>
      <c r="N3" s="990"/>
      <c r="O3" s="988" t="s">
        <v>1496</v>
      </c>
      <c r="P3" s="989"/>
      <c r="Q3" s="989"/>
      <c r="R3" s="990"/>
      <c r="S3" s="988" t="s">
        <v>1499</v>
      </c>
      <c r="T3" s="989"/>
      <c r="U3" s="989"/>
      <c r="V3" s="990"/>
      <c r="W3" s="988" t="s">
        <v>1715</v>
      </c>
      <c r="X3" s="989"/>
      <c r="Y3" s="989"/>
      <c r="Z3" s="990"/>
      <c r="AA3" s="988" t="s">
        <v>1725</v>
      </c>
      <c r="AB3" s="989"/>
      <c r="AC3" s="989"/>
      <c r="AD3" s="990"/>
      <c r="AE3" s="988" t="s">
        <v>1745</v>
      </c>
      <c r="AF3" s="989"/>
      <c r="AG3" s="989"/>
      <c r="AH3" s="990"/>
    </row>
    <row r="4" spans="1:34" ht="60" x14ac:dyDescent="0.25">
      <c r="A4" s="991"/>
      <c r="B4" s="991"/>
      <c r="C4" s="520" t="s">
        <v>1313</v>
      </c>
      <c r="D4" s="520" t="s">
        <v>1314</v>
      </c>
      <c r="E4" s="520" t="s">
        <v>1315</v>
      </c>
      <c r="F4" s="520" t="s">
        <v>553</v>
      </c>
      <c r="G4" s="520" t="s">
        <v>1313</v>
      </c>
      <c r="H4" s="520" t="s">
        <v>1314</v>
      </c>
      <c r="I4" s="520" t="s">
        <v>1315</v>
      </c>
      <c r="J4" s="520" t="s">
        <v>553</v>
      </c>
      <c r="K4" s="520" t="s">
        <v>1313</v>
      </c>
      <c r="L4" s="520" t="s">
        <v>1314</v>
      </c>
      <c r="M4" s="520" t="s">
        <v>1315</v>
      </c>
      <c r="N4" s="520" t="s">
        <v>553</v>
      </c>
      <c r="O4" s="640" t="s">
        <v>1313</v>
      </c>
      <c r="P4" s="640" t="s">
        <v>1314</v>
      </c>
      <c r="Q4" s="640" t="s">
        <v>1315</v>
      </c>
      <c r="R4" s="640" t="s">
        <v>553</v>
      </c>
      <c r="S4" s="640" t="s">
        <v>1313</v>
      </c>
      <c r="T4" s="640" t="s">
        <v>1314</v>
      </c>
      <c r="U4" s="640" t="s">
        <v>1315</v>
      </c>
      <c r="V4" s="640" t="s">
        <v>553</v>
      </c>
      <c r="W4" s="856" t="s">
        <v>1313</v>
      </c>
      <c r="X4" s="856" t="s">
        <v>1314</v>
      </c>
      <c r="Y4" s="856" t="s">
        <v>1315</v>
      </c>
      <c r="Z4" s="856" t="s">
        <v>553</v>
      </c>
      <c r="AA4" s="878" t="s">
        <v>1313</v>
      </c>
      <c r="AB4" s="878" t="s">
        <v>1314</v>
      </c>
      <c r="AC4" s="878" t="s">
        <v>1315</v>
      </c>
      <c r="AD4" s="878" t="s">
        <v>553</v>
      </c>
      <c r="AE4" s="896" t="s">
        <v>1313</v>
      </c>
      <c r="AF4" s="896" t="s">
        <v>1314</v>
      </c>
      <c r="AG4" s="896" t="s">
        <v>1315</v>
      </c>
      <c r="AH4" s="896" t="s">
        <v>553</v>
      </c>
    </row>
    <row r="5" spans="1:34" x14ac:dyDescent="0.25">
      <c r="A5" s="347"/>
      <c r="B5" s="556" t="s">
        <v>307</v>
      </c>
      <c r="C5" s="349">
        <v>12</v>
      </c>
      <c r="D5" s="349">
        <v>0</v>
      </c>
      <c r="E5" s="349">
        <v>0</v>
      </c>
      <c r="F5" s="349">
        <f>SUM(C5:E5)</f>
        <v>12</v>
      </c>
      <c r="G5" s="349">
        <v>12</v>
      </c>
      <c r="H5" s="349">
        <v>0</v>
      </c>
      <c r="I5" s="349">
        <v>0</v>
      </c>
      <c r="J5" s="349">
        <f>SUM(G5:I5)</f>
        <v>12</v>
      </c>
      <c r="K5" s="349">
        <v>12</v>
      </c>
      <c r="L5" s="349">
        <v>0</v>
      </c>
      <c r="M5" s="349">
        <v>0</v>
      </c>
      <c r="N5" s="349">
        <f>SUM(K5:M5)</f>
        <v>12</v>
      </c>
      <c r="O5" s="349">
        <v>12</v>
      </c>
      <c r="P5" s="349">
        <v>0</v>
      </c>
      <c r="Q5" s="349">
        <v>0</v>
      </c>
      <c r="R5" s="349">
        <f>SUM(O5:Q5)</f>
        <v>12</v>
      </c>
      <c r="S5" s="936">
        <v>16</v>
      </c>
      <c r="T5" s="936">
        <v>0</v>
      </c>
      <c r="U5" s="936">
        <v>0</v>
      </c>
      <c r="V5" s="936">
        <f>SUM(S5:U5)</f>
        <v>16</v>
      </c>
      <c r="W5" s="349">
        <v>16</v>
      </c>
      <c r="X5" s="349">
        <v>0</v>
      </c>
      <c r="Y5" s="349">
        <v>0</v>
      </c>
      <c r="Z5" s="349">
        <f>SUM(W5:Y5)</f>
        <v>16</v>
      </c>
      <c r="AA5" s="349">
        <v>16</v>
      </c>
      <c r="AB5" s="349">
        <v>0</v>
      </c>
      <c r="AC5" s="349">
        <v>0</v>
      </c>
      <c r="AD5" s="349">
        <f>SUM(AA5:AC5)</f>
        <v>16</v>
      </c>
      <c r="AE5" s="936">
        <f>16-5</f>
        <v>11</v>
      </c>
      <c r="AF5" s="936">
        <v>0</v>
      </c>
      <c r="AG5" s="936">
        <v>0</v>
      </c>
      <c r="AH5" s="936">
        <f>SUM(AE5:AG5)</f>
        <v>11</v>
      </c>
    </row>
    <row r="6" spans="1:34" x14ac:dyDescent="0.25">
      <c r="A6" s="347"/>
      <c r="B6" s="556" t="s">
        <v>308</v>
      </c>
      <c r="C6" s="349">
        <v>25</v>
      </c>
      <c r="D6" s="349">
        <v>0</v>
      </c>
      <c r="E6" s="349">
        <v>0</v>
      </c>
      <c r="F6" s="349">
        <f t="shared" ref="F6:F43" si="0">SUM(C6:E6)</f>
        <v>25</v>
      </c>
      <c r="G6" s="349">
        <v>25</v>
      </c>
      <c r="H6" s="349">
        <v>0</v>
      </c>
      <c r="I6" s="349">
        <v>0</v>
      </c>
      <c r="J6" s="349">
        <f t="shared" ref="J6:J43" si="1">SUM(G6:I6)</f>
        <v>25</v>
      </c>
      <c r="K6" s="349">
        <v>25</v>
      </c>
      <c r="L6" s="349">
        <v>0</v>
      </c>
      <c r="M6" s="349">
        <v>0</v>
      </c>
      <c r="N6" s="349">
        <f t="shared" ref="N6:N38" si="2">SUM(K6:M6)</f>
        <v>25</v>
      </c>
      <c r="O6" s="349">
        <v>25</v>
      </c>
      <c r="P6" s="349">
        <v>0</v>
      </c>
      <c r="Q6" s="349">
        <v>0</v>
      </c>
      <c r="R6" s="349">
        <f t="shared" ref="R6:R38" si="3">SUM(O6:Q6)</f>
        <v>25</v>
      </c>
      <c r="S6" s="936">
        <v>10</v>
      </c>
      <c r="T6" s="936">
        <v>0</v>
      </c>
      <c r="U6" s="936">
        <v>0</v>
      </c>
      <c r="V6" s="936">
        <f t="shared" ref="V6:V38" si="4">SUM(S6:U6)</f>
        <v>10</v>
      </c>
      <c r="W6" s="349">
        <v>10</v>
      </c>
      <c r="X6" s="349">
        <v>0</v>
      </c>
      <c r="Y6" s="349">
        <v>0</v>
      </c>
      <c r="Z6" s="349">
        <f t="shared" ref="Z6" si="5">SUM(W6:Y6)</f>
        <v>10</v>
      </c>
      <c r="AA6" s="349">
        <f>+'6. létszámkeret'!I6</f>
        <v>0</v>
      </c>
      <c r="AB6" s="349">
        <v>0</v>
      </c>
      <c r="AC6" s="349">
        <v>0</v>
      </c>
      <c r="AD6" s="349">
        <f t="shared" ref="AD6" si="6">SUM(AA6:AC6)</f>
        <v>0</v>
      </c>
      <c r="AE6" s="936">
        <f>+'6. létszámkeret'!M6</f>
        <v>0</v>
      </c>
      <c r="AF6" s="936">
        <v>0</v>
      </c>
      <c r="AG6" s="936">
        <v>0</v>
      </c>
      <c r="AH6" s="936">
        <f t="shared" ref="AH6" si="7">SUM(AE6:AG6)</f>
        <v>0</v>
      </c>
    </row>
    <row r="7" spans="1:34" x14ac:dyDescent="0.25">
      <c r="A7" s="557" t="s">
        <v>309</v>
      </c>
      <c r="B7" s="538" t="s">
        <v>334</v>
      </c>
      <c r="C7" s="539">
        <f t="shared" ref="C7:E7" si="8">C8+C9+C10+C11+C12</f>
        <v>1070530</v>
      </c>
      <c r="D7" s="539">
        <f t="shared" si="8"/>
        <v>531336</v>
      </c>
      <c r="E7" s="539">
        <f t="shared" si="8"/>
        <v>0</v>
      </c>
      <c r="F7" s="539">
        <f t="shared" si="0"/>
        <v>1601866</v>
      </c>
      <c r="G7" s="539">
        <f t="shared" ref="G7:I7" si="9">G8+G9+G10+G11+G12</f>
        <v>1453075</v>
      </c>
      <c r="H7" s="539" t="e">
        <f t="shared" si="9"/>
        <v>#REF!</v>
      </c>
      <c r="I7" s="539" t="e">
        <f t="shared" si="9"/>
        <v>#REF!</v>
      </c>
      <c r="J7" s="539" t="e">
        <f t="shared" si="1"/>
        <v>#REF!</v>
      </c>
      <c r="K7" s="539">
        <f t="shared" ref="K7:M7" si="10">K8+K9+K10+K11+K12</f>
        <v>1446837</v>
      </c>
      <c r="L7" s="539">
        <f t="shared" si="10"/>
        <v>1464302</v>
      </c>
      <c r="M7" s="539">
        <f t="shared" si="10"/>
        <v>17666</v>
      </c>
      <c r="N7" s="539">
        <f t="shared" si="2"/>
        <v>2928805</v>
      </c>
      <c r="O7" s="539">
        <f t="shared" ref="O7:Q7" si="11">O8+O9+O10+O11+O12</f>
        <v>656889</v>
      </c>
      <c r="P7" s="539">
        <f t="shared" si="11"/>
        <v>1308349</v>
      </c>
      <c r="Q7" s="539">
        <f t="shared" si="11"/>
        <v>0</v>
      </c>
      <c r="R7" s="539">
        <f t="shared" si="3"/>
        <v>1965238</v>
      </c>
      <c r="S7" s="539">
        <f t="shared" ref="S7:U7" si="12">S8+S9+S10+S11+S12</f>
        <v>966399.31496062991</v>
      </c>
      <c r="T7" s="539">
        <f t="shared" si="12"/>
        <v>542244.41999999993</v>
      </c>
      <c r="U7" s="539">
        <f t="shared" si="12"/>
        <v>0</v>
      </c>
      <c r="V7" s="539">
        <f>SUM(S7:U7)-1</f>
        <v>1508642.7349606298</v>
      </c>
      <c r="W7" s="539">
        <f t="shared" ref="W7:Y7" si="13">W8+W9+W10+W11+W12</f>
        <v>1063962</v>
      </c>
      <c r="X7" s="539">
        <f>X8+X9+X10+X11+X12</f>
        <v>584384</v>
      </c>
      <c r="Y7" s="539">
        <f t="shared" si="13"/>
        <v>0</v>
      </c>
      <c r="Z7" s="539">
        <f>SUM(W7:Y7)</f>
        <v>1648346</v>
      </c>
      <c r="AA7" s="539">
        <f t="shared" ref="AA7" si="14">AA8+AA9+AA10+AA11+AA12</f>
        <v>1025605</v>
      </c>
      <c r="AB7" s="539">
        <f>AB8+AB9+AB10+AB11+AB12</f>
        <v>664350</v>
      </c>
      <c r="AC7" s="539">
        <f t="shared" ref="AC7" si="15">AC8+AC9+AC10+AC11+AC12</f>
        <v>0</v>
      </c>
      <c r="AD7" s="539">
        <f>SUM(AA7:AC7)</f>
        <v>1689955</v>
      </c>
      <c r="AE7" s="539">
        <f t="shared" ref="AE7" si="16">AE8+AE9+AE10+AE11+AE12</f>
        <v>1226675</v>
      </c>
      <c r="AF7" s="539">
        <f>AF8+AF9+AF10+AF11+AF12</f>
        <v>675056</v>
      </c>
      <c r="AG7" s="539">
        <f t="shared" ref="AG7" si="17">AG8+AG9+AG10+AG11+AG12</f>
        <v>0</v>
      </c>
      <c r="AH7" s="539">
        <f>SUM(AE7:AG7)</f>
        <v>1901731</v>
      </c>
    </row>
    <row r="8" spans="1:34" x14ac:dyDescent="0.25">
      <c r="A8" s="560" t="s">
        <v>311</v>
      </c>
      <c r="B8" s="567" t="s">
        <v>286</v>
      </c>
      <c r="C8" s="568">
        <f>'2C Önk bev kiad fel'!E15+'2C Önk bev kiad fel'!E20+'2C Önk bev kiad fel'!E45+'2C Önk bev kiad fel'!E65+'2C Önk bev kiad fel'!E29</f>
        <v>176460</v>
      </c>
      <c r="D8" s="568">
        <f>'2C Önk bev kiad fel'!E80+'2C Önk bev kiad fel'!E84+'2C Önk bev kiad fel'!E108+'2C Önk bev kiad fel'!E157+'2C Önk bev kiad fel'!E178+'2C Önk bev kiad fel'!E184+'2C Önk bev kiad fel'!E171</f>
        <v>60767</v>
      </c>
      <c r="E8" s="568">
        <v>0</v>
      </c>
      <c r="F8" s="568">
        <f t="shared" si="0"/>
        <v>237227</v>
      </c>
      <c r="G8" s="568">
        <f>'2C Önk bev kiad fel'!H15+'2C Önk bev kiad fel'!H20+'2C Önk bev kiad fel'!H45+'2C Önk bev kiad fel'!H65</f>
        <v>173289</v>
      </c>
      <c r="H8" s="568">
        <f>'2C Önk bev kiad fel'!H80+'2C Önk bev kiad fel'!H84+'2C Önk bev kiad fel'!H108+'2C Önk bev kiad fel'!H157+'2C Önk bev kiad fel'!H178+'2C Önk bev kiad fel'!H184+'2C Önk bev kiad fel'!H171+'2C Önk bev kiad fel'!H199</f>
        <v>68679</v>
      </c>
      <c r="I8" s="568">
        <f>'2C Önk bev kiad fel'!I209</f>
        <v>0</v>
      </c>
      <c r="J8" s="568">
        <f t="shared" si="1"/>
        <v>241968</v>
      </c>
      <c r="K8" s="568">
        <f>'2C Önk bev kiad fel'!K15+'2C Önk bev kiad fel'!K20+'2C Önk bev kiad fel'!K45+'2C Önk bev kiad fel'!K65</f>
        <v>173289</v>
      </c>
      <c r="L8" s="568">
        <f>'2C Önk bev kiad fel'!K80+'2C Önk bev kiad fel'!K84+'2C Önk bev kiad fel'!K108+'2C Önk bev kiad fel'!K157+'2C Önk bev kiad fel'!K178+'2C Önk bev kiad fel'!K184+'2C Önk bev kiad fel'!K171</f>
        <v>66463</v>
      </c>
      <c r="M8" s="568">
        <f>'2C Önk bev kiad fel'!M209</f>
        <v>0</v>
      </c>
      <c r="N8" s="568">
        <f t="shared" si="2"/>
        <v>239752</v>
      </c>
      <c r="O8" s="568">
        <f>'2C Önk bev kiad fel'!N15+'2C Önk bev kiad fel'!N20+'2C Önk bev kiad fel'!N45+'2C Önk bev kiad fel'!N65</f>
        <v>0</v>
      </c>
      <c r="P8" s="568">
        <f>'2C Önk bev kiad fel'!N80+'2C Önk bev kiad fel'!N84+'2C Önk bev kiad fel'!N108+'2C Önk bev kiad fel'!N157+'2C Önk bev kiad fel'!N178+'2C Önk bev kiad fel'!N184+'2C Önk bev kiad fel'!N171</f>
        <v>159667</v>
      </c>
      <c r="Q8" s="568"/>
      <c r="R8" s="568">
        <f t="shared" si="3"/>
        <v>159667</v>
      </c>
      <c r="S8" s="568">
        <f>'2C Önk bev kiad fel'!Q15+'2C Önk bev kiad fel'!Q20+'2C Önk bev kiad fel'!Q45+'2C Önk bev kiad fel'!Q65+'2C Önk bev kiad fel'!Q29</f>
        <v>175002</v>
      </c>
      <c r="T8" s="568">
        <f>'2C Önk bev kiad fel'!Q80+'2C Önk bev kiad fel'!Q84+'2C Önk bev kiad fel'!Q108+'2C Önk bev kiad fel'!Q157+'2C Önk bev kiad fel'!Q178+'2C Önk bev kiad fel'!Q184+'2C Önk bev kiad fel'!Q171</f>
        <v>63714</v>
      </c>
      <c r="U8" s="568">
        <v>0</v>
      </c>
      <c r="V8" s="568">
        <f t="shared" si="4"/>
        <v>238716</v>
      </c>
      <c r="W8" s="568">
        <f>'2C Önk bev kiad fel'!T15+'2C Önk bev kiad fel'!T20+'2C Önk bev kiad fel'!T45+'2C Önk bev kiad fel'!T65+'2C Önk bev kiad fel'!T29</f>
        <v>175002</v>
      </c>
      <c r="X8" s="568">
        <f>'2C Önk bev kiad fel'!T80+'2C Önk bev kiad fel'!T84+'2C Önk bev kiad fel'!T108+'2C Önk bev kiad fel'!T157+'2C Önk bev kiad fel'!T178+'2C Önk bev kiad fel'!T184+'2C Önk bev kiad fel'!T171</f>
        <v>63911</v>
      </c>
      <c r="Y8" s="568">
        <v>0</v>
      </c>
      <c r="Z8" s="568">
        <f t="shared" ref="Z8:Z20" si="18">SUM(W8:Y8)</f>
        <v>238913</v>
      </c>
      <c r="AA8" s="568">
        <f>'2C Önk bev kiad fel'!W15+'2C Önk bev kiad fel'!W20+'2C Önk bev kiad fel'!W29+'2C Önk bev kiad fel'!W45+'2C Önk bev kiad fel'!W54+'2C Önk bev kiad fel'!W65</f>
        <v>175002</v>
      </c>
      <c r="AB8" s="568">
        <f>'2C Önk bev kiad fel'!W80+'2C Önk bev kiad fel'!W84+'2C Önk bev kiad fel'!W104+'2C Önk bev kiad fel'!W108+'2C Önk bev kiad fel'!W157+'2C Önk bev kiad fel'!W164+'2C Önk bev kiad fel'!W171+'2C Önk bev kiad fel'!W178+'2C Önk bev kiad fel'!W184+'2C Önk bev kiad fel'!W199</f>
        <v>63954</v>
      </c>
      <c r="AC8" s="568">
        <v>0</v>
      </c>
      <c r="AD8" s="568">
        <f t="shared" ref="AD8:AD20" si="19">SUM(AA8:AC8)</f>
        <v>238956</v>
      </c>
      <c r="AE8" s="568">
        <f>'2C Önk bev kiad fel'!Z15+'2C Önk bev kiad fel'!Z20+'2C Önk bev kiad fel'!Z29+'2C Önk bev kiad fel'!Z45+'2C Önk bev kiad fel'!Z54+'2C Önk bev kiad fel'!Z65</f>
        <v>167252</v>
      </c>
      <c r="AF8" s="568">
        <f>'2C Önk bev kiad fel'!Z80+'2C Önk bev kiad fel'!Z84+'2C Önk bev kiad fel'!Z104+'2C Önk bev kiad fel'!Z108+'2C Önk bev kiad fel'!Z157+'2C Önk bev kiad fel'!Z164+'2C Önk bev kiad fel'!Z171+'2C Önk bev kiad fel'!Z178+'2C Önk bev kiad fel'!Z184+'2C Önk bev kiad fel'!Z199</f>
        <v>64096</v>
      </c>
      <c r="AG8" s="568">
        <v>0</v>
      </c>
      <c r="AH8" s="568">
        <f t="shared" ref="AH8:AH20" si="20">SUM(AE8:AG8)</f>
        <v>231348</v>
      </c>
    </row>
    <row r="9" spans="1:34" ht="30" x14ac:dyDescent="0.25">
      <c r="A9" s="560" t="s">
        <v>322</v>
      </c>
      <c r="B9" s="567" t="s">
        <v>335</v>
      </c>
      <c r="C9" s="568">
        <f>'2C Önk bev kiad fel'!E16+'2C Önk bev kiad fel'!E21+'2C Önk bev kiad fel'!E46+'2C Önk bev kiad fel'!E66+'2C Önk bev kiad fel'!E30</f>
        <v>35120</v>
      </c>
      <c r="D9" s="568">
        <f>'2C Önk bev kiad fel'!E81+'2C Önk bev kiad fel'!E85+'2C Önk bev kiad fel'!E109+'2C Önk bev kiad fel'!E158+'2C Önk bev kiad fel'!E179+'2C Önk bev kiad fel'!E185+'2C Önk bev kiad fel'!E172</f>
        <v>12273</v>
      </c>
      <c r="E9" s="568">
        <v>0</v>
      </c>
      <c r="F9" s="568">
        <f t="shared" si="0"/>
        <v>47393</v>
      </c>
      <c r="G9" s="568">
        <f>'2C Önk bev kiad fel'!H16+'2C Önk bev kiad fel'!H21+'2C Önk bev kiad fel'!H46+'2C Önk bev kiad fel'!H66</f>
        <v>33948</v>
      </c>
      <c r="H9" s="568">
        <f>'2C Önk bev kiad fel'!H81+'2C Önk bev kiad fel'!H85+'2C Önk bev kiad fel'!H109+'2C Önk bev kiad fel'!H158+'2C Önk bev kiad fel'!H172+'2C Önk bev kiad fel'!H179+'2C Önk bev kiad fel'!H185</f>
        <v>12501</v>
      </c>
      <c r="I9" s="568">
        <f>'2C Önk bev kiad fel'!I210</f>
        <v>0</v>
      </c>
      <c r="J9" s="568">
        <f t="shared" si="1"/>
        <v>46449</v>
      </c>
      <c r="K9" s="568">
        <f>'2C Önk bev kiad fel'!K16+'2C Önk bev kiad fel'!K21+'2C Önk bev kiad fel'!K46+'2C Önk bev kiad fel'!K66</f>
        <v>33948</v>
      </c>
      <c r="L9" s="568">
        <f>'2C Önk bev kiad fel'!K81+'2C Önk bev kiad fel'!K85+'2C Önk bev kiad fel'!K109+'2C Önk bev kiad fel'!K158+'2C Önk bev kiad fel'!K172+'2C Önk bev kiad fel'!K179+'2C Önk bev kiad fel'!K185</f>
        <v>13591</v>
      </c>
      <c r="M9" s="568">
        <f>'2C Önk bev kiad fel'!M210</f>
        <v>0</v>
      </c>
      <c r="N9" s="568">
        <f t="shared" si="2"/>
        <v>47539</v>
      </c>
      <c r="O9" s="568">
        <f>'2C Önk bev kiad fel'!N16+'2C Önk bev kiad fel'!N21+'2C Önk bev kiad fel'!N46+'2C Önk bev kiad fel'!N66</f>
        <v>0</v>
      </c>
      <c r="P9" s="568">
        <f>'2C Önk bev kiad fel'!N81+'2C Önk bev kiad fel'!N85+'2C Önk bev kiad fel'!N109+'2C Önk bev kiad fel'!N158+'2C Önk bev kiad fel'!N172+'2C Önk bev kiad fel'!N179+'2C Önk bev kiad fel'!N185</f>
        <v>6093</v>
      </c>
      <c r="Q9" s="568"/>
      <c r="R9" s="568">
        <f t="shared" si="3"/>
        <v>6093</v>
      </c>
      <c r="S9" s="568">
        <f>'2C Önk bev kiad fel'!Q16+'2C Önk bev kiad fel'!Q21+'2C Önk bev kiad fel'!Q46+'2C Önk bev kiad fel'!Q66+'2C Önk bev kiad fel'!Q30</f>
        <v>33251</v>
      </c>
      <c r="T9" s="568">
        <f>'2C Önk bev kiad fel'!Q81+'2C Önk bev kiad fel'!Q85+'2C Önk bev kiad fel'!Q109+'2C Önk bev kiad fel'!Q158+'2C Önk bev kiad fel'!Q172+'2C Önk bev kiad fel'!Q179+'2C Önk bev kiad fel'!Q185</f>
        <v>5418</v>
      </c>
      <c r="U9" s="568">
        <v>0</v>
      </c>
      <c r="V9" s="568">
        <f t="shared" si="4"/>
        <v>38669</v>
      </c>
      <c r="W9" s="568">
        <f>'2C Önk bev kiad fel'!T16+'2C Önk bev kiad fel'!T21+'2C Önk bev kiad fel'!T46+'2C Önk bev kiad fel'!T66+'2C Önk bev kiad fel'!T30</f>
        <v>33251</v>
      </c>
      <c r="X9" s="568">
        <f>'2C Önk bev kiad fel'!T81+'2C Önk bev kiad fel'!T85+'2C Önk bev kiad fel'!T109+'2C Önk bev kiad fel'!T158+'2C Önk bev kiad fel'!T172+'2C Önk bev kiad fel'!T179+'2C Önk bev kiad fel'!T185</f>
        <v>5541</v>
      </c>
      <c r="Y9" s="568">
        <v>0</v>
      </c>
      <c r="Z9" s="568">
        <f t="shared" si="18"/>
        <v>38792</v>
      </c>
      <c r="AA9" s="568">
        <f>'2C Önk bev kiad fel'!W16+'2C Önk bev kiad fel'!W21+'2C Önk bev kiad fel'!W30+'2C Önk bev kiad fel'!W46+'2C Önk bev kiad fel'!W55+'2C Önk bev kiad fel'!W66</f>
        <v>33251</v>
      </c>
      <c r="AB9" s="568">
        <f>'2C Önk bev kiad fel'!W85+'2C Önk bev kiad fel'!W105+'2C Önk bev kiad fel'!W109+'2C Önk bev kiad fel'!W158+'2C Önk bev kiad fel'!W165+'2C Önk bev kiad fel'!W172+'2C Önk bev kiad fel'!W179+'2C Önk bev kiad fel'!W185+'2C Önk bev kiad fel'!W200+'2C Önk bev kiad fel'!W81</f>
        <v>5554</v>
      </c>
      <c r="AC9" s="568">
        <v>0</v>
      </c>
      <c r="AD9" s="568">
        <f t="shared" si="19"/>
        <v>38805</v>
      </c>
      <c r="AE9" s="568">
        <f>'2C Önk bev kiad fel'!Z16+'2C Önk bev kiad fel'!Z21+'2C Önk bev kiad fel'!Z30+'2C Önk bev kiad fel'!Z46+'2C Önk bev kiad fel'!Z55+'2C Önk bev kiad fel'!Z66</f>
        <v>35586</v>
      </c>
      <c r="AF9" s="568">
        <f>'2C Önk bev kiad fel'!Z85+'2C Önk bev kiad fel'!Z105+'2C Önk bev kiad fel'!Z109+'2C Önk bev kiad fel'!Z158+'2C Önk bev kiad fel'!Z165+'2C Önk bev kiad fel'!Z172+'2C Önk bev kiad fel'!Z179+'2C Önk bev kiad fel'!Z185+'2C Önk bev kiad fel'!Z200+'2C Önk bev kiad fel'!Z81</f>
        <v>5554</v>
      </c>
      <c r="AG9" s="568">
        <v>0</v>
      </c>
      <c r="AH9" s="568">
        <f t="shared" si="20"/>
        <v>41140</v>
      </c>
    </row>
    <row r="10" spans="1:34" x14ac:dyDescent="0.25">
      <c r="A10" s="560" t="s">
        <v>315</v>
      </c>
      <c r="B10" s="567" t="s">
        <v>292</v>
      </c>
      <c r="C10" s="569">
        <f>'2C Önk bev kiad fel'!E8+'2C Önk bev kiad fel'!E12+'2C Önk bev kiad fel'!E17+'2C Önk bev kiad fel'!E22+'2C Önk bev kiad fel'!E25+'2C Önk bev kiad fel'!E27+'2C Önk bev kiad fel'!E31+'2C Önk bev kiad fel'!E34+'2C Önk bev kiad fel'!E38+'2C Önk bev kiad fel'!E41+'2C Önk bev kiad fel'!E47+'2C Önk bev kiad fel'!E60+'2C Önk bev kiad fel'!E69</f>
        <v>342588</v>
      </c>
      <c r="D10" s="569">
        <f>'2C Önk bev kiad fel'!E74+'2C Önk bev kiad fel'!E77+'2C Önk bev kiad fel'!E82+'2C Önk bev kiad fel'!E88+'2C Önk bev kiad fel'!E90+'2C Önk bev kiad fel'!E92+'2C Önk bev kiad fel'!E94+'2C Önk bev kiad fel'!E96+'2C Önk bev kiad fel'!E98+'2C Önk bev kiad fel'!E100+'2C Önk bev kiad fel'!E102+'2C Önk bev kiad fel'!E106+'2C Önk bev kiad fel'!E110+'2C Önk bev kiad fel'!E118+'2C Önk bev kiad fel'!E136+'2C Önk bev kiad fel'!E140+'2C Önk bev kiad fel'!E152+'2C Önk bev kiad fel'!E159+'2C Önk bev kiad fel'!E176+'2C Önk bev kiad fel'!E182+'2C Önk bev kiad fel'!E186+'2C Önk bev kiad fel'!E173</f>
        <v>136777</v>
      </c>
      <c r="E10" s="569">
        <v>0</v>
      </c>
      <c r="F10" s="569">
        <f t="shared" si="0"/>
        <v>479365</v>
      </c>
      <c r="G10" s="569">
        <f>'2C Önk bev kiad fel'!H8+'2C Önk bev kiad fel'!H12+'2C Önk bev kiad fel'!H17+'2C Önk bev kiad fel'!H22+'2C Önk bev kiad fel'!H25+'2C Önk bev kiad fel'!H27+'2C Önk bev kiad fel'!H31+'2C Önk bev kiad fel'!H34+'2C Önk bev kiad fel'!H38+'2C Önk bev kiad fel'!H41+'2C Önk bev kiad fel'!H47+'2C Önk bev kiad fel'!H60+'2C Önk bev kiad fel'!H69</f>
        <v>927428</v>
      </c>
      <c r="H10" s="569">
        <f>'2C Önk bev kiad fel'!H74+'2C Önk bev kiad fel'!H77+'2C Önk bev kiad fel'!H82+'2C Önk bev kiad fel'!H88+'2C Önk bev kiad fel'!H90+'2C Önk bev kiad fel'!H92+'2C Önk bev kiad fel'!H94+'2C Önk bev kiad fel'!H96+'2C Önk bev kiad fel'!H98+'2C Önk bev kiad fel'!H100+'2C Önk bev kiad fel'!H102+'2C Önk bev kiad fel'!H106+'2C Önk bev kiad fel'!H110+'2C Önk bev kiad fel'!H115+'2C Önk bev kiad fel'!H118+'2C Önk bev kiad fel'!H136+'2C Önk bev kiad fel'!H140+'2C Önk bev kiad fel'!H152+'2C Önk bev kiad fel'!H154+'2C Önk bev kiad fel'!H159+'2C Önk bev kiad fel'!H173+'2C Önk bev kiad fel'!H182+'2C Önk bev kiad fel'!H186+'2C Önk bev kiad fel'!H189+'2C Önk bev kiad fel'!H192+'2C Önk bev kiad fel'!H195+'2C Önk bev kiad fel'!H201</f>
        <v>213746</v>
      </c>
      <c r="I10" s="569">
        <f>'2C Önk bev kiad fel'!I211</f>
        <v>0</v>
      </c>
      <c r="J10" s="569">
        <f t="shared" si="1"/>
        <v>1141174</v>
      </c>
      <c r="K10" s="569">
        <f>'2C Önk bev kiad fel'!K8+'2C Önk bev kiad fel'!K12+'2C Önk bev kiad fel'!K17+'2C Önk bev kiad fel'!K22+'2C Önk bev kiad fel'!K25+'2C Önk bev kiad fel'!K27+'2C Önk bev kiad fel'!K31+'2C Önk bev kiad fel'!K34+'2C Önk bev kiad fel'!K38+'2C Önk bev kiad fel'!K41+'2C Önk bev kiad fel'!K47+'2C Önk bev kiad fel'!K60</f>
        <v>834819</v>
      </c>
      <c r="L10" s="569">
        <f>'2C Önk bev kiad fel'!K8+'2C Önk bev kiad fel'!K12+'2C Önk bev kiad fel'!K17+'2C Önk bev kiad fel'!K22+'2C Önk bev kiad fel'!K25+'2C Önk bev kiad fel'!K27+'2C Önk bev kiad fel'!K31+'2C Önk bev kiad fel'!K34+'2C Önk bev kiad fel'!K38+'2C Önk bev kiad fel'!K41+'2C Önk bev kiad fel'!K47+'2C Önk bev kiad fel'!K60+'2C Önk bev kiad fel'!K69</f>
        <v>927441</v>
      </c>
      <c r="M10" s="569">
        <f>'2C Önk bev kiad fel'!M211</f>
        <v>0</v>
      </c>
      <c r="N10" s="569">
        <f t="shared" si="2"/>
        <v>1762260</v>
      </c>
      <c r="O10" s="569">
        <f>'2C Önk bev kiad fel'!N8+'2C Önk bev kiad fel'!N12+'2C Önk bev kiad fel'!N17+'2C Önk bev kiad fel'!N22+'2C Önk bev kiad fel'!N25+'2C Önk bev kiad fel'!N27+'2C Önk bev kiad fel'!N31+'2C Önk bev kiad fel'!N34+'2C Önk bev kiad fel'!N38+'2C Önk bev kiad fel'!N41+'2C Önk bev kiad fel'!N47+'2C Önk bev kiad fel'!N60</f>
        <v>656889</v>
      </c>
      <c r="P10" s="569">
        <f>'2C Önk bev kiad fel'!N8+'2C Önk bev kiad fel'!N12+'2C Önk bev kiad fel'!N17+'2C Önk bev kiad fel'!N22+'2C Önk bev kiad fel'!N25+'2C Önk bev kiad fel'!N27+'2C Önk bev kiad fel'!N31+'2C Önk bev kiad fel'!N34+'2C Önk bev kiad fel'!N38+'2C Önk bev kiad fel'!N41+'2C Önk bev kiad fel'!N47+'2C Önk bev kiad fel'!N60+'2C Önk bev kiad fel'!N69</f>
        <v>742716</v>
      </c>
      <c r="Q10" s="569"/>
      <c r="R10" s="569">
        <f t="shared" si="3"/>
        <v>1399605</v>
      </c>
      <c r="S10" s="569">
        <f>'2C Önk bev kiad fel'!Q8+'2C Önk bev kiad fel'!Q12+'2C Önk bev kiad fel'!Q17+'2C Önk bev kiad fel'!Q22+'2C Önk bev kiad fel'!Q25+'2C Önk bev kiad fel'!Q27+'2C Önk bev kiad fel'!Q31+'2C Önk bev kiad fel'!Q34+'2C Önk bev kiad fel'!Q38+'2C Önk bev kiad fel'!Q41+'2C Önk bev kiad fel'!Q47+'2C Önk bev kiad fel'!Q56+'2C Önk bev kiad fel'!Q60+'2C Önk bev kiad fel'!Q69+1</f>
        <v>229641.31496062991</v>
      </c>
      <c r="T10" s="569">
        <f>+'2C Önk bev kiad fel'!Q74+'2C Önk bev kiad fel'!Q77+'2C Önk bev kiad fel'!Q82+'2C Önk bev kiad fel'!Q88+'2C Önk bev kiad fel'!Q90+'2C Önk bev kiad fel'!Q92+'2C Önk bev kiad fel'!Q94+'2C Önk bev kiad fel'!Q96+'2C Önk bev kiad fel'!Q98+'2C Önk bev kiad fel'!Q100+'2C Önk bev kiad fel'!Q102+'2C Önk bev kiad fel'!Q106+'2C Önk bev kiad fel'!Q110+'2C Önk bev kiad fel'!Q115+'2C Önk bev kiad fel'!Q118+'2C Önk bev kiad fel'!Q136+'2C Önk bev kiad fel'!Q140+'2C Önk bev kiad fel'!Q152+'2C Önk bev kiad fel'!Q154+'2C Önk bev kiad fel'!Q159+'2C Önk bev kiad fel'!Q166+'2C Önk bev kiad fel'!Q173+'2C Önk bev kiad fel'!Q180+'2C Önk bev kiad fel'!Q182+'2C Önk bev kiad fel'!Q186+'2C Önk bev kiad fel'!Q189</f>
        <v>159757.41999999998</v>
      </c>
      <c r="U10" s="569">
        <v>0</v>
      </c>
      <c r="V10" s="569">
        <f t="shared" si="4"/>
        <v>389398.7349606299</v>
      </c>
      <c r="W10" s="569">
        <f>'2C Önk bev kiad fel'!T8+'2C Önk bev kiad fel'!T12+'2C Önk bev kiad fel'!T17+'2C Önk bev kiad fel'!T22+'2C Önk bev kiad fel'!T25+'2C Önk bev kiad fel'!T27+'2C Önk bev kiad fel'!T31+'2C Önk bev kiad fel'!T34+'2C Önk bev kiad fel'!T38+'2C Önk bev kiad fel'!T41+'2C Önk bev kiad fel'!T47+'2C Önk bev kiad fel'!T56+'2C Önk bev kiad fel'!T60+'2C Önk bev kiad fel'!T69</f>
        <v>360906</v>
      </c>
      <c r="X10" s="569">
        <f>+'2C Önk bev kiad fel'!T74+'2C Önk bev kiad fel'!T77+'2C Önk bev kiad fel'!T82+'2C Önk bev kiad fel'!T88+'2C Önk bev kiad fel'!T90+'2C Önk bev kiad fel'!T92+'2C Önk bev kiad fel'!T94+'2C Önk bev kiad fel'!T96+'2C Önk bev kiad fel'!T98+'2C Önk bev kiad fel'!T100+'2C Önk bev kiad fel'!T102+'2C Önk bev kiad fel'!T106+'2C Önk bev kiad fel'!T110+'2C Önk bev kiad fel'!T115+'2C Önk bev kiad fel'!T118+'2C Önk bev kiad fel'!T136+'2C Önk bev kiad fel'!T140+'2C Önk bev kiad fel'!T152+'2C Önk bev kiad fel'!T154+'2C Önk bev kiad fel'!T159+'2C Önk bev kiad fel'!T166+'2C Önk bev kiad fel'!T173+'2C Önk bev kiad fel'!T180+'2C Önk bev kiad fel'!T182+'2C Önk bev kiad fel'!T186+'2C Önk bev kiad fel'!T189</f>
        <v>189437</v>
      </c>
      <c r="Y10" s="569">
        <v>0</v>
      </c>
      <c r="Z10" s="569">
        <f t="shared" si="18"/>
        <v>550343</v>
      </c>
      <c r="AA10" s="569">
        <f>'2C Önk bev kiad fel'!W8+'2C Önk bev kiad fel'!W12+'2C Önk bev kiad fel'!W17+'2C Önk bev kiad fel'!W22+'2C Önk bev kiad fel'!W25+'2C Önk bev kiad fel'!W27+'2C Önk bev kiad fel'!W31+'2C Önk bev kiad fel'!W34+'2C Önk bev kiad fel'!W38+'2C Önk bev kiad fel'!W41+'2C Önk bev kiad fel'!W47+'2C Önk bev kiad fel'!W56+'2C Önk bev kiad fel'!W60+'2C Önk bev kiad fel'!W62+'2C Önk bev kiad fel'!W69</f>
        <v>401932</v>
      </c>
      <c r="AB10" s="569">
        <f>'2C Önk bev kiad fel'!W74+'2C Önk bev kiad fel'!W77+'2C Önk bev kiad fel'!W82+'2C Önk bev kiad fel'!W88+'2C Önk bev kiad fel'!W90+'2C Önk bev kiad fel'!W92+'2C Önk bev kiad fel'!W94+'2C Önk bev kiad fel'!W96+'2C Önk bev kiad fel'!W98+'2C Önk bev kiad fel'!W100+'2C Önk bev kiad fel'!W106+'2C Önk bev kiad fel'!W102+'2C Önk bev kiad fel'!W110+'2C Önk bev kiad fel'!W115+'2C Önk bev kiad fel'!W118+'2C Önk bev kiad fel'!W136+'2C Önk bev kiad fel'!W140+'2C Önk bev kiad fel'!W152+'2C Önk bev kiad fel'!W154+'2C Önk bev kiad fel'!W159+'2C Önk bev kiad fel'!W166+'2C Önk bev kiad fel'!W173+'2C Önk bev kiad fel'!W180+'2C Önk bev kiad fel'!W182+'2C Önk bev kiad fel'!W186+'2C Önk bev kiad fel'!W189+'2C Önk bev kiad fel'!W192+'2C Önk bev kiad fel'!W195+'2C Önk bev kiad fel'!W201</f>
        <v>201858</v>
      </c>
      <c r="AC10" s="569">
        <v>0</v>
      </c>
      <c r="AD10" s="569">
        <f t="shared" si="19"/>
        <v>603790</v>
      </c>
      <c r="AE10" s="569">
        <f>'2C Önk bev kiad fel'!Z8+'2C Önk bev kiad fel'!Z12+'2C Önk bev kiad fel'!Z17+'2C Önk bev kiad fel'!Z22+'2C Önk bev kiad fel'!Z25+'2C Önk bev kiad fel'!Z27+'2C Önk bev kiad fel'!Z31+'2C Önk bev kiad fel'!Z34+'2C Önk bev kiad fel'!Z38+'2C Önk bev kiad fel'!Z41+'2C Önk bev kiad fel'!Z47+'2C Önk bev kiad fel'!Z56+'2C Önk bev kiad fel'!Z60+'2C Önk bev kiad fel'!Z62+'2C Önk bev kiad fel'!Z69</f>
        <v>641108</v>
      </c>
      <c r="AF10" s="569">
        <f>'2C Önk bev kiad fel'!Z74+'2C Önk bev kiad fel'!Z77+'2C Önk bev kiad fel'!Z82+'2C Önk bev kiad fel'!Z88+'2C Önk bev kiad fel'!Z90+'2C Önk bev kiad fel'!Z92+'2C Önk bev kiad fel'!Z94+'2C Önk bev kiad fel'!Z96+'2C Önk bev kiad fel'!Z98+'2C Önk bev kiad fel'!Z100+'2C Önk bev kiad fel'!Z106+'2C Önk bev kiad fel'!Z102+'2C Önk bev kiad fel'!Z110+'2C Önk bev kiad fel'!Z115+'2C Önk bev kiad fel'!Z118+'2C Önk bev kiad fel'!Z136+'2C Önk bev kiad fel'!Z140+'2C Önk bev kiad fel'!Z152+'2C Önk bev kiad fel'!Z154+'2C Önk bev kiad fel'!Z159+'2C Önk bev kiad fel'!Z166+'2C Önk bev kiad fel'!Z173+'2C Önk bev kiad fel'!Z180+'2C Önk bev kiad fel'!Z182+'2C Önk bev kiad fel'!Z186+'2C Önk bev kiad fel'!Z189+'2C Önk bev kiad fel'!Z192+'2C Önk bev kiad fel'!Z195+'2C Önk bev kiad fel'!Z201</f>
        <v>202596</v>
      </c>
      <c r="AG10" s="569">
        <v>0</v>
      </c>
      <c r="AH10" s="569">
        <f t="shared" si="20"/>
        <v>843704</v>
      </c>
    </row>
    <row r="11" spans="1:34" x14ac:dyDescent="0.25">
      <c r="A11" s="560" t="s">
        <v>336</v>
      </c>
      <c r="B11" s="567" t="s">
        <v>337</v>
      </c>
      <c r="C11" s="569"/>
      <c r="D11" s="569">
        <f>'2C Önk bev kiad fel'!E155</f>
        <v>30000</v>
      </c>
      <c r="E11" s="569">
        <v>0</v>
      </c>
      <c r="F11" s="569">
        <f t="shared" si="0"/>
        <v>30000</v>
      </c>
      <c r="G11" s="569"/>
      <c r="H11" s="569">
        <f>'2C Önk bev kiad fel'!H155</f>
        <v>30223</v>
      </c>
      <c r="I11" s="569">
        <f>'2C Önk bev kiad fel'!I212</f>
        <v>0</v>
      </c>
      <c r="J11" s="569">
        <f t="shared" si="1"/>
        <v>30223</v>
      </c>
      <c r="K11" s="569"/>
      <c r="L11" s="569">
        <f>'2C Önk bev kiad fel'!K155</f>
        <v>30223</v>
      </c>
      <c r="M11" s="569">
        <f>'2C Önk bev kiad fel'!M212</f>
        <v>0</v>
      </c>
      <c r="N11" s="569">
        <f t="shared" si="2"/>
        <v>30223</v>
      </c>
      <c r="O11" s="569"/>
      <c r="P11" s="569">
        <f>'2C Önk bev kiad fel'!N155</f>
        <v>11767</v>
      </c>
      <c r="Q11" s="569"/>
      <c r="R11" s="569">
        <f t="shared" si="3"/>
        <v>11767</v>
      </c>
      <c r="S11" s="569">
        <f>+'2C Önk bev kiad fel'!Q63</f>
        <v>18000</v>
      </c>
      <c r="T11" s="569">
        <f>'2C Önk bev kiad fel'!Q155</f>
        <v>16000</v>
      </c>
      <c r="U11" s="569">
        <v>0</v>
      </c>
      <c r="V11" s="569">
        <f t="shared" si="4"/>
        <v>34000</v>
      </c>
      <c r="W11" s="569">
        <f>+'2C Önk bev kiad fel'!T63</f>
        <v>20455</v>
      </c>
      <c r="X11" s="569">
        <f>'2C Önk bev kiad fel'!T155</f>
        <v>16000</v>
      </c>
      <c r="Y11" s="569">
        <v>0</v>
      </c>
      <c r="Z11" s="569">
        <f t="shared" si="18"/>
        <v>36455</v>
      </c>
      <c r="AA11" s="569">
        <f>+'2C Önk bev kiad fel'!W63</f>
        <v>20455</v>
      </c>
      <c r="AB11" s="569">
        <f>'2C Önk bev kiad fel'!W155</f>
        <v>15340</v>
      </c>
      <c r="AC11" s="569">
        <v>0</v>
      </c>
      <c r="AD11" s="569">
        <f t="shared" si="19"/>
        <v>35795</v>
      </c>
      <c r="AE11" s="569">
        <f>+'2C Önk bev kiad fel'!Z63</f>
        <v>20455</v>
      </c>
      <c r="AF11" s="569">
        <f>'2C Önk bev kiad fel'!Z155</f>
        <v>15340</v>
      </c>
      <c r="AG11" s="569">
        <v>0</v>
      </c>
      <c r="AH11" s="569">
        <f t="shared" si="20"/>
        <v>35795</v>
      </c>
    </row>
    <row r="12" spans="1:34" x14ac:dyDescent="0.25">
      <c r="A12" s="560" t="s">
        <v>338</v>
      </c>
      <c r="B12" s="567" t="s">
        <v>339</v>
      </c>
      <c r="C12" s="569">
        <f>SUM(C13:C17)</f>
        <v>516362</v>
      </c>
      <c r="D12" s="569">
        <f t="shared" ref="D12:E12" si="21">SUM(D13:D17)</f>
        <v>291519</v>
      </c>
      <c r="E12" s="569">
        <f t="shared" si="21"/>
        <v>0</v>
      </c>
      <c r="F12" s="569">
        <f t="shared" si="0"/>
        <v>807881</v>
      </c>
      <c r="G12" s="569">
        <f>SUM(G13:G17)</f>
        <v>318410</v>
      </c>
      <c r="H12" s="569" t="e">
        <f t="shared" ref="H12" si="22">SUM(H13:H17)</f>
        <v>#REF!</v>
      </c>
      <c r="I12" s="569" t="e">
        <f t="shared" ref="I12" si="23">SUM(I13:I17)</f>
        <v>#REF!</v>
      </c>
      <c r="J12" s="569" t="e">
        <f t="shared" si="1"/>
        <v>#REF!</v>
      </c>
      <c r="K12" s="569">
        <f>SUM(K13:K17)</f>
        <v>404781</v>
      </c>
      <c r="L12" s="569">
        <f t="shared" ref="L12:M12" si="24">SUM(L13:L17)</f>
        <v>426584</v>
      </c>
      <c r="M12" s="569">
        <f t="shared" si="24"/>
        <v>17666</v>
      </c>
      <c r="N12" s="569">
        <f t="shared" si="2"/>
        <v>849031</v>
      </c>
      <c r="O12" s="569">
        <f>SUM(O13:O17)</f>
        <v>0</v>
      </c>
      <c r="P12" s="569">
        <f t="shared" ref="P12:Q12" si="25">SUM(P13:P17)</f>
        <v>388106</v>
      </c>
      <c r="Q12" s="569">
        <f t="shared" si="25"/>
        <v>0</v>
      </c>
      <c r="R12" s="569">
        <f t="shared" si="3"/>
        <v>388106</v>
      </c>
      <c r="S12" s="569">
        <f>SUM(S13:S17)</f>
        <v>510505</v>
      </c>
      <c r="T12" s="569">
        <f t="shared" ref="T12:U12" si="26">SUM(T13:T17)</f>
        <v>297355</v>
      </c>
      <c r="U12" s="569">
        <f t="shared" si="26"/>
        <v>0</v>
      </c>
      <c r="V12" s="569">
        <f t="shared" si="4"/>
        <v>807860</v>
      </c>
      <c r="W12" s="569">
        <f>SUM(W13:W17)</f>
        <v>474348</v>
      </c>
      <c r="X12" s="569">
        <f t="shared" ref="X12:Y12" si="27">SUM(X13:X17)</f>
        <v>309495</v>
      </c>
      <c r="Y12" s="569">
        <f t="shared" si="27"/>
        <v>0</v>
      </c>
      <c r="Z12" s="569">
        <f t="shared" si="18"/>
        <v>783843</v>
      </c>
      <c r="AA12" s="569">
        <f>SUM(AA13:AA17)</f>
        <v>394965</v>
      </c>
      <c r="AB12" s="569">
        <f t="shared" ref="AB12:AC12" si="28">SUM(AB13:AB17)</f>
        <v>377644</v>
      </c>
      <c r="AC12" s="569">
        <f t="shared" si="28"/>
        <v>0</v>
      </c>
      <c r="AD12" s="569">
        <f t="shared" si="19"/>
        <v>772609</v>
      </c>
      <c r="AE12" s="569">
        <f>SUM(AE13:AE17)</f>
        <v>362274</v>
      </c>
      <c r="AF12" s="569">
        <f t="shared" ref="AF12:AG12" si="29">SUM(AF13:AF17)</f>
        <v>387470</v>
      </c>
      <c r="AG12" s="569">
        <f t="shared" si="29"/>
        <v>0</v>
      </c>
      <c r="AH12" s="569">
        <f t="shared" si="20"/>
        <v>749744</v>
      </c>
    </row>
    <row r="13" spans="1:34" x14ac:dyDescent="0.25">
      <c r="A13" s="522"/>
      <c r="B13" s="379" t="s">
        <v>671</v>
      </c>
      <c r="C13" s="516">
        <f>15000+247328</f>
        <v>262328</v>
      </c>
      <c r="D13" s="516">
        <v>0</v>
      </c>
      <c r="E13" s="516">
        <v>0</v>
      </c>
      <c r="F13" s="516">
        <f t="shared" si="0"/>
        <v>262328</v>
      </c>
      <c r="G13" s="516">
        <v>262328</v>
      </c>
      <c r="H13" s="516">
        <v>0</v>
      </c>
      <c r="I13" s="516">
        <v>0</v>
      </c>
      <c r="J13" s="516">
        <f t="shared" si="1"/>
        <v>262328</v>
      </c>
      <c r="K13" s="516">
        <f>15000+339695</f>
        <v>354695</v>
      </c>
      <c r="L13" s="516">
        <v>0</v>
      </c>
      <c r="M13" s="516">
        <v>0</v>
      </c>
      <c r="N13" s="516">
        <f t="shared" si="2"/>
        <v>354695</v>
      </c>
      <c r="O13" s="516">
        <v>0</v>
      </c>
      <c r="P13" s="516">
        <v>0</v>
      </c>
      <c r="Q13" s="516">
        <v>0</v>
      </c>
      <c r="R13" s="516">
        <f t="shared" si="3"/>
        <v>0</v>
      </c>
      <c r="S13" s="952">
        <f>+'2C Önk bev kiad fel'!Q48</f>
        <v>338664</v>
      </c>
      <c r="T13" s="952">
        <v>0</v>
      </c>
      <c r="U13" s="952">
        <v>0</v>
      </c>
      <c r="V13" s="952">
        <f t="shared" si="4"/>
        <v>338664</v>
      </c>
      <c r="W13" s="516">
        <f>+'2C Önk bev kiad fel'!T48</f>
        <v>338664</v>
      </c>
      <c r="X13" s="516">
        <v>0</v>
      </c>
      <c r="Y13" s="516">
        <v>0</v>
      </c>
      <c r="Z13" s="516">
        <f t="shared" si="18"/>
        <v>338664</v>
      </c>
      <c r="AA13" s="516">
        <f>+'2C Önk bev kiad fel'!W48</f>
        <v>338664</v>
      </c>
      <c r="AB13" s="516">
        <v>0</v>
      </c>
      <c r="AC13" s="516">
        <v>0</v>
      </c>
      <c r="AD13" s="516">
        <f t="shared" si="19"/>
        <v>338664</v>
      </c>
      <c r="AE13" s="952">
        <f>+'2C Önk bev kiad fel'!Z48</f>
        <v>338664</v>
      </c>
      <c r="AF13" s="952">
        <v>0</v>
      </c>
      <c r="AG13" s="952">
        <v>0</v>
      </c>
      <c r="AH13" s="952">
        <f t="shared" si="20"/>
        <v>338664</v>
      </c>
    </row>
    <row r="14" spans="1:34" s="96" customFormat="1" ht="30" x14ac:dyDescent="0.25">
      <c r="A14" s="522"/>
      <c r="B14" s="379" t="s">
        <v>672</v>
      </c>
      <c r="C14" s="516">
        <v>0</v>
      </c>
      <c r="D14" s="516">
        <v>0</v>
      </c>
      <c r="E14" s="516">
        <v>0</v>
      </c>
      <c r="F14" s="516">
        <f t="shared" si="0"/>
        <v>0</v>
      </c>
      <c r="G14" s="516">
        <v>0</v>
      </c>
      <c r="H14" s="516">
        <v>0</v>
      </c>
      <c r="I14" s="516">
        <v>0</v>
      </c>
      <c r="J14" s="516">
        <f t="shared" si="1"/>
        <v>0</v>
      </c>
      <c r="K14" s="516">
        <v>0</v>
      </c>
      <c r="L14" s="516">
        <v>0</v>
      </c>
      <c r="M14" s="516">
        <v>0</v>
      </c>
      <c r="N14" s="516">
        <f t="shared" si="2"/>
        <v>0</v>
      </c>
      <c r="O14" s="516">
        <v>0</v>
      </c>
      <c r="P14" s="516">
        <v>0</v>
      </c>
      <c r="Q14" s="516">
        <v>0</v>
      </c>
      <c r="R14" s="516">
        <f t="shared" si="3"/>
        <v>0</v>
      </c>
      <c r="S14" s="952">
        <v>0</v>
      </c>
      <c r="T14" s="952">
        <v>0</v>
      </c>
      <c r="U14" s="952">
        <v>0</v>
      </c>
      <c r="V14" s="952">
        <f t="shared" si="4"/>
        <v>0</v>
      </c>
      <c r="W14" s="516">
        <v>0</v>
      </c>
      <c r="X14" s="516">
        <v>0</v>
      </c>
      <c r="Y14" s="516">
        <v>0</v>
      </c>
      <c r="Z14" s="516">
        <f t="shared" si="18"/>
        <v>0</v>
      </c>
      <c r="AA14" s="516">
        <v>0</v>
      </c>
      <c r="AB14" s="516">
        <v>0</v>
      </c>
      <c r="AC14" s="516">
        <v>0</v>
      </c>
      <c r="AD14" s="516">
        <f t="shared" si="19"/>
        <v>0</v>
      </c>
      <c r="AE14" s="952">
        <v>0</v>
      </c>
      <c r="AF14" s="952">
        <v>0</v>
      </c>
      <c r="AG14" s="952">
        <v>0</v>
      </c>
      <c r="AH14" s="952">
        <f t="shared" si="20"/>
        <v>0</v>
      </c>
    </row>
    <row r="15" spans="1:34" s="96" customFormat="1" ht="30" x14ac:dyDescent="0.25">
      <c r="A15" s="522"/>
      <c r="B15" s="379" t="s">
        <v>673</v>
      </c>
      <c r="C15" s="516">
        <f>'2C Önk bev kiad fel'!C86+'2C Önk bev kiad fel'!C116+'2C Önk bev kiad fel'!C113+'2C Önk bev kiad fel'!C120+'2C Önk bev kiad fel'!C124+'2C Önk bev kiad fel'!C126+'2C Önk bev kiad fel'!C128</f>
        <v>0</v>
      </c>
      <c r="D15" s="516">
        <f>'2C Önk bev kiad fel'!E86+'2C Önk bev kiad fel'!E113+'2C Önk bev kiad fel'!E116+'2C Önk bev kiad fel'!E120+'2C Önk bev kiad fel'!E124+'2C Önk bev kiad fel'!E126+'2C Önk bev kiad fel'!E128</f>
        <v>43787</v>
      </c>
      <c r="E15" s="516">
        <v>0</v>
      </c>
      <c r="F15" s="516">
        <f t="shared" si="0"/>
        <v>43787</v>
      </c>
      <c r="G15" s="516">
        <f>'2C Önk bev kiad fel'!G86+'2C Önk bev kiad fel'!G116+'2C Önk bev kiad fel'!G113+'2C Önk bev kiad fel'!G120+'2C Önk bev kiad fel'!G124+'2C Önk bev kiad fel'!G126+'2C Önk bev kiad fel'!G128</f>
        <v>0</v>
      </c>
      <c r="H15" s="516">
        <f>'2C Önk bev kiad fel'!H86+'2C Önk bev kiad fel'!H113+'2C Önk bev kiad fel'!H116+'2C Önk bev kiad fel'!H120+'2C Önk bev kiad fel'!H124+'2C Önk bev kiad fel'!H126+'2C Önk bev kiad fel'!H128</f>
        <v>38900</v>
      </c>
      <c r="I15" s="516">
        <v>0</v>
      </c>
      <c r="J15" s="516">
        <f t="shared" si="1"/>
        <v>38900</v>
      </c>
      <c r="K15" s="516">
        <v>0</v>
      </c>
      <c r="L15" s="516">
        <f>'2C Önk bev kiad fel'!K86+'2C Önk bev kiad fel'!K113+'2C Önk bev kiad fel'!K116+'2C Önk bev kiad fel'!K120+'2C Önk bev kiad fel'!K124+'2C Önk bev kiad fel'!K126+'2C Önk bev kiad fel'!K128</f>
        <v>43506</v>
      </c>
      <c r="M15" s="516">
        <v>0</v>
      </c>
      <c r="N15" s="516">
        <f t="shared" si="2"/>
        <v>43506</v>
      </c>
      <c r="O15" s="516">
        <f>+'2C Önk bev kiad fel'!N67</f>
        <v>0</v>
      </c>
      <c r="P15" s="516">
        <f>'2C Önk bev kiad fel'!N86+'2C Önk bev kiad fel'!N113+'2C Önk bev kiad fel'!N116+'2C Önk bev kiad fel'!N120+'2C Önk bev kiad fel'!N124+'2C Önk bev kiad fel'!N126+'2C Önk bev kiad fel'!N128</f>
        <v>38637</v>
      </c>
      <c r="Q15" s="516">
        <v>0</v>
      </c>
      <c r="R15" s="516">
        <f t="shared" si="3"/>
        <v>38637</v>
      </c>
      <c r="S15" s="952">
        <v>0</v>
      </c>
      <c r="T15" s="952">
        <f>'2C Önk bev kiad fel'!Q67+'2C Önk bev kiad fel'!Q86+'2C Önk bev kiad fel'!Q113+'2C Önk bev kiad fel'!Q116+'2C Önk bev kiad fel'!Q120+'2C Önk bev kiad fel'!Q124+'2C Önk bev kiad fel'!Q126+'2C Önk bev kiad fel'!Q128</f>
        <v>45223</v>
      </c>
      <c r="U15" s="952">
        <v>0</v>
      </c>
      <c r="V15" s="952">
        <f t="shared" si="4"/>
        <v>45223</v>
      </c>
      <c r="W15" s="516">
        <v>0</v>
      </c>
      <c r="X15" s="516">
        <f>'2C Önk bev kiad fel'!T67+'2C Önk bev kiad fel'!T86+'2C Önk bev kiad fel'!T113+'2C Önk bev kiad fel'!T116+'2C Önk bev kiad fel'!T120+'2C Önk bev kiad fel'!T124+'2C Önk bev kiad fel'!T126+'2C Önk bev kiad fel'!T128</f>
        <v>45223</v>
      </c>
      <c r="Y15" s="516">
        <v>0</v>
      </c>
      <c r="Z15" s="516">
        <f t="shared" si="18"/>
        <v>45223</v>
      </c>
      <c r="AA15" s="516">
        <v>0</v>
      </c>
      <c r="AB15" s="516">
        <f>'2C Önk bev kiad fel'!W67+'2C Önk bev kiad fel'!W86+'2C Önk bev kiad fel'!W113+'2C Önk bev kiad fel'!W116+'2C Önk bev kiad fel'!W120+'2C Önk bev kiad fel'!W124+'2C Önk bev kiad fel'!W126+'2C Önk bev kiad fel'!W128</f>
        <v>45223</v>
      </c>
      <c r="AC15" s="516">
        <v>0</v>
      </c>
      <c r="AD15" s="516">
        <f t="shared" si="19"/>
        <v>45223</v>
      </c>
      <c r="AE15" s="952">
        <v>0</v>
      </c>
      <c r="AF15" s="952">
        <f>'2C Önk bev kiad fel'!Z67+'2C Önk bev kiad fel'!Z86+'2C Önk bev kiad fel'!Z113+'2C Önk bev kiad fel'!Z116+'2C Önk bev kiad fel'!Z120+'2C Önk bev kiad fel'!Z124+'2C Önk bev kiad fel'!Z126+'2C Önk bev kiad fel'!Z128</f>
        <v>45617</v>
      </c>
      <c r="AG15" s="952">
        <v>0</v>
      </c>
      <c r="AH15" s="952">
        <f t="shared" si="20"/>
        <v>45617</v>
      </c>
    </row>
    <row r="16" spans="1:34" ht="30" x14ac:dyDescent="0.25">
      <c r="A16" s="522"/>
      <c r="B16" s="379" t="s">
        <v>674</v>
      </c>
      <c r="C16" s="492">
        <v>5000</v>
      </c>
      <c r="D16" s="492">
        <f>+'2C Önk bev kiad fel'!E130+'2C Önk bev kiad fel'!E132+'2C Önk bev kiad fel'!E134+'2C Önk bev kiad fel'!E137+'2C Önk bev kiad fel'!E139+'2C Önk bev kiad fel'!E142+'2C Önk bev kiad fel'!E145+'2C Önk bev kiad fel'!E147+'2C Önk bev kiad fel'!E150+'2C Önk bev kiad fel'!E174+'2C Önk bev kiad fel'!E188</f>
        <v>247732</v>
      </c>
      <c r="E16" s="492">
        <v>0</v>
      </c>
      <c r="F16" s="492">
        <f t="shared" si="0"/>
        <v>252732</v>
      </c>
      <c r="G16" s="492">
        <f>5000+1000</f>
        <v>6000</v>
      </c>
      <c r="H16" s="492">
        <f>'2C Önk bev kiad fel'!H130+'2C Önk bev kiad fel'!H132+'2C Önk bev kiad fel'!H134+'2C Önk bev kiad fel'!H137+'2C Önk bev kiad fel'!H139+'2C Önk bev kiad fel'!H142+'2C Önk bev kiad fel'!H145+'2C Önk bev kiad fel'!H147+'2C Önk bev kiad fel'!H150+'2C Önk bev kiad fel'!H188+'2C Önk bev kiad fel'!H160+'2C Önk bev kiad fel'!H174</f>
        <v>350133</v>
      </c>
      <c r="I16" s="492">
        <v>0</v>
      </c>
      <c r="J16" s="492">
        <f t="shared" si="1"/>
        <v>356133</v>
      </c>
      <c r="K16" s="516">
        <v>4</v>
      </c>
      <c r="L16" s="492">
        <f>'2C Önk bev kiad fel'!K130+'2C Önk bev kiad fel'!K132+'2C Önk bev kiad fel'!K134+'2C Önk bev kiad fel'!K137+'2C Önk bev kiad fel'!K139+'2C Önk bev kiad fel'!K142+'2C Önk bev kiad fel'!K145+'2C Önk bev kiad fel'!K147+'2C Önk bev kiad fel'!K150+'2C Önk bev kiad fel'!K188+'2C Önk bev kiad fel'!K160+'2C Önk bev kiad fel'!K174</f>
        <v>361166</v>
      </c>
      <c r="M16" s="492">
        <v>0</v>
      </c>
      <c r="N16" s="492">
        <f t="shared" si="2"/>
        <v>361170</v>
      </c>
      <c r="O16" s="516">
        <v>0</v>
      </c>
      <c r="P16" s="492">
        <f>'2C Önk bev kiad fel'!N130+'2C Önk bev kiad fel'!N132+'2C Önk bev kiad fel'!N134+'2C Önk bev kiad fel'!N137+'2C Önk bev kiad fel'!N139+'2C Önk bev kiad fel'!N142+'2C Önk bev kiad fel'!N145+'2C Önk bev kiad fel'!N147+'2C Önk bev kiad fel'!N150+'2C Önk bev kiad fel'!N188+'2C Önk bev kiad fel'!N160+'2C Önk bev kiad fel'!N174</f>
        <v>349469</v>
      </c>
      <c r="Q16" s="492">
        <v>0</v>
      </c>
      <c r="R16" s="492">
        <f t="shared" si="3"/>
        <v>349469</v>
      </c>
      <c r="S16" s="952">
        <v>0</v>
      </c>
      <c r="T16" s="953">
        <f>'2C Önk bev kiad fel'!Q130+'2C Önk bev kiad fel'!Q132+'2C Önk bev kiad fel'!Q134+'2C Önk bev kiad fel'!Q137+'2C Önk bev kiad fel'!Q139+'2C Önk bev kiad fel'!Q142+'2C Önk bev kiad fel'!Q145+'2C Önk bev kiad fel'!Q147+'2C Önk bev kiad fel'!Q150+'2C Önk bev kiad fel'!Q188+'2C Önk bev kiad fel'!Q160+'2C Önk bev kiad fel'!Q174</f>
        <v>252132</v>
      </c>
      <c r="U16" s="953">
        <v>0</v>
      </c>
      <c r="V16" s="953">
        <f t="shared" si="4"/>
        <v>252132</v>
      </c>
      <c r="W16" s="516">
        <v>0</v>
      </c>
      <c r="X16" s="492">
        <f>'2C Önk bev kiad fel'!T130+'2C Önk bev kiad fel'!T132+'2C Önk bev kiad fel'!T134+'2C Önk bev kiad fel'!T137+'2C Önk bev kiad fel'!T139+'2C Önk bev kiad fel'!T142+'2C Önk bev kiad fel'!T145+'2C Önk bev kiad fel'!T147+'2C Önk bev kiad fel'!T150+'2C Önk bev kiad fel'!T188+'2C Önk bev kiad fel'!T160</f>
        <v>264272</v>
      </c>
      <c r="Y16" s="492">
        <v>0</v>
      </c>
      <c r="Z16" s="492">
        <f t="shared" si="18"/>
        <v>264272</v>
      </c>
      <c r="AA16" s="516">
        <v>0</v>
      </c>
      <c r="AB16" s="492">
        <f>'2C Önk bev kiad fel'!W130+'2C Önk bev kiad fel'!W132+'2C Önk bev kiad fel'!W134+'2C Önk bev kiad fel'!W137+'2C Önk bev kiad fel'!W139+'2C Önk bev kiad fel'!W142+'2C Önk bev kiad fel'!W145+'2C Önk bev kiad fel'!W147+'2C Önk bev kiad fel'!W150+'2C Önk bev kiad fel'!W188+'2C Önk bev kiad fel'!W160</f>
        <v>332421</v>
      </c>
      <c r="AC16" s="492">
        <v>0</v>
      </c>
      <c r="AD16" s="492">
        <f t="shared" si="19"/>
        <v>332421</v>
      </c>
      <c r="AE16" s="952">
        <v>0</v>
      </c>
      <c r="AF16" s="953">
        <f>'2C Önk bev kiad fel'!Z130+'2C Önk bev kiad fel'!Z132+'2C Önk bev kiad fel'!Z134+'2C Önk bev kiad fel'!Z137+'2C Önk bev kiad fel'!Z139+'2C Önk bev kiad fel'!Z142+'2C Önk bev kiad fel'!Z145+'2C Önk bev kiad fel'!Z147+'2C Önk bev kiad fel'!Z150+'2C Önk bev kiad fel'!Z188+'2C Önk bev kiad fel'!Z160</f>
        <v>341853</v>
      </c>
      <c r="AG16" s="953">
        <v>0</v>
      </c>
      <c r="AH16" s="953">
        <f t="shared" si="20"/>
        <v>341853</v>
      </c>
    </row>
    <row r="17" spans="1:34" x14ac:dyDescent="0.25">
      <c r="A17" s="522"/>
      <c r="B17" s="379" t="s">
        <v>675</v>
      </c>
      <c r="C17" s="516">
        <f>C18+C19+C20</f>
        <v>249034</v>
      </c>
      <c r="D17" s="516">
        <f t="shared" ref="D17:E17" si="30">D18+D19+D20</f>
        <v>0</v>
      </c>
      <c r="E17" s="516">
        <f t="shared" si="30"/>
        <v>0</v>
      </c>
      <c r="F17" s="516">
        <f t="shared" si="0"/>
        <v>249034</v>
      </c>
      <c r="G17" s="516">
        <f>G18+G19+G20</f>
        <v>50082</v>
      </c>
      <c r="H17" s="516" t="e">
        <f t="shared" ref="H17:I17" si="31">H18+H19+H20</f>
        <v>#REF!</v>
      </c>
      <c r="I17" s="516" t="e">
        <f t="shared" si="31"/>
        <v>#REF!</v>
      </c>
      <c r="J17" s="516" t="e">
        <f t="shared" si="1"/>
        <v>#REF!</v>
      </c>
      <c r="K17" s="516">
        <f>K18+K19+K20</f>
        <v>50082</v>
      </c>
      <c r="L17" s="516">
        <f t="shared" ref="L17:M17" si="32">L18+L19+L20</f>
        <v>21912</v>
      </c>
      <c r="M17" s="516">
        <f t="shared" si="32"/>
        <v>17666</v>
      </c>
      <c r="N17" s="516">
        <f t="shared" si="2"/>
        <v>89660</v>
      </c>
      <c r="O17" s="516">
        <f>O18+O19+O20</f>
        <v>0</v>
      </c>
      <c r="P17" s="516">
        <f t="shared" ref="P17:Q17" si="33">P18+P19+P20</f>
        <v>0</v>
      </c>
      <c r="Q17" s="516">
        <f t="shared" si="33"/>
        <v>0</v>
      </c>
      <c r="R17" s="516">
        <f t="shared" si="3"/>
        <v>0</v>
      </c>
      <c r="S17" s="952">
        <f>S18+S19+S20</f>
        <v>171841</v>
      </c>
      <c r="T17" s="952">
        <f t="shared" ref="T17:U17" si="34">T18+T19+T20</f>
        <v>0</v>
      </c>
      <c r="U17" s="952">
        <f t="shared" si="34"/>
        <v>0</v>
      </c>
      <c r="V17" s="952">
        <f t="shared" si="4"/>
        <v>171841</v>
      </c>
      <c r="W17" s="516">
        <f>W18+W19+W20</f>
        <v>135684</v>
      </c>
      <c r="X17" s="516">
        <f t="shared" ref="X17:Y17" si="35">X18+X19+X20</f>
        <v>0</v>
      </c>
      <c r="Y17" s="516">
        <f t="shared" si="35"/>
        <v>0</v>
      </c>
      <c r="Z17" s="516">
        <f t="shared" si="18"/>
        <v>135684</v>
      </c>
      <c r="AA17" s="516">
        <f>AA18+AA19+AA20</f>
        <v>56301</v>
      </c>
      <c r="AB17" s="516">
        <f t="shared" ref="AB17:AC17" si="36">AB18+AB19+AB20</f>
        <v>0</v>
      </c>
      <c r="AC17" s="516">
        <f t="shared" si="36"/>
        <v>0</v>
      </c>
      <c r="AD17" s="516">
        <f t="shared" si="19"/>
        <v>56301</v>
      </c>
      <c r="AE17" s="952">
        <f>AE18+AE19+AE20</f>
        <v>23610</v>
      </c>
      <c r="AF17" s="952">
        <f t="shared" ref="AF17:AG17" si="37">AF18+AF19+AF20</f>
        <v>0</v>
      </c>
      <c r="AG17" s="952">
        <f t="shared" si="37"/>
        <v>0</v>
      </c>
      <c r="AH17" s="952">
        <f t="shared" si="20"/>
        <v>23610</v>
      </c>
    </row>
    <row r="18" spans="1:34" x14ac:dyDescent="0.25">
      <c r="A18" s="522"/>
      <c r="B18" s="382" t="s">
        <v>676</v>
      </c>
      <c r="C18" s="514">
        <f>'2D Céltartalék'!B3</f>
        <v>50000</v>
      </c>
      <c r="D18" s="514">
        <v>0</v>
      </c>
      <c r="E18" s="514">
        <v>0</v>
      </c>
      <c r="F18" s="514">
        <f t="shared" si="0"/>
        <v>50000</v>
      </c>
      <c r="G18" s="514">
        <f>'2D Céltartalék'!C3</f>
        <v>12403</v>
      </c>
      <c r="H18" s="514">
        <v>0</v>
      </c>
      <c r="I18" s="514">
        <v>0</v>
      </c>
      <c r="J18" s="514">
        <f t="shared" si="1"/>
        <v>12403</v>
      </c>
      <c r="K18" s="514">
        <f>'2D Céltartalék'!D3</f>
        <v>12403</v>
      </c>
      <c r="L18" s="514">
        <v>0</v>
      </c>
      <c r="M18" s="514">
        <v>0</v>
      </c>
      <c r="N18" s="514">
        <f t="shared" si="2"/>
        <v>12403</v>
      </c>
      <c r="O18" s="514">
        <f>'2D Céltartalék'!E3</f>
        <v>0</v>
      </c>
      <c r="P18" s="514">
        <v>0</v>
      </c>
      <c r="Q18" s="514">
        <v>0</v>
      </c>
      <c r="R18" s="514">
        <f t="shared" si="3"/>
        <v>0</v>
      </c>
      <c r="S18" s="950">
        <f>'2D Céltartalék'!F3</f>
        <v>50000</v>
      </c>
      <c r="T18" s="950">
        <v>0</v>
      </c>
      <c r="U18" s="950">
        <v>0</v>
      </c>
      <c r="V18" s="950">
        <f t="shared" si="4"/>
        <v>50000</v>
      </c>
      <c r="W18" s="514">
        <f>'2D Céltartalék'!G3</f>
        <v>42913</v>
      </c>
      <c r="X18" s="514">
        <v>0</v>
      </c>
      <c r="Y18" s="514">
        <v>0</v>
      </c>
      <c r="Z18" s="514">
        <f t="shared" si="18"/>
        <v>42913</v>
      </c>
      <c r="AA18" s="514">
        <f>'2D Céltartalék'!H3</f>
        <v>34389</v>
      </c>
      <c r="AB18" s="514">
        <v>0</v>
      </c>
      <c r="AC18" s="514">
        <v>0</v>
      </c>
      <c r="AD18" s="514">
        <f t="shared" si="19"/>
        <v>34389</v>
      </c>
      <c r="AE18" s="950">
        <f>'2D Céltartalék'!I3</f>
        <v>5944</v>
      </c>
      <c r="AF18" s="950">
        <v>0</v>
      </c>
      <c r="AG18" s="950">
        <v>0</v>
      </c>
      <c r="AH18" s="950">
        <f t="shared" si="20"/>
        <v>5944</v>
      </c>
    </row>
    <row r="19" spans="1:34" x14ac:dyDescent="0.25">
      <c r="A19" s="522"/>
      <c r="B19" s="382" t="s">
        <v>677</v>
      </c>
      <c r="C19" s="514">
        <f>'2D Céltartalék'!B4</f>
        <v>196034</v>
      </c>
      <c r="D19" s="514">
        <v>0</v>
      </c>
      <c r="E19" s="514">
        <v>0</v>
      </c>
      <c r="F19" s="514">
        <f t="shared" si="0"/>
        <v>196034</v>
      </c>
      <c r="G19" s="514">
        <f>'2D Céltartalék'!C4</f>
        <v>36251</v>
      </c>
      <c r="H19" s="514" t="e">
        <f>'2D Céltartalék'!#REF!</f>
        <v>#REF!</v>
      </c>
      <c r="I19" s="514" t="e">
        <f>'2D Céltartalék'!#REF!</f>
        <v>#REF!</v>
      </c>
      <c r="J19" s="514" t="e">
        <f t="shared" si="1"/>
        <v>#REF!</v>
      </c>
      <c r="K19" s="514">
        <f>'2D Céltartalék'!D4</f>
        <v>36251</v>
      </c>
      <c r="L19" s="514">
        <f>'2D Céltartalék'!H4</f>
        <v>18912</v>
      </c>
      <c r="M19" s="514">
        <f>'2D Céltartalék'!I4</f>
        <v>14666</v>
      </c>
      <c r="N19" s="514">
        <f t="shared" si="2"/>
        <v>69829</v>
      </c>
      <c r="O19" s="514">
        <f>'2D Céltartalék'!E4</f>
        <v>0</v>
      </c>
      <c r="P19" s="514">
        <v>0</v>
      </c>
      <c r="Q19" s="514">
        <f>'2D Céltartalék'!M4</f>
        <v>0</v>
      </c>
      <c r="R19" s="514">
        <f t="shared" si="3"/>
        <v>0</v>
      </c>
      <c r="S19" s="950">
        <f>'2D Céltartalék'!F4</f>
        <v>118841</v>
      </c>
      <c r="T19" s="950">
        <v>0</v>
      </c>
      <c r="U19" s="950">
        <f>'2D Céltartalék'!Q4</f>
        <v>0</v>
      </c>
      <c r="V19" s="950">
        <f t="shared" si="4"/>
        <v>118841</v>
      </c>
      <c r="W19" s="514">
        <f>'2D Céltartalék'!G4</f>
        <v>89771</v>
      </c>
      <c r="X19" s="514">
        <v>0</v>
      </c>
      <c r="Y19" s="514">
        <f>'2D Céltartalék'!U4</f>
        <v>0</v>
      </c>
      <c r="Z19" s="514">
        <f t="shared" si="18"/>
        <v>89771</v>
      </c>
      <c r="AA19" s="514">
        <f>'2D Céltartalék'!H4</f>
        <v>18912</v>
      </c>
      <c r="AB19" s="514">
        <v>0</v>
      </c>
      <c r="AC19" s="514">
        <f>'2D Céltartalék'!Y4</f>
        <v>0</v>
      </c>
      <c r="AD19" s="514">
        <f t="shared" si="19"/>
        <v>18912</v>
      </c>
      <c r="AE19" s="950">
        <f>'2D Céltartalék'!I4</f>
        <v>14666</v>
      </c>
      <c r="AF19" s="950">
        <v>0</v>
      </c>
      <c r="AG19" s="950">
        <f>'2D Céltartalék'!AC4</f>
        <v>0</v>
      </c>
      <c r="AH19" s="950">
        <f t="shared" si="20"/>
        <v>14666</v>
      </c>
    </row>
    <row r="20" spans="1:34" x14ac:dyDescent="0.25">
      <c r="A20" s="522"/>
      <c r="B20" s="382" t="s">
        <v>678</v>
      </c>
      <c r="C20" s="384">
        <f>'2D Céltartalék'!B26</f>
        <v>3000</v>
      </c>
      <c r="D20" s="384">
        <v>0</v>
      </c>
      <c r="E20" s="384">
        <v>0</v>
      </c>
      <c r="F20" s="384">
        <f t="shared" si="0"/>
        <v>3000</v>
      </c>
      <c r="G20" s="384">
        <f>'2D Céltartalék'!C26</f>
        <v>1428</v>
      </c>
      <c r="H20" s="384" t="e">
        <f>'2D Céltartalék'!#REF!</f>
        <v>#REF!</v>
      </c>
      <c r="I20" s="384" t="e">
        <f>'2D Céltartalék'!#REF!</f>
        <v>#REF!</v>
      </c>
      <c r="J20" s="384" t="e">
        <f t="shared" si="1"/>
        <v>#REF!</v>
      </c>
      <c r="K20" s="384">
        <f>'2D Céltartalék'!D26</f>
        <v>1428</v>
      </c>
      <c r="L20" s="384">
        <f>'2D Céltartalék'!H26</f>
        <v>3000</v>
      </c>
      <c r="M20" s="384">
        <f>'2D Céltartalék'!I26</f>
        <v>3000</v>
      </c>
      <c r="N20" s="384">
        <f t="shared" si="2"/>
        <v>7428</v>
      </c>
      <c r="O20" s="384">
        <f>'2D Céltartalék'!E26</f>
        <v>0</v>
      </c>
      <c r="P20" s="384">
        <v>0</v>
      </c>
      <c r="Q20" s="384">
        <f>'2D Céltartalék'!M26</f>
        <v>0</v>
      </c>
      <c r="R20" s="384">
        <f t="shared" si="3"/>
        <v>0</v>
      </c>
      <c r="S20" s="954">
        <f>'2D Céltartalék'!F26</f>
        <v>3000</v>
      </c>
      <c r="T20" s="954">
        <f>'2D Céltartalék'!P26</f>
        <v>0</v>
      </c>
      <c r="U20" s="954">
        <f>'2D Céltartalék'!Q26</f>
        <v>0</v>
      </c>
      <c r="V20" s="954">
        <f t="shared" si="4"/>
        <v>3000</v>
      </c>
      <c r="W20" s="384">
        <f>'2D Céltartalék'!G26</f>
        <v>3000</v>
      </c>
      <c r="X20" s="384">
        <f>'2D Céltartalék'!T26</f>
        <v>0</v>
      </c>
      <c r="Y20" s="384">
        <f>'2D Céltartalék'!U26</f>
        <v>0</v>
      </c>
      <c r="Z20" s="384">
        <f t="shared" si="18"/>
        <v>3000</v>
      </c>
      <c r="AA20" s="384">
        <f>'2D Céltartalék'!H26</f>
        <v>3000</v>
      </c>
      <c r="AB20" s="384">
        <f>'2D Céltartalék'!X26</f>
        <v>0</v>
      </c>
      <c r="AC20" s="384">
        <f>'2D Céltartalék'!Y26</f>
        <v>0</v>
      </c>
      <c r="AD20" s="384">
        <f t="shared" si="19"/>
        <v>3000</v>
      </c>
      <c r="AE20" s="954">
        <f>'2D Céltartalék'!I26</f>
        <v>3000</v>
      </c>
      <c r="AF20" s="954">
        <f>'2D Céltartalék'!AB26</f>
        <v>0</v>
      </c>
      <c r="AG20" s="954">
        <f>'2D Céltartalék'!AC26</f>
        <v>0</v>
      </c>
      <c r="AH20" s="954">
        <f t="shared" si="20"/>
        <v>3000</v>
      </c>
    </row>
    <row r="21" spans="1:34" x14ac:dyDescent="0.25">
      <c r="A21" s="557" t="s">
        <v>318</v>
      </c>
      <c r="B21" s="538" t="s">
        <v>340</v>
      </c>
      <c r="C21" s="539">
        <f t="shared" ref="C21:E21" si="38">C22+C23+C24</f>
        <v>1051353.74</v>
      </c>
      <c r="D21" s="539">
        <f t="shared" si="38"/>
        <v>744178.5</v>
      </c>
      <c r="E21" s="539">
        <f t="shared" si="38"/>
        <v>0</v>
      </c>
      <c r="F21" s="539">
        <f>SUM(C21:E21)+1</f>
        <v>1795533.24</v>
      </c>
      <c r="G21" s="539">
        <f t="shared" ref="G21:I21" si="39">G22+G23+G24</f>
        <v>1274976</v>
      </c>
      <c r="H21" s="539">
        <f t="shared" si="39"/>
        <v>683848.5</v>
      </c>
      <c r="I21" s="539">
        <f t="shared" si="39"/>
        <v>0</v>
      </c>
      <c r="J21" s="539">
        <f t="shared" si="1"/>
        <v>1958824.5</v>
      </c>
      <c r="K21" s="539">
        <f t="shared" ref="K21:M21" si="40">K22+K23+K24</f>
        <v>1509576.4</v>
      </c>
      <c r="L21" s="539">
        <f t="shared" si="40"/>
        <v>748107</v>
      </c>
      <c r="M21" s="539">
        <f t="shared" si="40"/>
        <v>0</v>
      </c>
      <c r="N21" s="539">
        <f t="shared" si="2"/>
        <v>2257683.4</v>
      </c>
      <c r="O21" s="539">
        <f t="shared" ref="O21:Q21" si="41">O22+O23+O24</f>
        <v>1429270</v>
      </c>
      <c r="P21" s="539">
        <f t="shared" si="41"/>
        <v>285391</v>
      </c>
      <c r="Q21" s="539">
        <f t="shared" si="41"/>
        <v>0</v>
      </c>
      <c r="R21" s="539">
        <f t="shared" si="3"/>
        <v>1714661</v>
      </c>
      <c r="S21" s="539">
        <f t="shared" ref="S21:U21" si="42">S22+S23+S24</f>
        <v>1013863</v>
      </c>
      <c r="T21" s="539">
        <f t="shared" si="42"/>
        <v>324700</v>
      </c>
      <c r="U21" s="539">
        <f t="shared" si="42"/>
        <v>0</v>
      </c>
      <c r="V21" s="539">
        <f>SUM(S21:U21)</f>
        <v>1338563</v>
      </c>
      <c r="W21" s="539">
        <f t="shared" ref="W21:Y21" si="43">W22+W23+W24</f>
        <v>1145223</v>
      </c>
      <c r="X21" s="539">
        <f t="shared" si="43"/>
        <v>399091</v>
      </c>
      <c r="Y21" s="539">
        <f t="shared" si="43"/>
        <v>0</v>
      </c>
      <c r="Z21" s="539">
        <f>SUM(W21:Y21)</f>
        <v>1544314</v>
      </c>
      <c r="AA21" s="539">
        <f t="shared" ref="AA21:AC21" si="44">AA22+AA23+AA24</f>
        <v>1216978</v>
      </c>
      <c r="AB21" s="539">
        <f t="shared" si="44"/>
        <v>290249</v>
      </c>
      <c r="AC21" s="539">
        <f t="shared" si="44"/>
        <v>0</v>
      </c>
      <c r="AD21" s="539">
        <f>SUM(AA21:AC21)</f>
        <v>1507227</v>
      </c>
      <c r="AE21" s="539">
        <f t="shared" ref="AE21:AG21" si="45">AE22+AE23+AE24</f>
        <v>1275186</v>
      </c>
      <c r="AF21" s="539">
        <f t="shared" si="45"/>
        <v>354483</v>
      </c>
      <c r="AG21" s="539">
        <f t="shared" si="45"/>
        <v>0</v>
      </c>
      <c r="AH21" s="539">
        <f>SUM(AE21:AG21)</f>
        <v>1629669</v>
      </c>
    </row>
    <row r="22" spans="1:34" x14ac:dyDescent="0.25">
      <c r="A22" s="560" t="s">
        <v>311</v>
      </c>
      <c r="B22" s="567" t="s">
        <v>351</v>
      </c>
      <c r="C22" s="569">
        <f>'2C Önk bev kiad fel'!E9+'2C Önk bev kiad fel'!E13+'2C Önk bev kiad fel'!E32+'2C Önk bev kiad fel'!E39+'2C Önk bev kiad fel'!E50</f>
        <v>888988.74</v>
      </c>
      <c r="D22" s="569">
        <f>'2C Önk bev kiad fel'!E78+'2C Önk bev kiad fel'!E111+'2C Önk bev kiad fel'!E167+'2C Önk bev kiad fel'!E190+'2C Önk bev kiad fel'!E175</f>
        <v>611095.5</v>
      </c>
      <c r="E22" s="569"/>
      <c r="F22" s="569">
        <f>SUM(C22:E22)+1</f>
        <v>1500085.24</v>
      </c>
      <c r="G22" s="569">
        <f>'2C Önk bev kiad fel'!H9+'2C Önk bev kiad fel'!H13+'2C Önk bev kiad fel'!H32+'2C Önk bev kiad fel'!H35+'2C Önk bev kiad fel'!H39+'2C Önk bev kiad fel'!H50+'2C Önk bev kiad fel'!H23</f>
        <v>1139120</v>
      </c>
      <c r="H22" s="569">
        <f>'2C Önk bev kiad fel'!H78+'2C Önk bev kiad fel'!H111+'2C Önk bev kiad fel'!H167+'2C Önk bev kiad fel'!H190+'2C Önk bev kiad fel'!H175+'2C Önk bev kiad fel'!H75+'2C Önk bev kiad fel'!H162+'2C Önk bev kiad fel'!H196</f>
        <v>568510.5</v>
      </c>
      <c r="I22" s="569">
        <f>'2C Önk bev kiad fel'!I214</f>
        <v>0</v>
      </c>
      <c r="J22" s="569">
        <f t="shared" si="1"/>
        <v>1707630.5</v>
      </c>
      <c r="K22" s="569">
        <f>'2C Önk bev kiad fel'!K9+'2C Önk bev kiad fel'!K13+'2C Önk bev kiad fel'!K32+'2C Önk bev kiad fel'!K35+'2C Önk bev kiad fel'!K39+'2C Önk bev kiad fel'!K50+'2C Önk bev kiad fel'!K23</f>
        <v>1378659.4</v>
      </c>
      <c r="L22" s="569">
        <f>'2C Önk bev kiad fel'!K78+'2C Önk bev kiad fel'!K111+'2C Önk bev kiad fel'!K167+'2C Önk bev kiad fel'!K190+'2C Önk bev kiad fel'!K175+'2C Önk bev kiad fel'!K75+'2C Önk bev kiad fel'!K162</f>
        <v>556148</v>
      </c>
      <c r="M22" s="569">
        <f>'2C Önk bev kiad fel'!M214</f>
        <v>0</v>
      </c>
      <c r="N22" s="569">
        <f t="shared" si="2"/>
        <v>1934807.4</v>
      </c>
      <c r="O22" s="569">
        <f>'2C Önk bev kiad fel'!N9+'2C Önk bev kiad fel'!N13+'2C Önk bev kiad fel'!N32+'2C Önk bev kiad fel'!N39+'2C Önk bev kiad fel'!N50+'2C Önk bev kiad fel'!N23+'2C Önk bev kiad fel'!N43</f>
        <v>1341625</v>
      </c>
      <c r="P22" s="569">
        <f>'2C Önk bev kiad fel'!N78+'2C Önk bev kiad fel'!N111+'2C Önk bev kiad fel'!N167+'2C Önk bev kiad fel'!N190+'2C Önk bev kiad fel'!N175+'2C Önk bev kiad fel'!N75+'2C Önk bev kiad fel'!N162</f>
        <v>174781</v>
      </c>
      <c r="Q22" s="569"/>
      <c r="R22" s="569">
        <f t="shared" si="3"/>
        <v>1516406</v>
      </c>
      <c r="S22" s="569">
        <f>'2C Önk bev kiad fel'!Q9+'2C Önk bev kiad fel'!Q13+'2C Önk bev kiad fel'!Q18+'2C Önk bev kiad fel'!Q32+'2C Önk bev kiad fel'!Q35+'2C Önk bev kiad fel'!Q39+'2C Önk bev kiad fel'!Q50+'2C Önk bev kiad fel'!Q23+'2C Önk bev kiad fel'!Q57</f>
        <v>648981</v>
      </c>
      <c r="T22" s="569">
        <f>'2C Önk bev kiad fel'!Q78+'2C Önk bev kiad fel'!Q111+'2C Önk bev kiad fel'!Q167+'2C Önk bev kiad fel'!Q190+'2C Önk bev kiad fel'!Q175+'2C Önk bev kiad fel'!Q75+'2C Önk bev kiad fel'!Q162</f>
        <v>255500</v>
      </c>
      <c r="U22" s="569">
        <v>0</v>
      </c>
      <c r="V22" s="569">
        <f>SUM(S22:U22)</f>
        <v>904481</v>
      </c>
      <c r="W22" s="569">
        <f>'2C Önk bev kiad fel'!T9+'2C Önk bev kiad fel'!T13+'2C Önk bev kiad fel'!T18+'2C Önk bev kiad fel'!T32+'2C Önk bev kiad fel'!T35+'2C Önk bev kiad fel'!T39+'2C Önk bev kiad fel'!T50+'2C Önk bev kiad fel'!T23+'2C Önk bev kiad fel'!T57</f>
        <v>818580</v>
      </c>
      <c r="X22" s="569">
        <f>'2C Önk bev kiad fel'!T78+'2C Önk bev kiad fel'!T111+'2C Önk bev kiad fel'!T167+'2C Önk bev kiad fel'!T190+'2C Önk bev kiad fel'!T175+'2C Önk bev kiad fel'!T75+'2C Önk bev kiad fel'!T162</f>
        <v>303367</v>
      </c>
      <c r="Y22" s="569">
        <v>0</v>
      </c>
      <c r="Z22" s="569">
        <f>SUM(W22:Y22)</f>
        <v>1121947</v>
      </c>
      <c r="AA22" s="569">
        <f>'2C Önk bev kiad fel'!W9+'2C Önk bev kiad fel'!W13+'2C Önk bev kiad fel'!W18+'2C Önk bev kiad fel'!W32+'2C Önk bev kiad fel'!W35+'2C Önk bev kiad fel'!W39+'2C Önk bev kiad fel'!W50+'2C Önk bev kiad fel'!W23+'2C Önk bev kiad fel'!W57</f>
        <v>891899</v>
      </c>
      <c r="AB22" s="569">
        <f>'2C Önk bev kiad fel'!W78+'2C Önk bev kiad fel'!W111+'2C Önk bev kiad fel'!W167+'2C Önk bev kiad fel'!W190+'2C Önk bev kiad fel'!W175+'2C Önk bev kiad fel'!W75+'2C Önk bev kiad fel'!W162</f>
        <v>199963</v>
      </c>
      <c r="AC22" s="569">
        <v>0</v>
      </c>
      <c r="AD22" s="569">
        <f>SUM(AA22:AC22)</f>
        <v>1091862</v>
      </c>
      <c r="AE22" s="569">
        <f>'2C Önk bev kiad fel'!Z9+'2C Önk bev kiad fel'!Z13+'2C Önk bev kiad fel'!Z18+'2C Önk bev kiad fel'!Z32+'2C Önk bev kiad fel'!Z35+'2C Önk bev kiad fel'!Z39+'2C Önk bev kiad fel'!Z50+'2C Önk bev kiad fel'!Z23+'2C Önk bev kiad fel'!Z57</f>
        <v>905289</v>
      </c>
      <c r="AF22" s="569">
        <f>'2C Önk bev kiad fel'!Z78+'2C Önk bev kiad fel'!Z111+'2C Önk bev kiad fel'!Z167+'2C Önk bev kiad fel'!Z190+'2C Önk bev kiad fel'!Z175+'2C Önk bev kiad fel'!Z75+'2C Önk bev kiad fel'!Z162</f>
        <v>291705</v>
      </c>
      <c r="AG22" s="569">
        <v>0</v>
      </c>
      <c r="AH22" s="569">
        <f>SUM(AE22:AG22)</f>
        <v>1196994</v>
      </c>
    </row>
    <row r="23" spans="1:34" x14ac:dyDescent="0.25">
      <c r="A23" s="560" t="s">
        <v>322</v>
      </c>
      <c r="B23" s="567" t="s">
        <v>342</v>
      </c>
      <c r="C23" s="569">
        <f>'2C Önk bev kiad fel'!E51</f>
        <v>161665</v>
      </c>
      <c r="D23" s="569">
        <f>'2C Önk bev kiad fel'!E168+'2C Önk bev kiad fel'!E176+'2C Önk bev kiad fel'!E193</f>
        <v>133083</v>
      </c>
      <c r="E23" s="569">
        <v>0</v>
      </c>
      <c r="F23" s="569">
        <f t="shared" si="0"/>
        <v>294748</v>
      </c>
      <c r="G23" s="569">
        <f>'2C Önk bev kiad fel'!H51</f>
        <v>133584</v>
      </c>
      <c r="H23" s="569">
        <f>'2C Önk bev kiad fel'!H168+'2C Önk bev kiad fel'!H176+'2C Önk bev kiad fel'!H193</f>
        <v>114338</v>
      </c>
      <c r="I23" s="569">
        <f>'2C Önk bev kiad fel'!I215</f>
        <v>0</v>
      </c>
      <c r="J23" s="569">
        <f t="shared" si="1"/>
        <v>247922</v>
      </c>
      <c r="K23" s="569">
        <f>'2C Önk bev kiad fel'!K51</f>
        <v>128645</v>
      </c>
      <c r="L23" s="569">
        <f>'2C Önk bev kiad fel'!K168+'2C Önk bev kiad fel'!K176+'2C Önk bev kiad fel'!K193</f>
        <v>191959</v>
      </c>
      <c r="M23" s="569">
        <f>'2C Önk bev kiad fel'!M215</f>
        <v>0</v>
      </c>
      <c r="N23" s="569">
        <f t="shared" si="2"/>
        <v>320604</v>
      </c>
      <c r="O23" s="569">
        <f>'2C Önk bev kiad fel'!N51</f>
        <v>87073</v>
      </c>
      <c r="P23" s="569">
        <f>'2C Önk bev kiad fel'!N168+'2C Önk bev kiad fel'!N176+'2C Önk bev kiad fel'!N193</f>
        <v>110610</v>
      </c>
      <c r="Q23" s="569"/>
      <c r="R23" s="569">
        <f t="shared" si="3"/>
        <v>197683</v>
      </c>
      <c r="S23" s="569">
        <f>+'2C Önk bev kiad fel'!Q51+'2C Önk bev kiad fel'!Q58+'2C Önk bev kiad fel'!Q71</f>
        <v>364182</v>
      </c>
      <c r="T23" s="569">
        <f>'2C Önk bev kiad fel'!Q168+'2C Önk bev kiad fel'!Q176+'2C Önk bev kiad fel'!Q193</f>
        <v>69200</v>
      </c>
      <c r="U23" s="569">
        <v>0</v>
      </c>
      <c r="V23" s="569">
        <f t="shared" si="4"/>
        <v>433382</v>
      </c>
      <c r="W23" s="569">
        <f>+'2C Önk bev kiad fel'!T51+'2C Önk bev kiad fel'!T58+'2C Önk bev kiad fel'!T71</f>
        <v>325224</v>
      </c>
      <c r="X23" s="569">
        <f>'2C Önk bev kiad fel'!T168+'2C Önk bev kiad fel'!T176+'2C Önk bev kiad fel'!T193</f>
        <v>83117</v>
      </c>
      <c r="Y23" s="569">
        <v>0</v>
      </c>
      <c r="Z23" s="569">
        <f t="shared" ref="Z23:Z29" si="46">SUM(W23:Y23)</f>
        <v>408341</v>
      </c>
      <c r="AA23" s="569">
        <f>+'2C Önk bev kiad fel'!W51+'2C Önk bev kiad fel'!W58+'2C Önk bev kiad fel'!W71</f>
        <v>323620</v>
      </c>
      <c r="AB23" s="569">
        <f>'2C Önk bev kiad fel'!W168+'2C Önk bev kiad fel'!W176+'2C Önk bev kiad fel'!W193</f>
        <v>75679</v>
      </c>
      <c r="AC23" s="569">
        <v>0</v>
      </c>
      <c r="AD23" s="569">
        <f t="shared" ref="AD23:AD29" si="47">SUM(AA23:AC23)</f>
        <v>399299</v>
      </c>
      <c r="AE23" s="569">
        <f>+'2C Önk bev kiad fel'!Z51+'2C Önk bev kiad fel'!Z58+'2C Önk bev kiad fel'!Z71</f>
        <v>365438</v>
      </c>
      <c r="AF23" s="569">
        <f>'2C Önk bev kiad fel'!Z168+'2C Önk bev kiad fel'!Z176+'2C Önk bev kiad fel'!Z193</f>
        <v>47476</v>
      </c>
      <c r="AG23" s="569">
        <v>0</v>
      </c>
      <c r="AH23" s="569">
        <f t="shared" ref="AH23:AH29" si="48">SUM(AE23:AG23)</f>
        <v>412914</v>
      </c>
    </row>
    <row r="24" spans="1:34" x14ac:dyDescent="0.25">
      <c r="A24" s="560" t="s">
        <v>315</v>
      </c>
      <c r="B24" s="567" t="s">
        <v>343</v>
      </c>
      <c r="C24" s="568">
        <f t="shared" ref="C24:H24" si="49">SUM(C25:C29)</f>
        <v>700</v>
      </c>
      <c r="D24" s="568">
        <f t="shared" si="49"/>
        <v>0</v>
      </c>
      <c r="E24" s="568">
        <f t="shared" si="49"/>
        <v>0</v>
      </c>
      <c r="F24" s="568">
        <f t="shared" si="0"/>
        <v>700</v>
      </c>
      <c r="G24" s="568">
        <f t="shared" si="49"/>
        <v>2272</v>
      </c>
      <c r="H24" s="568">
        <f t="shared" si="49"/>
        <v>1000</v>
      </c>
      <c r="I24" s="568">
        <f t="shared" ref="I24" si="50">SUM(I25:I29)</f>
        <v>0</v>
      </c>
      <c r="J24" s="568">
        <f t="shared" si="1"/>
        <v>3272</v>
      </c>
      <c r="K24" s="568">
        <f t="shared" ref="K24:M24" si="51">SUM(K25:K29)</f>
        <v>2272</v>
      </c>
      <c r="L24" s="568">
        <f t="shared" si="51"/>
        <v>0</v>
      </c>
      <c r="M24" s="568">
        <f t="shared" si="51"/>
        <v>0</v>
      </c>
      <c r="N24" s="568">
        <f t="shared" si="2"/>
        <v>2272</v>
      </c>
      <c r="O24" s="568">
        <f t="shared" ref="O24:Q24" si="52">SUM(O25:O29)</f>
        <v>572</v>
      </c>
      <c r="P24" s="568">
        <f t="shared" si="52"/>
        <v>0</v>
      </c>
      <c r="Q24" s="568">
        <f t="shared" si="52"/>
        <v>0</v>
      </c>
      <c r="R24" s="568">
        <f t="shared" si="3"/>
        <v>572</v>
      </c>
      <c r="S24" s="568">
        <f t="shared" ref="S24:U24" si="53">SUM(S25:S29)</f>
        <v>700</v>
      </c>
      <c r="T24" s="568">
        <f t="shared" si="53"/>
        <v>0</v>
      </c>
      <c r="U24" s="568">
        <f t="shared" si="53"/>
        <v>0</v>
      </c>
      <c r="V24" s="568">
        <f t="shared" si="4"/>
        <v>700</v>
      </c>
      <c r="W24" s="568">
        <f t="shared" ref="W24:Y24" si="54">SUM(W25:W29)</f>
        <v>1419</v>
      </c>
      <c r="X24" s="568">
        <f t="shared" si="54"/>
        <v>12607</v>
      </c>
      <c r="Y24" s="568">
        <f t="shared" si="54"/>
        <v>0</v>
      </c>
      <c r="Z24" s="568">
        <f t="shared" si="46"/>
        <v>14026</v>
      </c>
      <c r="AA24" s="568">
        <f t="shared" ref="AA24:AC24" si="55">SUM(AA25:AA29)</f>
        <v>1459</v>
      </c>
      <c r="AB24" s="568">
        <f t="shared" si="55"/>
        <v>14607</v>
      </c>
      <c r="AC24" s="568">
        <f t="shared" si="55"/>
        <v>0</v>
      </c>
      <c r="AD24" s="568">
        <f t="shared" si="47"/>
        <v>16066</v>
      </c>
      <c r="AE24" s="568">
        <f t="shared" ref="AE24:AG24" si="56">SUM(AE25:AE29)</f>
        <v>4459</v>
      </c>
      <c r="AF24" s="568">
        <f t="shared" si="56"/>
        <v>15302</v>
      </c>
      <c r="AG24" s="568">
        <f t="shared" si="56"/>
        <v>0</v>
      </c>
      <c r="AH24" s="568">
        <f t="shared" si="48"/>
        <v>19761</v>
      </c>
    </row>
    <row r="25" spans="1:34" ht="30" x14ac:dyDescent="0.25">
      <c r="A25" s="522"/>
      <c r="B25" s="379" t="s">
        <v>679</v>
      </c>
      <c r="C25" s="570">
        <v>0</v>
      </c>
      <c r="D25" s="570">
        <v>0</v>
      </c>
      <c r="E25" s="570">
        <v>0</v>
      </c>
      <c r="F25" s="570">
        <f t="shared" si="0"/>
        <v>0</v>
      </c>
      <c r="G25" s="570">
        <v>0</v>
      </c>
      <c r="H25" s="570">
        <v>0</v>
      </c>
      <c r="I25" s="570">
        <v>0</v>
      </c>
      <c r="J25" s="570">
        <f t="shared" si="1"/>
        <v>0</v>
      </c>
      <c r="K25" s="570">
        <v>0</v>
      </c>
      <c r="L25" s="570">
        <v>0</v>
      </c>
      <c r="M25" s="570">
        <v>0</v>
      </c>
      <c r="N25" s="570">
        <f t="shared" si="2"/>
        <v>0</v>
      </c>
      <c r="O25" s="570">
        <v>0</v>
      </c>
      <c r="P25" s="570">
        <v>0</v>
      </c>
      <c r="Q25" s="570">
        <v>0</v>
      </c>
      <c r="R25" s="570">
        <f t="shared" si="3"/>
        <v>0</v>
      </c>
      <c r="S25" s="955">
        <v>0</v>
      </c>
      <c r="T25" s="955">
        <v>0</v>
      </c>
      <c r="U25" s="955">
        <v>0</v>
      </c>
      <c r="V25" s="955">
        <f t="shared" si="4"/>
        <v>0</v>
      </c>
      <c r="W25" s="570">
        <v>0</v>
      </c>
      <c r="X25" s="570">
        <v>0</v>
      </c>
      <c r="Y25" s="570">
        <v>0</v>
      </c>
      <c r="Z25" s="570">
        <f t="shared" si="46"/>
        <v>0</v>
      </c>
      <c r="AA25" s="570">
        <v>0</v>
      </c>
      <c r="AB25" s="570">
        <v>0</v>
      </c>
      <c r="AC25" s="570">
        <v>0</v>
      </c>
      <c r="AD25" s="570">
        <f t="shared" si="47"/>
        <v>0</v>
      </c>
      <c r="AE25" s="955">
        <v>0</v>
      </c>
      <c r="AF25" s="955">
        <v>0</v>
      </c>
      <c r="AG25" s="955">
        <v>0</v>
      </c>
      <c r="AH25" s="955">
        <f t="shared" si="48"/>
        <v>0</v>
      </c>
    </row>
    <row r="26" spans="1:34" ht="30" x14ac:dyDescent="0.25">
      <c r="A26" s="522"/>
      <c r="B26" s="379" t="s">
        <v>680</v>
      </c>
      <c r="C26" s="570">
        <v>0</v>
      </c>
      <c r="D26" s="570">
        <v>0</v>
      </c>
      <c r="E26" s="570">
        <v>0</v>
      </c>
      <c r="F26" s="570">
        <f t="shared" si="0"/>
        <v>0</v>
      </c>
      <c r="G26" s="570">
        <v>0</v>
      </c>
      <c r="H26" s="570">
        <v>0</v>
      </c>
      <c r="I26" s="570">
        <v>0</v>
      </c>
      <c r="J26" s="570">
        <f t="shared" si="1"/>
        <v>0</v>
      </c>
      <c r="K26" s="570">
        <v>0</v>
      </c>
      <c r="L26" s="570">
        <v>0</v>
      </c>
      <c r="M26" s="570">
        <v>0</v>
      </c>
      <c r="N26" s="570">
        <f t="shared" si="2"/>
        <v>0</v>
      </c>
      <c r="O26" s="570">
        <v>0</v>
      </c>
      <c r="P26" s="570">
        <v>0</v>
      </c>
      <c r="Q26" s="570">
        <v>0</v>
      </c>
      <c r="R26" s="570">
        <f t="shared" si="3"/>
        <v>0</v>
      </c>
      <c r="S26" s="955">
        <v>0</v>
      </c>
      <c r="T26" s="955">
        <v>0</v>
      </c>
      <c r="U26" s="955">
        <v>0</v>
      </c>
      <c r="V26" s="955">
        <f t="shared" si="4"/>
        <v>0</v>
      </c>
      <c r="W26" s="570">
        <v>0</v>
      </c>
      <c r="X26" s="570">
        <v>0</v>
      </c>
      <c r="Y26" s="570">
        <v>0</v>
      </c>
      <c r="Z26" s="570">
        <f t="shared" si="46"/>
        <v>0</v>
      </c>
      <c r="AA26" s="570">
        <v>0</v>
      </c>
      <c r="AB26" s="570">
        <v>0</v>
      </c>
      <c r="AC26" s="570">
        <v>0</v>
      </c>
      <c r="AD26" s="570">
        <f t="shared" si="47"/>
        <v>0</v>
      </c>
      <c r="AE26" s="955">
        <f>'2C Önk bev kiad fel'!Z36</f>
        <v>3000</v>
      </c>
      <c r="AF26" s="955">
        <v>0</v>
      </c>
      <c r="AG26" s="955">
        <v>0</v>
      </c>
      <c r="AH26" s="955">
        <f t="shared" si="48"/>
        <v>3000</v>
      </c>
    </row>
    <row r="27" spans="1:34" x14ac:dyDescent="0.25">
      <c r="A27" s="522"/>
      <c r="B27" s="379" t="s">
        <v>681</v>
      </c>
      <c r="C27" s="570">
        <v>0</v>
      </c>
      <c r="D27" s="570">
        <v>0</v>
      </c>
      <c r="E27" s="570">
        <v>0</v>
      </c>
      <c r="F27" s="570">
        <f t="shared" si="0"/>
        <v>0</v>
      </c>
      <c r="G27" s="570">
        <v>0</v>
      </c>
      <c r="H27" s="570">
        <v>0</v>
      </c>
      <c r="I27" s="570">
        <v>0</v>
      </c>
      <c r="J27" s="570">
        <f t="shared" si="1"/>
        <v>0</v>
      </c>
      <c r="K27" s="570">
        <v>0</v>
      </c>
      <c r="L27" s="570">
        <v>0</v>
      </c>
      <c r="M27" s="570">
        <v>0</v>
      </c>
      <c r="N27" s="570">
        <f t="shared" si="2"/>
        <v>0</v>
      </c>
      <c r="O27" s="570">
        <v>0</v>
      </c>
      <c r="P27" s="570">
        <v>0</v>
      </c>
      <c r="Q27" s="570">
        <v>0</v>
      </c>
      <c r="R27" s="570">
        <f t="shared" si="3"/>
        <v>0</v>
      </c>
      <c r="S27" s="955">
        <v>0</v>
      </c>
      <c r="T27" s="955">
        <v>0</v>
      </c>
      <c r="U27" s="955">
        <v>0</v>
      </c>
      <c r="V27" s="955">
        <f t="shared" si="4"/>
        <v>0</v>
      </c>
      <c r="W27" s="570">
        <v>0</v>
      </c>
      <c r="X27" s="570">
        <v>0</v>
      </c>
      <c r="Y27" s="570">
        <v>0</v>
      </c>
      <c r="Z27" s="570">
        <f t="shared" si="46"/>
        <v>0</v>
      </c>
      <c r="AA27" s="570">
        <v>0</v>
      </c>
      <c r="AB27" s="570">
        <v>0</v>
      </c>
      <c r="AC27" s="570">
        <v>0</v>
      </c>
      <c r="AD27" s="570">
        <f t="shared" si="47"/>
        <v>0</v>
      </c>
      <c r="AE27" s="955">
        <v>0</v>
      </c>
      <c r="AF27" s="955">
        <v>0</v>
      </c>
      <c r="AG27" s="955">
        <v>0</v>
      </c>
      <c r="AH27" s="955">
        <f t="shared" si="48"/>
        <v>0</v>
      </c>
    </row>
    <row r="28" spans="1:34" ht="30" x14ac:dyDescent="0.25">
      <c r="A28" s="522"/>
      <c r="B28" s="379" t="s">
        <v>682</v>
      </c>
      <c r="C28" s="570">
        <v>0</v>
      </c>
      <c r="D28" s="570">
        <v>0</v>
      </c>
      <c r="E28" s="570">
        <v>0</v>
      </c>
      <c r="F28" s="570">
        <f t="shared" si="0"/>
        <v>0</v>
      </c>
      <c r="G28" s="570">
        <v>0</v>
      </c>
      <c r="H28" s="570">
        <f>+'2C Önk bev kiad fel'!H161</f>
        <v>1000</v>
      </c>
      <c r="I28" s="570">
        <v>0</v>
      </c>
      <c r="J28" s="570">
        <f t="shared" si="1"/>
        <v>1000</v>
      </c>
      <c r="K28" s="570">
        <v>0</v>
      </c>
      <c r="L28" s="570">
        <v>0</v>
      </c>
      <c r="M28" s="570">
        <v>0</v>
      </c>
      <c r="N28" s="570">
        <f t="shared" si="2"/>
        <v>0</v>
      </c>
      <c r="O28" s="570">
        <v>0</v>
      </c>
      <c r="P28" s="570">
        <v>0</v>
      </c>
      <c r="Q28" s="570">
        <v>0</v>
      </c>
      <c r="R28" s="570">
        <f t="shared" si="3"/>
        <v>0</v>
      </c>
      <c r="S28" s="955">
        <v>0</v>
      </c>
      <c r="T28" s="955">
        <v>0</v>
      </c>
      <c r="U28" s="955">
        <v>0</v>
      </c>
      <c r="V28" s="955">
        <f t="shared" si="4"/>
        <v>0</v>
      </c>
      <c r="W28" s="570">
        <v>0</v>
      </c>
      <c r="X28" s="570">
        <v>0</v>
      </c>
      <c r="Y28" s="570">
        <v>0</v>
      </c>
      <c r="Z28" s="570">
        <f t="shared" si="46"/>
        <v>0</v>
      </c>
      <c r="AA28" s="570">
        <v>40</v>
      </c>
      <c r="AB28" s="570">
        <v>0</v>
      </c>
      <c r="AC28" s="570">
        <v>0</v>
      </c>
      <c r="AD28" s="570">
        <f t="shared" si="47"/>
        <v>40</v>
      </c>
      <c r="AE28" s="955">
        <v>40</v>
      </c>
      <c r="AF28" s="955">
        <v>0</v>
      </c>
      <c r="AG28" s="955">
        <v>0</v>
      </c>
      <c r="AH28" s="955">
        <f t="shared" si="48"/>
        <v>40</v>
      </c>
    </row>
    <row r="29" spans="1:34" ht="30" x14ac:dyDescent="0.25">
      <c r="A29" s="522"/>
      <c r="B29" s="379" t="s">
        <v>683</v>
      </c>
      <c r="C29" s="570">
        <f>'2C Önk bev kiad fel'!E10</f>
        <v>700</v>
      </c>
      <c r="D29" s="570">
        <v>0</v>
      </c>
      <c r="E29" s="570">
        <v>0</v>
      </c>
      <c r="F29" s="570">
        <f t="shared" si="0"/>
        <v>700</v>
      </c>
      <c r="G29" s="570">
        <f>'2C Önk bev kiad fel'!H10</f>
        <v>2272</v>
      </c>
      <c r="H29" s="570">
        <v>0</v>
      </c>
      <c r="I29" s="570">
        <v>0</v>
      </c>
      <c r="J29" s="570">
        <f t="shared" si="1"/>
        <v>2272</v>
      </c>
      <c r="K29" s="570">
        <f>'2C Önk bev kiad fel'!K10</f>
        <v>2272</v>
      </c>
      <c r="L29" s="570">
        <v>0</v>
      </c>
      <c r="M29" s="570">
        <v>0</v>
      </c>
      <c r="N29" s="570">
        <f t="shared" si="2"/>
        <v>2272</v>
      </c>
      <c r="O29" s="570">
        <f>'2C Önk bev kiad fel'!N10</f>
        <v>572</v>
      </c>
      <c r="P29" s="570">
        <v>0</v>
      </c>
      <c r="Q29" s="570">
        <v>0</v>
      </c>
      <c r="R29" s="570">
        <f t="shared" si="3"/>
        <v>572</v>
      </c>
      <c r="S29" s="955">
        <f>'2C Önk bev kiad fel'!Q10</f>
        <v>700</v>
      </c>
      <c r="T29" s="955">
        <v>0</v>
      </c>
      <c r="U29" s="955">
        <v>0</v>
      </c>
      <c r="V29" s="955">
        <f t="shared" si="4"/>
        <v>700</v>
      </c>
      <c r="W29" s="570">
        <f>'2C Önk bev kiad fel'!T10</f>
        <v>1419</v>
      </c>
      <c r="X29" s="570">
        <f>'2C Önk bev kiad fel'!T174</f>
        <v>12607</v>
      </c>
      <c r="Y29" s="570">
        <v>0</v>
      </c>
      <c r="Z29" s="570">
        <f t="shared" si="46"/>
        <v>14026</v>
      </c>
      <c r="AA29" s="570">
        <f>'2C Önk bev kiad fel'!W10</f>
        <v>1419</v>
      </c>
      <c r="AB29" s="570">
        <f>'2C Önk bev kiad fel'!W174+'2C Önk bev kiad fel'!W169</f>
        <v>14607</v>
      </c>
      <c r="AC29" s="570">
        <v>0</v>
      </c>
      <c r="AD29" s="570">
        <f t="shared" si="47"/>
        <v>16026</v>
      </c>
      <c r="AE29" s="955">
        <f>'2C Önk bev kiad fel'!Z10</f>
        <v>1419</v>
      </c>
      <c r="AF29" s="955">
        <f>'2C Önk bev kiad fel'!Z174+'2C Önk bev kiad fel'!Z169+'2C Önk bev kiad fel'!Z143+'2C Önk bev kiad fel'!Z148</f>
        <v>15302</v>
      </c>
      <c r="AG29" s="955">
        <v>0</v>
      </c>
      <c r="AH29" s="955">
        <f t="shared" si="48"/>
        <v>16721</v>
      </c>
    </row>
    <row r="30" spans="1:34" x14ac:dyDescent="0.25">
      <c r="A30" s="521"/>
      <c r="B30" s="563" t="s">
        <v>593</v>
      </c>
      <c r="C30" s="360">
        <f t="shared" ref="C30:E30" si="57">C21+C7</f>
        <v>2121883.7400000002</v>
      </c>
      <c r="D30" s="360">
        <f t="shared" si="57"/>
        <v>1275514.5</v>
      </c>
      <c r="E30" s="360">
        <f t="shared" si="57"/>
        <v>0</v>
      </c>
      <c r="F30" s="360">
        <f t="shared" si="0"/>
        <v>3397398.24</v>
      </c>
      <c r="G30" s="360">
        <f t="shared" ref="G30:I30" si="58">G21+G7</f>
        <v>2728051</v>
      </c>
      <c r="H30" s="360" t="e">
        <f t="shared" si="58"/>
        <v>#REF!</v>
      </c>
      <c r="I30" s="360" t="e">
        <f t="shared" si="58"/>
        <v>#REF!</v>
      </c>
      <c r="J30" s="360" t="e">
        <f t="shared" si="1"/>
        <v>#REF!</v>
      </c>
      <c r="K30" s="360">
        <f t="shared" ref="K30:M30" si="59">K21+K7</f>
        <v>2956413.4</v>
      </c>
      <c r="L30" s="360">
        <f t="shared" si="59"/>
        <v>2212409</v>
      </c>
      <c r="M30" s="360">
        <f t="shared" si="59"/>
        <v>17666</v>
      </c>
      <c r="N30" s="360">
        <f t="shared" si="2"/>
        <v>5186488.4000000004</v>
      </c>
      <c r="O30" s="360">
        <f t="shared" ref="O30:Q30" si="60">O21+O7</f>
        <v>2086159</v>
      </c>
      <c r="P30" s="360">
        <f t="shared" si="60"/>
        <v>1593740</v>
      </c>
      <c r="Q30" s="360">
        <f t="shared" si="60"/>
        <v>0</v>
      </c>
      <c r="R30" s="360">
        <f t="shared" si="3"/>
        <v>3679899</v>
      </c>
      <c r="S30" s="360">
        <f t="shared" ref="S30:U30" si="61">S21+S7</f>
        <v>1980262.3149606299</v>
      </c>
      <c r="T30" s="360">
        <f t="shared" si="61"/>
        <v>866944.41999999993</v>
      </c>
      <c r="U30" s="360">
        <f t="shared" si="61"/>
        <v>0</v>
      </c>
      <c r="V30" s="360">
        <f>SUM(S30:U30)-1</f>
        <v>2847205.7349606296</v>
      </c>
      <c r="W30" s="360">
        <f t="shared" ref="W30:Y30" si="62">W21+W7</f>
        <v>2209185</v>
      </c>
      <c r="X30" s="360">
        <f t="shared" si="62"/>
        <v>983475</v>
      </c>
      <c r="Y30" s="360">
        <f t="shared" si="62"/>
        <v>0</v>
      </c>
      <c r="Z30" s="360">
        <f>SUM(W30:Y30)</f>
        <v>3192660</v>
      </c>
      <c r="AA30" s="360">
        <f t="shared" ref="AA30:AC30" si="63">AA21+AA7</f>
        <v>2242583</v>
      </c>
      <c r="AB30" s="360">
        <f t="shared" si="63"/>
        <v>954599</v>
      </c>
      <c r="AC30" s="360">
        <f t="shared" si="63"/>
        <v>0</v>
      </c>
      <c r="AD30" s="360">
        <f>SUM(AA30:AC30)</f>
        <v>3197182</v>
      </c>
      <c r="AE30" s="360">
        <f t="shared" ref="AE30:AG30" si="64">AE21+AE7</f>
        <v>2501861</v>
      </c>
      <c r="AF30" s="360">
        <f t="shared" si="64"/>
        <v>1029539</v>
      </c>
      <c r="AG30" s="360">
        <f t="shared" si="64"/>
        <v>0</v>
      </c>
      <c r="AH30" s="360">
        <f>SUM(AE30:AG30)</f>
        <v>3531400</v>
      </c>
    </row>
    <row r="31" spans="1:34" x14ac:dyDescent="0.25">
      <c r="A31" s="557" t="s">
        <v>328</v>
      </c>
      <c r="B31" s="538" t="s">
        <v>596</v>
      </c>
      <c r="C31" s="539">
        <f t="shared" ref="C31:E31" si="65">C32+C41</f>
        <v>0</v>
      </c>
      <c r="D31" s="539">
        <f t="shared" si="65"/>
        <v>0</v>
      </c>
      <c r="E31" s="539">
        <f t="shared" si="65"/>
        <v>2822366.2</v>
      </c>
      <c r="F31" s="539">
        <f t="shared" si="0"/>
        <v>2822366.2</v>
      </c>
      <c r="G31" s="539">
        <f t="shared" ref="G31:I31" si="66">G32+G41</f>
        <v>0</v>
      </c>
      <c r="H31" s="539">
        <f t="shared" si="66"/>
        <v>0</v>
      </c>
      <c r="I31" s="539">
        <f t="shared" si="66"/>
        <v>3161860</v>
      </c>
      <c r="J31" s="539">
        <f t="shared" si="1"/>
        <v>3161860</v>
      </c>
      <c r="K31" s="539">
        <f t="shared" ref="K31:M31" si="67">K32+K41</f>
        <v>0</v>
      </c>
      <c r="L31" s="539">
        <f t="shared" si="67"/>
        <v>0</v>
      </c>
      <c r="M31" s="539" t="e">
        <f t="shared" si="67"/>
        <v>#REF!</v>
      </c>
      <c r="N31" s="539" t="e">
        <f t="shared" si="2"/>
        <v>#REF!</v>
      </c>
      <c r="O31" s="539">
        <f t="shared" ref="O31:Q31" si="68">O32+O41</f>
        <v>0</v>
      </c>
      <c r="P31" s="539">
        <f t="shared" si="68"/>
        <v>0</v>
      </c>
      <c r="Q31" s="539">
        <f t="shared" si="68"/>
        <v>2553407</v>
      </c>
      <c r="R31" s="539">
        <f t="shared" si="3"/>
        <v>2553407</v>
      </c>
      <c r="S31" s="539">
        <f t="shared" ref="S31:U31" si="69">S32+S41</f>
        <v>180645</v>
      </c>
      <c r="T31" s="539">
        <f t="shared" si="69"/>
        <v>0</v>
      </c>
      <c r="U31" s="539">
        <f t="shared" si="69"/>
        <v>2577635.1093543307</v>
      </c>
      <c r="V31" s="539">
        <f t="shared" si="4"/>
        <v>2758280.1093543307</v>
      </c>
      <c r="W31" s="539">
        <f t="shared" ref="W31:Y31" si="70">W32+W41</f>
        <v>180645</v>
      </c>
      <c r="X31" s="539">
        <f t="shared" si="70"/>
        <v>0</v>
      </c>
      <c r="Y31" s="539">
        <f t="shared" si="70"/>
        <v>2775642.33</v>
      </c>
      <c r="Z31" s="539">
        <f t="shared" ref="Z31:Z38" si="71">SUM(W31:Y31)</f>
        <v>2956287.33</v>
      </c>
      <c r="AA31" s="539">
        <f t="shared" ref="AA31:AC31" si="72">AA32+AA41</f>
        <v>180645</v>
      </c>
      <c r="AB31" s="539">
        <f t="shared" si="72"/>
        <v>0</v>
      </c>
      <c r="AC31" s="539">
        <f t="shared" si="72"/>
        <v>2915959.33</v>
      </c>
      <c r="AD31" s="539">
        <f t="shared" ref="AD31:AD38" si="73">SUM(AA31:AC31)</f>
        <v>3096604.33</v>
      </c>
      <c r="AE31" s="539">
        <f t="shared" ref="AE31:AG31" si="74">AE32+AE41</f>
        <v>180645</v>
      </c>
      <c r="AF31" s="539">
        <f t="shared" si="74"/>
        <v>0</v>
      </c>
      <c r="AG31" s="539">
        <f t="shared" si="74"/>
        <v>3142666.6799999997</v>
      </c>
      <c r="AH31" s="539">
        <f t="shared" ref="AH31:AH38" si="75">SUM(AE31:AG31)</f>
        <v>3323311.6799999997</v>
      </c>
    </row>
    <row r="32" spans="1:34" x14ac:dyDescent="0.25">
      <c r="A32" s="560" t="s">
        <v>311</v>
      </c>
      <c r="B32" s="567" t="s">
        <v>599</v>
      </c>
      <c r="C32" s="571">
        <f t="shared" ref="C32:E32" si="76">C33+C38+C36+C40+C39+C37</f>
        <v>0</v>
      </c>
      <c r="D32" s="571">
        <f t="shared" si="76"/>
        <v>0</v>
      </c>
      <c r="E32" s="571">
        <f t="shared" si="76"/>
        <v>2822366.2</v>
      </c>
      <c r="F32" s="571">
        <f t="shared" si="0"/>
        <v>2822366.2</v>
      </c>
      <c r="G32" s="571">
        <f t="shared" ref="G32:H32" si="77">G33+G38+G36+G40+G39+G37</f>
        <v>0</v>
      </c>
      <c r="H32" s="571">
        <f t="shared" si="77"/>
        <v>0</v>
      </c>
      <c r="I32" s="571">
        <f t="shared" ref="I32" si="78">I33+I38+I36+I40+I39+I37</f>
        <v>3161860</v>
      </c>
      <c r="J32" s="571">
        <f t="shared" si="1"/>
        <v>3161860</v>
      </c>
      <c r="K32" s="571">
        <f t="shared" ref="K32:M32" si="79">K33+K38+K36+K40+K39+K37</f>
        <v>0</v>
      </c>
      <c r="L32" s="571">
        <f t="shared" si="79"/>
        <v>0</v>
      </c>
      <c r="M32" s="571" t="e">
        <f t="shared" si="79"/>
        <v>#REF!</v>
      </c>
      <c r="N32" s="571" t="e">
        <f t="shared" si="2"/>
        <v>#REF!</v>
      </c>
      <c r="O32" s="571">
        <f t="shared" ref="O32:Q32" si="80">O33+O38+O36+O40+O39+O37</f>
        <v>0</v>
      </c>
      <c r="P32" s="571">
        <f t="shared" si="80"/>
        <v>0</v>
      </c>
      <c r="Q32" s="571">
        <f t="shared" si="80"/>
        <v>2553407</v>
      </c>
      <c r="R32" s="571">
        <f t="shared" si="3"/>
        <v>2553407</v>
      </c>
      <c r="S32" s="571">
        <f t="shared" ref="S32:U32" si="81">S33+S38+S36+S40+S39+S37</f>
        <v>180645</v>
      </c>
      <c r="T32" s="571">
        <f t="shared" si="81"/>
        <v>0</v>
      </c>
      <c r="U32" s="571">
        <f t="shared" si="81"/>
        <v>2577635.1093543307</v>
      </c>
      <c r="V32" s="571">
        <f t="shared" si="4"/>
        <v>2758280.1093543307</v>
      </c>
      <c r="W32" s="571">
        <f t="shared" ref="W32:Y32" si="82">W33+W38+W36+W40+W39+W37</f>
        <v>180645</v>
      </c>
      <c r="X32" s="571">
        <f t="shared" si="82"/>
        <v>0</v>
      </c>
      <c r="Y32" s="571">
        <f t="shared" si="82"/>
        <v>2775642.33</v>
      </c>
      <c r="Z32" s="571">
        <f t="shared" si="71"/>
        <v>2956287.33</v>
      </c>
      <c r="AA32" s="571">
        <f t="shared" ref="AA32:AC32" si="83">AA33+AA38+AA36+AA40+AA39+AA37</f>
        <v>180645</v>
      </c>
      <c r="AB32" s="571">
        <f t="shared" si="83"/>
        <v>0</v>
      </c>
      <c r="AC32" s="571">
        <f t="shared" si="83"/>
        <v>2915959.33</v>
      </c>
      <c r="AD32" s="571">
        <f t="shared" si="73"/>
        <v>3096604.33</v>
      </c>
      <c r="AE32" s="571">
        <f t="shared" ref="AE32:AG32" si="84">AE33+AE38+AE36+AE40+AE39+AE37</f>
        <v>180645</v>
      </c>
      <c r="AF32" s="571">
        <f t="shared" si="84"/>
        <v>0</v>
      </c>
      <c r="AG32" s="571">
        <f t="shared" si="84"/>
        <v>3142666.6799999997</v>
      </c>
      <c r="AH32" s="571">
        <f t="shared" si="75"/>
        <v>3323311.6799999997</v>
      </c>
    </row>
    <row r="33" spans="1:34" ht="30" x14ac:dyDescent="0.25">
      <c r="A33" s="522"/>
      <c r="B33" s="380" t="s">
        <v>684</v>
      </c>
      <c r="C33" s="381"/>
      <c r="D33" s="381"/>
      <c r="E33" s="381"/>
      <c r="F33" s="381">
        <f t="shared" si="0"/>
        <v>0</v>
      </c>
      <c r="G33" s="381"/>
      <c r="H33" s="381"/>
      <c r="I33" s="381"/>
      <c r="J33" s="381">
        <f t="shared" si="1"/>
        <v>0</v>
      </c>
      <c r="K33" s="381"/>
      <c r="L33" s="381"/>
      <c r="M33" s="381"/>
      <c r="N33" s="381">
        <f t="shared" si="2"/>
        <v>0</v>
      </c>
      <c r="O33" s="381"/>
      <c r="P33" s="381"/>
      <c r="Q33" s="381"/>
      <c r="R33" s="381">
        <f t="shared" si="3"/>
        <v>0</v>
      </c>
      <c r="S33" s="956">
        <f>+S34+S35</f>
        <v>180645</v>
      </c>
      <c r="T33" s="956"/>
      <c r="U33" s="956"/>
      <c r="V33" s="956">
        <f t="shared" si="4"/>
        <v>180645</v>
      </c>
      <c r="W33" s="381">
        <f>+W34+W35</f>
        <v>180645</v>
      </c>
      <c r="X33" s="381"/>
      <c r="Y33" s="381"/>
      <c r="Z33" s="381">
        <f t="shared" si="71"/>
        <v>180645</v>
      </c>
      <c r="AA33" s="381">
        <f>+AA34+AA35</f>
        <v>180645</v>
      </c>
      <c r="AB33" s="381"/>
      <c r="AC33" s="381"/>
      <c r="AD33" s="381">
        <f t="shared" si="73"/>
        <v>180645</v>
      </c>
      <c r="AE33" s="956">
        <f>+AE34+AE35</f>
        <v>180645</v>
      </c>
      <c r="AF33" s="956"/>
      <c r="AG33" s="956"/>
      <c r="AH33" s="956">
        <f t="shared" si="75"/>
        <v>180645</v>
      </c>
    </row>
    <row r="34" spans="1:34" x14ac:dyDescent="0.25">
      <c r="A34" s="522"/>
      <c r="B34" s="382" t="s">
        <v>685</v>
      </c>
      <c r="C34" s="357"/>
      <c r="D34" s="357"/>
      <c r="E34" s="357"/>
      <c r="F34" s="357">
        <f t="shared" si="0"/>
        <v>0</v>
      </c>
      <c r="G34" s="357"/>
      <c r="H34" s="357"/>
      <c r="I34" s="357"/>
      <c r="J34" s="357">
        <f t="shared" si="1"/>
        <v>0</v>
      </c>
      <c r="K34" s="357"/>
      <c r="L34" s="357"/>
      <c r="M34" s="357"/>
      <c r="N34" s="357">
        <f t="shared" si="2"/>
        <v>0</v>
      </c>
      <c r="O34" s="357"/>
      <c r="P34" s="357"/>
      <c r="Q34" s="357"/>
      <c r="R34" s="357">
        <f t="shared" si="3"/>
        <v>0</v>
      </c>
      <c r="S34" s="937">
        <f>+'2C Önk bev kiad fel'!Q206</f>
        <v>180645</v>
      </c>
      <c r="T34" s="937"/>
      <c r="U34" s="937"/>
      <c r="V34" s="937">
        <f t="shared" si="4"/>
        <v>180645</v>
      </c>
      <c r="W34" s="357">
        <f>+'2C Önk bev kiad fel'!T206</f>
        <v>180645</v>
      </c>
      <c r="X34" s="357"/>
      <c r="Y34" s="357"/>
      <c r="Z34" s="357">
        <f t="shared" si="71"/>
        <v>180645</v>
      </c>
      <c r="AA34" s="357">
        <f>+'2C Önk bev kiad fel'!W206</f>
        <v>180645</v>
      </c>
      <c r="AB34" s="357"/>
      <c r="AC34" s="357"/>
      <c r="AD34" s="357">
        <f t="shared" si="73"/>
        <v>180645</v>
      </c>
      <c r="AE34" s="937">
        <f>+'2C Önk bev kiad fel'!Z206</f>
        <v>180645</v>
      </c>
      <c r="AF34" s="937"/>
      <c r="AG34" s="937"/>
      <c r="AH34" s="937">
        <f t="shared" si="75"/>
        <v>180645</v>
      </c>
    </row>
    <row r="35" spans="1:34" x14ac:dyDescent="0.25">
      <c r="A35" s="522"/>
      <c r="B35" s="382" t="s">
        <v>686</v>
      </c>
      <c r="C35" s="357"/>
      <c r="D35" s="357"/>
      <c r="E35" s="357"/>
      <c r="F35" s="357">
        <f t="shared" si="0"/>
        <v>0</v>
      </c>
      <c r="G35" s="357"/>
      <c r="H35" s="357"/>
      <c r="I35" s="357"/>
      <c r="J35" s="357">
        <f t="shared" si="1"/>
        <v>0</v>
      </c>
      <c r="K35" s="357"/>
      <c r="L35" s="357"/>
      <c r="M35" s="357"/>
      <c r="N35" s="357">
        <f t="shared" si="2"/>
        <v>0</v>
      </c>
      <c r="O35" s="357"/>
      <c r="P35" s="357"/>
      <c r="Q35" s="357"/>
      <c r="R35" s="357">
        <f t="shared" si="3"/>
        <v>0</v>
      </c>
      <c r="S35" s="937"/>
      <c r="T35" s="937"/>
      <c r="U35" s="937"/>
      <c r="V35" s="937">
        <f t="shared" si="4"/>
        <v>0</v>
      </c>
      <c r="W35" s="357"/>
      <c r="X35" s="357"/>
      <c r="Y35" s="357"/>
      <c r="Z35" s="357">
        <f t="shared" si="71"/>
        <v>0</v>
      </c>
      <c r="AA35" s="357"/>
      <c r="AB35" s="357"/>
      <c r="AC35" s="357"/>
      <c r="AD35" s="357">
        <f t="shared" si="73"/>
        <v>0</v>
      </c>
      <c r="AE35" s="937"/>
      <c r="AF35" s="937"/>
      <c r="AG35" s="937"/>
      <c r="AH35" s="937">
        <f t="shared" si="75"/>
        <v>0</v>
      </c>
    </row>
    <row r="36" spans="1:34" x14ac:dyDescent="0.25">
      <c r="A36" s="522"/>
      <c r="B36" s="380" t="s">
        <v>687</v>
      </c>
      <c r="C36" s="381"/>
      <c r="D36" s="381"/>
      <c r="E36" s="381"/>
      <c r="F36" s="381">
        <f t="shared" si="0"/>
        <v>0</v>
      </c>
      <c r="G36" s="381"/>
      <c r="H36" s="381"/>
      <c r="I36" s="381"/>
      <c r="J36" s="381">
        <f t="shared" si="1"/>
        <v>0</v>
      </c>
      <c r="K36" s="381"/>
      <c r="L36" s="381"/>
      <c r="M36" s="381"/>
      <c r="N36" s="381">
        <f t="shared" si="2"/>
        <v>0</v>
      </c>
      <c r="O36" s="381"/>
      <c r="P36" s="381"/>
      <c r="Q36" s="381"/>
      <c r="R36" s="381">
        <f t="shared" si="3"/>
        <v>0</v>
      </c>
      <c r="S36" s="956"/>
      <c r="T36" s="956"/>
      <c r="U36" s="956"/>
      <c r="V36" s="956">
        <f t="shared" si="4"/>
        <v>0</v>
      </c>
      <c r="W36" s="381"/>
      <c r="X36" s="381"/>
      <c r="Y36" s="381"/>
      <c r="Z36" s="381">
        <f t="shared" si="71"/>
        <v>0</v>
      </c>
      <c r="AA36" s="381"/>
      <c r="AB36" s="381"/>
      <c r="AC36" s="381"/>
      <c r="AD36" s="381">
        <f t="shared" si="73"/>
        <v>0</v>
      </c>
      <c r="AE36" s="956"/>
      <c r="AF36" s="956"/>
      <c r="AG36" s="956"/>
      <c r="AH36" s="956">
        <f t="shared" si="75"/>
        <v>0</v>
      </c>
    </row>
    <row r="37" spans="1:34" ht="30" x14ac:dyDescent="0.25">
      <c r="A37" s="522"/>
      <c r="B37" s="380" t="s">
        <v>688</v>
      </c>
      <c r="C37" s="381"/>
      <c r="D37" s="381"/>
      <c r="E37" s="381">
        <v>10430</v>
      </c>
      <c r="F37" s="381">
        <f t="shared" si="0"/>
        <v>10430</v>
      </c>
      <c r="G37" s="381"/>
      <c r="H37" s="381"/>
      <c r="I37" s="381">
        <f>'2C Önk bev kiad fel'!H205</f>
        <v>311873</v>
      </c>
      <c r="J37" s="381">
        <f t="shared" si="1"/>
        <v>311873</v>
      </c>
      <c r="K37" s="381"/>
      <c r="L37" s="381"/>
      <c r="M37" s="381">
        <f>'2C Önk bev kiad fel'!K205</f>
        <v>11619</v>
      </c>
      <c r="N37" s="381">
        <f t="shared" si="2"/>
        <v>11619</v>
      </c>
      <c r="O37" s="381"/>
      <c r="P37" s="381"/>
      <c r="Q37" s="381">
        <f>'2C Önk bev kiad fel'!N205</f>
        <v>311873</v>
      </c>
      <c r="R37" s="381">
        <f t="shared" si="3"/>
        <v>311873</v>
      </c>
      <c r="S37" s="956"/>
      <c r="T37" s="956"/>
      <c r="U37" s="956">
        <f>'2C Önk bev kiad fel'!Q205</f>
        <v>17063</v>
      </c>
      <c r="V37" s="956">
        <f t="shared" si="4"/>
        <v>17063</v>
      </c>
      <c r="W37" s="381"/>
      <c r="X37" s="381"/>
      <c r="Y37" s="381">
        <f>'2C Önk bev kiad fel'!T205</f>
        <v>149361</v>
      </c>
      <c r="Z37" s="381">
        <f t="shared" si="71"/>
        <v>149361</v>
      </c>
      <c r="AA37" s="381"/>
      <c r="AB37" s="381"/>
      <c r="AC37" s="381">
        <f>'2C Önk bev kiad fel'!W205</f>
        <v>287390</v>
      </c>
      <c r="AD37" s="381">
        <f t="shared" si="73"/>
        <v>287390</v>
      </c>
      <c r="AE37" s="956"/>
      <c r="AF37" s="956"/>
      <c r="AG37" s="956">
        <f>'2C Önk bev kiad fel'!Z205</f>
        <v>500016</v>
      </c>
      <c r="AH37" s="956">
        <f t="shared" si="75"/>
        <v>500016</v>
      </c>
    </row>
    <row r="38" spans="1:34" x14ac:dyDescent="0.25">
      <c r="A38" s="522"/>
      <c r="B38" s="380" t="s">
        <v>689</v>
      </c>
      <c r="C38" s="381">
        <f>'2C Önk bev kiad fel'!C204</f>
        <v>0</v>
      </c>
      <c r="D38" s="381">
        <f>'2C Önk bev kiad fel'!D204</f>
        <v>0</v>
      </c>
      <c r="E38" s="381">
        <f>'2C Önk bev kiad fel'!E204</f>
        <v>2411936.2000000002</v>
      </c>
      <c r="F38" s="381">
        <f t="shared" si="0"/>
        <v>2411936.2000000002</v>
      </c>
      <c r="G38" s="381">
        <f>'2C Önk bev kiad fel'!G204</f>
        <v>0</v>
      </c>
      <c r="H38" s="381">
        <f>'2C Önk bev kiad fel'!I204</f>
        <v>0</v>
      </c>
      <c r="I38" s="381">
        <f>'2C Önk bev kiad fel'!H204</f>
        <v>2449987</v>
      </c>
      <c r="J38" s="381">
        <f t="shared" si="1"/>
        <v>2449987</v>
      </c>
      <c r="K38" s="381"/>
      <c r="L38" s="381">
        <f>'2C Önk bev kiad fel'!M204</f>
        <v>0</v>
      </c>
      <c r="M38" s="381" t="e">
        <f>'2C Önk bev kiad fel'!K204</f>
        <v>#REF!</v>
      </c>
      <c r="N38" s="381" t="e">
        <f t="shared" si="2"/>
        <v>#REF!</v>
      </c>
      <c r="O38" s="381"/>
      <c r="P38" s="381">
        <f>'2C Önk bev kiad fel'!P204</f>
        <v>0</v>
      </c>
      <c r="Q38" s="381">
        <f>'2C Önk bev kiad fel'!N204</f>
        <v>2241534</v>
      </c>
      <c r="R38" s="381">
        <f t="shared" si="3"/>
        <v>2241534</v>
      </c>
      <c r="S38" s="956"/>
      <c r="T38" s="956">
        <v>0</v>
      </c>
      <c r="U38" s="956">
        <f>'2C Önk bev kiad fel'!Q204</f>
        <v>2560572.1093543307</v>
      </c>
      <c r="V38" s="956">
        <f t="shared" si="4"/>
        <v>2560572.1093543307</v>
      </c>
      <c r="W38" s="381"/>
      <c r="X38" s="381">
        <v>0</v>
      </c>
      <c r="Y38" s="381">
        <f>'2C Önk bev kiad fel'!T204</f>
        <v>2626281.33</v>
      </c>
      <c r="Z38" s="381">
        <f t="shared" si="71"/>
        <v>2626281.33</v>
      </c>
      <c r="AA38" s="381"/>
      <c r="AB38" s="381">
        <v>0</v>
      </c>
      <c r="AC38" s="381">
        <f>'2C Önk bev kiad fel'!W204</f>
        <v>2628569.33</v>
      </c>
      <c r="AD38" s="381">
        <f t="shared" si="73"/>
        <v>2628569.33</v>
      </c>
      <c r="AE38" s="956"/>
      <c r="AF38" s="956">
        <v>0</v>
      </c>
      <c r="AG38" s="956">
        <f>'2C Önk bev kiad fel'!Z204</f>
        <v>2642650.6799999997</v>
      </c>
      <c r="AH38" s="956">
        <f t="shared" si="75"/>
        <v>2642650.6799999997</v>
      </c>
    </row>
    <row r="39" spans="1:34" x14ac:dyDescent="0.25">
      <c r="A39" s="522"/>
      <c r="B39" s="380" t="s">
        <v>690</v>
      </c>
      <c r="C39" s="381">
        <f>'2C Önk bev kiad fel'!C207</f>
        <v>0</v>
      </c>
      <c r="D39" s="381">
        <f>'2C Önk bev kiad fel'!D207</f>
        <v>0</v>
      </c>
      <c r="E39" s="381">
        <f>'2C Önk bev kiad fel'!E207</f>
        <v>400000</v>
      </c>
      <c r="F39" s="381">
        <f t="shared" si="0"/>
        <v>400000</v>
      </c>
      <c r="G39" s="381">
        <f>'2C Önk bev kiad fel'!G207</f>
        <v>0</v>
      </c>
      <c r="I39" s="381">
        <f>'2C Önk bev kiad fel'!H207</f>
        <v>400000</v>
      </c>
      <c r="J39" s="381">
        <f>SUM(G39:I39)</f>
        <v>400000</v>
      </c>
      <c r="K39" s="381"/>
      <c r="M39" s="381">
        <f>'2C Önk bev kiad fel'!K207</f>
        <v>400000</v>
      </c>
      <c r="N39" s="381">
        <f>SUM(K39:M39)</f>
        <v>400000</v>
      </c>
      <c r="O39" s="381"/>
      <c r="Q39" s="381">
        <f>'2C Önk bev kiad fel'!N207</f>
        <v>0</v>
      </c>
      <c r="R39" s="381">
        <f>SUM(O39:Q39)</f>
        <v>0</v>
      </c>
      <c r="S39" s="956"/>
      <c r="T39" s="957"/>
      <c r="U39" s="956">
        <f>'2C Önk bev kiad fel'!Q207</f>
        <v>0</v>
      </c>
      <c r="V39" s="956">
        <f>SUM(S39:U39)</f>
        <v>0</v>
      </c>
      <c r="W39" s="381"/>
      <c r="Y39" s="381">
        <f>'2C Önk bev kiad fel'!U207</f>
        <v>0</v>
      </c>
      <c r="Z39" s="381">
        <f>SUM(W39:Y39)</f>
        <v>0</v>
      </c>
      <c r="AA39" s="381"/>
      <c r="AC39" s="381">
        <f>'2C Önk bev kiad fel'!Y207</f>
        <v>0</v>
      </c>
      <c r="AD39" s="381">
        <f>SUM(AA39:AC39)</f>
        <v>0</v>
      </c>
      <c r="AE39" s="956"/>
      <c r="AF39" s="957"/>
      <c r="AG39" s="956">
        <f>'2C Önk bev kiad fel'!AC207</f>
        <v>0</v>
      </c>
      <c r="AH39" s="956">
        <f>SUM(AE39:AG39)</f>
        <v>0</v>
      </c>
    </row>
    <row r="40" spans="1:34" x14ac:dyDescent="0.25">
      <c r="A40" s="522"/>
      <c r="B40" s="380" t="s">
        <v>691</v>
      </c>
      <c r="C40" s="381"/>
      <c r="D40" s="381"/>
      <c r="E40" s="381"/>
      <c r="F40" s="381">
        <f t="shared" si="0"/>
        <v>0</v>
      </c>
      <c r="G40" s="381"/>
      <c r="H40" s="381"/>
      <c r="I40" s="381"/>
      <c r="J40" s="381">
        <f t="shared" si="1"/>
        <v>0</v>
      </c>
      <c r="K40" s="381"/>
      <c r="L40" s="381"/>
      <c r="M40" s="381"/>
      <c r="N40" s="381">
        <f t="shared" ref="N40:N43" si="85">SUM(K40:M40)</f>
        <v>0</v>
      </c>
      <c r="O40" s="381"/>
      <c r="P40" s="381"/>
      <c r="Q40" s="381"/>
      <c r="R40" s="381">
        <f t="shared" ref="R40:R43" si="86">SUM(O40:Q40)</f>
        <v>0</v>
      </c>
      <c r="S40" s="956"/>
      <c r="T40" s="956"/>
      <c r="U40" s="956"/>
      <c r="V40" s="956">
        <f t="shared" ref="V40:V43" si="87">SUM(S40:U40)</f>
        <v>0</v>
      </c>
      <c r="W40" s="381"/>
      <c r="X40" s="381"/>
      <c r="Y40" s="381"/>
      <c r="Z40" s="381">
        <f t="shared" ref="Z40:Z43" si="88">SUM(W40:Y40)</f>
        <v>0</v>
      </c>
      <c r="AA40" s="381"/>
      <c r="AB40" s="381"/>
      <c r="AC40" s="381"/>
      <c r="AD40" s="381">
        <f t="shared" ref="AD40:AD43" si="89">SUM(AA40:AC40)</f>
        <v>0</v>
      </c>
      <c r="AE40" s="956"/>
      <c r="AF40" s="956"/>
      <c r="AG40" s="956"/>
      <c r="AH40" s="956">
        <f t="shared" ref="AH40:AH43" si="90">SUM(AE40:AG40)</f>
        <v>0</v>
      </c>
    </row>
    <row r="41" spans="1:34" x14ac:dyDescent="0.25">
      <c r="A41" s="560" t="s">
        <v>322</v>
      </c>
      <c r="B41" s="567" t="s">
        <v>600</v>
      </c>
      <c r="C41" s="571">
        <f t="shared" ref="C41:E41" si="91">C42+C43</f>
        <v>0</v>
      </c>
      <c r="D41" s="571">
        <f t="shared" si="91"/>
        <v>0</v>
      </c>
      <c r="E41" s="571">
        <f t="shared" si="91"/>
        <v>0</v>
      </c>
      <c r="F41" s="571">
        <f t="shared" si="0"/>
        <v>0</v>
      </c>
      <c r="G41" s="571">
        <f t="shared" ref="G41:I41" si="92">G42+G43</f>
        <v>0</v>
      </c>
      <c r="H41" s="571">
        <f t="shared" si="92"/>
        <v>0</v>
      </c>
      <c r="I41" s="571">
        <f t="shared" si="92"/>
        <v>0</v>
      </c>
      <c r="J41" s="571">
        <f t="shared" si="1"/>
        <v>0</v>
      </c>
      <c r="K41" s="571">
        <f t="shared" ref="K41:M41" si="93">K42+K43</f>
        <v>0</v>
      </c>
      <c r="L41" s="571">
        <f t="shared" si="93"/>
        <v>0</v>
      </c>
      <c r="M41" s="571">
        <f t="shared" si="93"/>
        <v>0</v>
      </c>
      <c r="N41" s="571">
        <f t="shared" si="85"/>
        <v>0</v>
      </c>
      <c r="O41" s="571">
        <f t="shared" ref="O41:Q41" si="94">O42+O43</f>
        <v>0</v>
      </c>
      <c r="P41" s="571">
        <f t="shared" si="94"/>
        <v>0</v>
      </c>
      <c r="Q41" s="571">
        <f t="shared" si="94"/>
        <v>0</v>
      </c>
      <c r="R41" s="571">
        <f t="shared" si="86"/>
        <v>0</v>
      </c>
      <c r="S41" s="571">
        <f t="shared" ref="S41:U41" si="95">S42+S43</f>
        <v>0</v>
      </c>
      <c r="T41" s="571">
        <f t="shared" si="95"/>
        <v>0</v>
      </c>
      <c r="U41" s="571">
        <f t="shared" si="95"/>
        <v>0</v>
      </c>
      <c r="V41" s="571">
        <f t="shared" si="87"/>
        <v>0</v>
      </c>
      <c r="W41" s="571">
        <f t="shared" ref="W41:Y41" si="96">W42+W43</f>
        <v>0</v>
      </c>
      <c r="X41" s="571">
        <f t="shared" si="96"/>
        <v>0</v>
      </c>
      <c r="Y41" s="571">
        <f t="shared" si="96"/>
        <v>0</v>
      </c>
      <c r="Z41" s="571">
        <f t="shared" si="88"/>
        <v>0</v>
      </c>
      <c r="AA41" s="571">
        <f t="shared" ref="AA41:AC41" si="97">AA42+AA43</f>
        <v>0</v>
      </c>
      <c r="AB41" s="571">
        <f t="shared" si="97"/>
        <v>0</v>
      </c>
      <c r="AC41" s="571">
        <f t="shared" si="97"/>
        <v>0</v>
      </c>
      <c r="AD41" s="571">
        <f t="shared" si="89"/>
        <v>0</v>
      </c>
      <c r="AE41" s="571">
        <f t="shared" ref="AE41:AG41" si="98">AE42+AE43</f>
        <v>0</v>
      </c>
      <c r="AF41" s="571">
        <f t="shared" si="98"/>
        <v>0</v>
      </c>
      <c r="AG41" s="571">
        <f t="shared" si="98"/>
        <v>0</v>
      </c>
      <c r="AH41" s="571">
        <f t="shared" si="90"/>
        <v>0</v>
      </c>
    </row>
    <row r="42" spans="1:34" x14ac:dyDescent="0.25">
      <c r="A42" s="522"/>
      <c r="B42" s="380" t="s">
        <v>692</v>
      </c>
      <c r="C42" s="381"/>
      <c r="D42" s="381"/>
      <c r="E42" s="381"/>
      <c r="F42" s="381">
        <f t="shared" si="0"/>
        <v>0</v>
      </c>
      <c r="G42" s="381"/>
      <c r="H42" s="381"/>
      <c r="I42" s="381"/>
      <c r="J42" s="381">
        <f t="shared" si="1"/>
        <v>0</v>
      </c>
      <c r="K42" s="381"/>
      <c r="L42" s="381"/>
      <c r="M42" s="381"/>
      <c r="N42" s="381">
        <f t="shared" si="85"/>
        <v>0</v>
      </c>
      <c r="O42" s="381"/>
      <c r="P42" s="381"/>
      <c r="Q42" s="381"/>
      <c r="R42" s="381">
        <f t="shared" si="86"/>
        <v>0</v>
      </c>
      <c r="S42" s="956"/>
      <c r="T42" s="956"/>
      <c r="U42" s="956"/>
      <c r="V42" s="956">
        <f t="shared" si="87"/>
        <v>0</v>
      </c>
      <c r="W42" s="381"/>
      <c r="X42" s="381"/>
      <c r="Y42" s="381"/>
      <c r="Z42" s="381">
        <f t="shared" si="88"/>
        <v>0</v>
      </c>
      <c r="AA42" s="381"/>
      <c r="AB42" s="381"/>
      <c r="AC42" s="381"/>
      <c r="AD42" s="381">
        <f t="shared" si="89"/>
        <v>0</v>
      </c>
      <c r="AE42" s="956"/>
      <c r="AF42" s="956"/>
      <c r="AG42" s="956"/>
      <c r="AH42" s="956">
        <f t="shared" si="90"/>
        <v>0</v>
      </c>
    </row>
    <row r="43" spans="1:34" x14ac:dyDescent="0.25">
      <c r="A43" s="522"/>
      <c r="B43" s="380" t="s">
        <v>693</v>
      </c>
      <c r="C43" s="381"/>
      <c r="D43" s="381"/>
      <c r="E43" s="381"/>
      <c r="F43" s="381">
        <f t="shared" si="0"/>
        <v>0</v>
      </c>
      <c r="G43" s="381"/>
      <c r="H43" s="381"/>
      <c r="I43" s="381"/>
      <c r="J43" s="381">
        <f t="shared" si="1"/>
        <v>0</v>
      </c>
      <c r="K43" s="381"/>
      <c r="L43" s="381"/>
      <c r="M43" s="381"/>
      <c r="N43" s="381">
        <f t="shared" si="85"/>
        <v>0</v>
      </c>
      <c r="O43" s="381"/>
      <c r="P43" s="381"/>
      <c r="Q43" s="381"/>
      <c r="R43" s="381">
        <f t="shared" si="86"/>
        <v>0</v>
      </c>
      <c r="S43" s="956"/>
      <c r="T43" s="956"/>
      <c r="U43" s="956"/>
      <c r="V43" s="956">
        <f t="shared" si="87"/>
        <v>0</v>
      </c>
      <c r="W43" s="381"/>
      <c r="X43" s="381"/>
      <c r="Y43" s="381"/>
      <c r="Z43" s="381">
        <f t="shared" si="88"/>
        <v>0</v>
      </c>
      <c r="AA43" s="381"/>
      <c r="AB43" s="381"/>
      <c r="AC43" s="381"/>
      <c r="AD43" s="381">
        <f t="shared" si="89"/>
        <v>0</v>
      </c>
      <c r="AE43" s="956"/>
      <c r="AF43" s="956"/>
      <c r="AG43" s="956"/>
      <c r="AH43" s="956">
        <f t="shared" si="90"/>
        <v>0</v>
      </c>
    </row>
    <row r="44" spans="1:34" x14ac:dyDescent="0.25">
      <c r="A44" s="564"/>
      <c r="B44" s="565" t="s">
        <v>344</v>
      </c>
      <c r="C44" s="373">
        <f t="shared" ref="C44:E44" si="99">C31+C30</f>
        <v>2121883.7400000002</v>
      </c>
      <c r="D44" s="373">
        <f t="shared" si="99"/>
        <v>1275514.5</v>
      </c>
      <c r="E44" s="373">
        <f t="shared" si="99"/>
        <v>2822366.2</v>
      </c>
      <c r="F44" s="373">
        <f>SUM(C44:E44)+1</f>
        <v>6219765.4400000004</v>
      </c>
      <c r="G44" s="373">
        <f t="shared" ref="G44:I44" si="100">G31+G30</f>
        <v>2728051</v>
      </c>
      <c r="H44" s="373" t="e">
        <f t="shared" si="100"/>
        <v>#REF!</v>
      </c>
      <c r="I44" s="373" t="e">
        <f t="shared" si="100"/>
        <v>#REF!</v>
      </c>
      <c r="J44" s="373" t="e">
        <f>SUM(G44:I44)</f>
        <v>#REF!</v>
      </c>
      <c r="K44" s="373">
        <f t="shared" ref="K44:M44" si="101">K31+K30</f>
        <v>2956413.4</v>
      </c>
      <c r="L44" s="373">
        <f t="shared" si="101"/>
        <v>2212409</v>
      </c>
      <c r="M44" s="373" t="e">
        <f t="shared" si="101"/>
        <v>#REF!</v>
      </c>
      <c r="N44" s="373" t="e">
        <f>SUM(K44:M44)</f>
        <v>#REF!</v>
      </c>
      <c r="O44" s="373">
        <f t="shared" ref="O44:Q44" si="102">O31+O30</f>
        <v>2086159</v>
      </c>
      <c r="P44" s="373">
        <f t="shared" si="102"/>
        <v>1593740</v>
      </c>
      <c r="Q44" s="373">
        <f t="shared" si="102"/>
        <v>2553407</v>
      </c>
      <c r="R44" s="373">
        <f>SUM(O44:Q44)</f>
        <v>6233306</v>
      </c>
      <c r="S44" s="373">
        <f t="shared" ref="S44:U44" si="103">S31+S30</f>
        <v>2160907.3149606297</v>
      </c>
      <c r="T44" s="373">
        <f t="shared" si="103"/>
        <v>866944.41999999993</v>
      </c>
      <c r="U44" s="373">
        <f t="shared" si="103"/>
        <v>2577635.1093543307</v>
      </c>
      <c r="V44" s="373">
        <f>SUM(S44:U44)-1</f>
        <v>5605485.8443149608</v>
      </c>
      <c r="W44" s="373">
        <f t="shared" ref="W44:Y44" si="104">W31+W30</f>
        <v>2389830</v>
      </c>
      <c r="X44" s="373">
        <f t="shared" si="104"/>
        <v>983475</v>
      </c>
      <c r="Y44" s="373">
        <f t="shared" si="104"/>
        <v>2775642.33</v>
      </c>
      <c r="Z44" s="373">
        <f>SUM(W44:Y44)</f>
        <v>6148947.3300000001</v>
      </c>
      <c r="AA44" s="373">
        <f t="shared" ref="AA44:AC44" si="105">AA31+AA30</f>
        <v>2423228</v>
      </c>
      <c r="AB44" s="373">
        <f t="shared" si="105"/>
        <v>954599</v>
      </c>
      <c r="AC44" s="373">
        <f t="shared" si="105"/>
        <v>2915959.33</v>
      </c>
      <c r="AD44" s="373">
        <f>SUM(AA44:AC44)</f>
        <v>6293786.3300000001</v>
      </c>
      <c r="AE44" s="373">
        <f t="shared" ref="AE44:AG44" si="106">AE31+AE30</f>
        <v>2682506</v>
      </c>
      <c r="AF44" s="373">
        <f t="shared" si="106"/>
        <v>1029539</v>
      </c>
      <c r="AG44" s="373">
        <f t="shared" si="106"/>
        <v>3142666.6799999997</v>
      </c>
      <c r="AH44" s="373">
        <f>SUM(AE44:AG44)</f>
        <v>6854711.6799999997</v>
      </c>
    </row>
    <row r="45" spans="1:34" x14ac:dyDescent="0.25">
      <c r="J45" s="530"/>
    </row>
    <row r="46" spans="1:34" x14ac:dyDescent="0.25">
      <c r="J46" s="530"/>
      <c r="R46" s="530"/>
      <c r="V46" s="530">
        <f>+'2C Önk bev kiad fel'!Q5</f>
        <v>5605485.9773543309</v>
      </c>
      <c r="Z46" s="530">
        <f>+'2C Önk bev kiad fel'!U5</f>
        <v>0</v>
      </c>
      <c r="AD46" s="530">
        <f>+'2C Önk bev kiad fel'!Y5</f>
        <v>0</v>
      </c>
      <c r="AH46" s="530">
        <f>+'2C Önk bev kiad fel'!AC5</f>
        <v>0</v>
      </c>
    </row>
    <row r="47" spans="1:34" x14ac:dyDescent="0.25">
      <c r="J47" s="530"/>
      <c r="R47" s="530"/>
      <c r="V47" s="530">
        <f>+V44-V46</f>
        <v>-0.13303937017917633</v>
      </c>
      <c r="Z47" s="530">
        <f>+Z44-Z46</f>
        <v>6148947.3300000001</v>
      </c>
      <c r="AD47" s="530">
        <f>+AD44-AD46</f>
        <v>6293786.3300000001</v>
      </c>
      <c r="AH47" s="530">
        <f>+AH44-AH46</f>
        <v>6854711.6799999997</v>
      </c>
    </row>
    <row r="48" spans="1:34" x14ac:dyDescent="0.25">
      <c r="F48" s="530"/>
      <c r="J48" s="530"/>
      <c r="V48" s="530"/>
      <c r="Z48" s="530"/>
      <c r="AD48" s="530"/>
      <c r="AH48" s="530"/>
    </row>
    <row r="50" spans="17:26" x14ac:dyDescent="0.25">
      <c r="V50" s="530"/>
      <c r="Z50" s="530"/>
    </row>
    <row r="51" spans="17:26" x14ac:dyDescent="0.25">
      <c r="R51" s="530"/>
    </row>
    <row r="52" spans="17:26" x14ac:dyDescent="0.25">
      <c r="Q52" s="530"/>
    </row>
    <row r="56" spans="17:26" x14ac:dyDescent="0.25">
      <c r="R56" s="530"/>
    </row>
    <row r="58" spans="17:26" x14ac:dyDescent="0.25">
      <c r="R58" s="530"/>
    </row>
  </sheetData>
  <mergeCells count="10">
    <mergeCell ref="AE3:AH3"/>
    <mergeCell ref="AA3:AD3"/>
    <mergeCell ref="W3:Z3"/>
    <mergeCell ref="S3:V3"/>
    <mergeCell ref="K3:N3"/>
    <mergeCell ref="A3:A4"/>
    <mergeCell ref="B3:B4"/>
    <mergeCell ref="C3:F3"/>
    <mergeCell ref="G3:J3"/>
    <mergeCell ref="O3:R3"/>
  </mergeCells>
  <printOptions horizontalCentered="1"/>
  <pageMargins left="0.19685039370078741" right="0.19685039370078741" top="0.6692913385826772" bottom="0.6692913385826772" header="0.15748031496062992" footer="0.19685039370078741"/>
  <pageSetup paperSize="9" scale="43" fitToHeight="0" orientation="portrait" copies="4" r:id="rId1"/>
  <headerFooter>
    <oddHeader>&amp;L2/B.  melléklet a ...../2020. (.......) önkormányzati rendelethez&amp;C&amp;"-,Félkövér"&amp;16
Az Önkormányzat 2019. évi kiadásai jogcímenként és feladatonként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31"/>
  <sheetViews>
    <sheetView view="pageBreakPreview" topLeftCell="A120" zoomScaleNormal="100" zoomScaleSheetLayoutView="100" workbookViewId="0">
      <selection activeCell="V126" sqref="V126"/>
    </sheetView>
  </sheetViews>
  <sheetFormatPr defaultColWidth="9.140625" defaultRowHeight="15" x14ac:dyDescent="0.25"/>
  <cols>
    <col min="1" max="1" width="6.140625" style="420" customWidth="1"/>
    <col min="2" max="2" width="40.7109375" style="421" customWidth="1"/>
    <col min="3" max="4" width="10.85546875" style="424" hidden="1" customWidth="1"/>
    <col min="5" max="8" width="10.85546875" style="518" hidden="1" customWidth="1"/>
    <col min="9" max="14" width="10.85546875" style="425" hidden="1" customWidth="1"/>
    <col min="15" max="17" width="10.85546875" style="425" customWidth="1"/>
    <col min="18" max="20" width="10.85546875" style="425" hidden="1" customWidth="1"/>
    <col min="21" max="22" width="9.140625" style="425"/>
    <col min="23" max="23" width="13" style="425" customWidth="1"/>
    <col min="24" max="25" width="9.140625" style="425"/>
    <col min="26" max="26" width="13" style="425" customWidth="1"/>
    <col min="27" max="16384" width="9.140625" style="425"/>
  </cols>
  <sheetData>
    <row r="1" spans="1:26" x14ac:dyDescent="0.25">
      <c r="E1" s="504"/>
      <c r="F1" s="505"/>
      <c r="G1" s="505"/>
      <c r="K1" s="423"/>
      <c r="N1" s="423"/>
      <c r="Q1" s="423"/>
      <c r="T1" s="423"/>
      <c r="W1" s="423"/>
      <c r="Z1" s="423" t="s">
        <v>302</v>
      </c>
    </row>
    <row r="2" spans="1:26" ht="27.75" customHeight="1" x14ac:dyDescent="0.25">
      <c r="A2" s="1009" t="s">
        <v>552</v>
      </c>
      <c r="B2" s="1011" t="s">
        <v>306</v>
      </c>
      <c r="C2" s="1000" t="s">
        <v>1377</v>
      </c>
      <c r="D2" s="1000" t="s">
        <v>1319</v>
      </c>
      <c r="E2" s="1002" t="s">
        <v>1317</v>
      </c>
      <c r="F2" s="1000" t="s">
        <v>1377</v>
      </c>
      <c r="G2" s="1000" t="s">
        <v>1319</v>
      </c>
      <c r="H2" s="1002" t="s">
        <v>1317</v>
      </c>
      <c r="I2" s="1000" t="s">
        <v>1377</v>
      </c>
      <c r="J2" s="1000" t="s">
        <v>1319</v>
      </c>
      <c r="K2" s="1002" t="s">
        <v>1317</v>
      </c>
      <c r="L2" s="1000" t="s">
        <v>1377</v>
      </c>
      <c r="M2" s="1000" t="s">
        <v>1319</v>
      </c>
      <c r="N2" s="1002" t="s">
        <v>1317</v>
      </c>
      <c r="O2" s="1000" t="s">
        <v>1377</v>
      </c>
      <c r="P2" s="1000" t="s">
        <v>1319</v>
      </c>
      <c r="Q2" s="1002" t="s">
        <v>1317</v>
      </c>
      <c r="R2" s="1000" t="s">
        <v>1377</v>
      </c>
      <c r="S2" s="1000" t="s">
        <v>1319</v>
      </c>
      <c r="T2" s="1002" t="s">
        <v>1317</v>
      </c>
      <c r="U2" s="1000" t="s">
        <v>1377</v>
      </c>
      <c r="V2" s="1000" t="s">
        <v>1319</v>
      </c>
      <c r="W2" s="1002" t="s">
        <v>1317</v>
      </c>
      <c r="X2" s="1000" t="s">
        <v>1377</v>
      </c>
      <c r="Y2" s="1000" t="s">
        <v>1319</v>
      </c>
      <c r="Z2" s="1002" t="s">
        <v>1317</v>
      </c>
    </row>
    <row r="3" spans="1:26" s="44" customFormat="1" ht="27.75" customHeight="1" x14ac:dyDescent="0.25">
      <c r="A3" s="1009"/>
      <c r="B3" s="1011"/>
      <c r="C3" s="1001"/>
      <c r="D3" s="1001"/>
      <c r="E3" s="1003"/>
      <c r="F3" s="1001"/>
      <c r="G3" s="1001"/>
      <c r="H3" s="1003"/>
      <c r="I3" s="1001"/>
      <c r="J3" s="1001"/>
      <c r="K3" s="1003"/>
      <c r="L3" s="1001"/>
      <c r="M3" s="1001"/>
      <c r="N3" s="1003"/>
      <c r="O3" s="1001"/>
      <c r="P3" s="1001"/>
      <c r="Q3" s="1003"/>
      <c r="R3" s="1001"/>
      <c r="S3" s="1001"/>
      <c r="T3" s="1003"/>
      <c r="U3" s="1001"/>
      <c r="V3" s="1001"/>
      <c r="W3" s="1003"/>
      <c r="X3" s="1001"/>
      <c r="Y3" s="1001"/>
      <c r="Z3" s="1003"/>
    </row>
    <row r="4" spans="1:26" s="44" customFormat="1" ht="53.65" customHeight="1" x14ac:dyDescent="0.25">
      <c r="A4" s="1010"/>
      <c r="B4" s="1012"/>
      <c r="C4" s="1004" t="s">
        <v>1495</v>
      </c>
      <c r="D4" s="1007"/>
      <c r="E4" s="1008"/>
      <c r="F4" s="1004" t="s">
        <v>1517</v>
      </c>
      <c r="G4" s="1007"/>
      <c r="H4" s="1008"/>
      <c r="I4" s="1004" t="s">
        <v>1518</v>
      </c>
      <c r="J4" s="1007"/>
      <c r="K4" s="1008"/>
      <c r="L4" s="1004" t="s">
        <v>1496</v>
      </c>
      <c r="M4" s="1007"/>
      <c r="N4" s="1008"/>
      <c r="O4" s="1004" t="s">
        <v>1525</v>
      </c>
      <c r="P4" s="1007"/>
      <c r="Q4" s="1008"/>
      <c r="R4" s="1004" t="s">
        <v>1716</v>
      </c>
      <c r="S4" s="1005"/>
      <c r="T4" s="1006"/>
      <c r="U4" s="1004" t="s">
        <v>1726</v>
      </c>
      <c r="V4" s="1005"/>
      <c r="W4" s="1006"/>
      <c r="X4" s="1004" t="s">
        <v>1747</v>
      </c>
      <c r="Y4" s="1005"/>
      <c r="Z4" s="1006"/>
    </row>
    <row r="5" spans="1:26" s="44" customFormat="1" x14ac:dyDescent="0.25">
      <c r="A5" s="426" t="s">
        <v>311</v>
      </c>
      <c r="B5" s="427" t="s">
        <v>697</v>
      </c>
      <c r="C5" s="428"/>
      <c r="D5" s="428"/>
      <c r="E5" s="506">
        <v>6219965.4400000004</v>
      </c>
      <c r="F5" s="507"/>
      <c r="G5" s="507"/>
      <c r="H5" s="506">
        <v>7287941.5</v>
      </c>
      <c r="I5" s="507"/>
      <c r="J5" s="507"/>
      <c r="K5" s="506" t="e">
        <v>#REF!</v>
      </c>
      <c r="L5" s="507"/>
      <c r="M5" s="507"/>
      <c r="N5" s="506">
        <v>6029761</v>
      </c>
      <c r="O5" s="507"/>
      <c r="P5" s="507"/>
      <c r="Q5" s="506">
        <f>+Q6+Q72+Q202+Q203</f>
        <v>5605485.9773543309</v>
      </c>
      <c r="R5" s="507"/>
      <c r="S5" s="507"/>
      <c r="T5" s="506">
        <f>+T6+T72+T202+T203</f>
        <v>6148947.3300000001</v>
      </c>
      <c r="U5" s="507"/>
      <c r="V5" s="507"/>
      <c r="W5" s="506">
        <f>+W6+W72+W202+W203</f>
        <v>6293786.3300000001</v>
      </c>
      <c r="X5" s="507"/>
      <c r="Y5" s="507"/>
      <c r="Z5" s="506">
        <f>+Z6+Z72+Z202+Z203</f>
        <v>6854711.6799999997</v>
      </c>
    </row>
    <row r="6" spans="1:26" x14ac:dyDescent="0.25">
      <c r="A6" s="364" t="s">
        <v>309</v>
      </c>
      <c r="B6" s="429" t="s">
        <v>348</v>
      </c>
      <c r="C6" s="430">
        <v>12</v>
      </c>
      <c r="D6" s="430">
        <v>25</v>
      </c>
      <c r="E6" s="508">
        <v>2121883.7400000002</v>
      </c>
      <c r="F6" s="509">
        <v>12</v>
      </c>
      <c r="G6" s="509">
        <v>25</v>
      </c>
      <c r="H6" s="508">
        <v>2728051</v>
      </c>
      <c r="I6" s="509">
        <v>12</v>
      </c>
      <c r="J6" s="509">
        <v>25</v>
      </c>
      <c r="K6" s="508">
        <v>3050035.4</v>
      </c>
      <c r="L6" s="509">
        <v>12</v>
      </c>
      <c r="M6" s="509">
        <v>25</v>
      </c>
      <c r="N6" s="508">
        <v>2490987</v>
      </c>
      <c r="O6" s="509">
        <v>16</v>
      </c>
      <c r="P6" s="509">
        <v>10</v>
      </c>
      <c r="Q6" s="508">
        <f>+Q7+Q11+Q14+Q19+Q24+Q26+Q33+Q37+Q40+Q44+Q53+Q59+Q61+Q64+Q68</f>
        <v>1980261.868</v>
      </c>
      <c r="R6" s="509">
        <v>16</v>
      </c>
      <c r="S6" s="509">
        <v>10</v>
      </c>
      <c r="T6" s="508">
        <f>+T7+T11+T14+T19+T24+T26+T33+T37+T40+T44+T53+T59+T61+T64+T68</f>
        <v>2209185</v>
      </c>
      <c r="U6" s="509">
        <v>16</v>
      </c>
      <c r="V6" s="509">
        <v>10</v>
      </c>
      <c r="W6" s="508">
        <f>+W7+W11+W14+W19+W24+W26+W33+W37+W40+W44+W53+W59+W61+W64+W68</f>
        <v>2242583</v>
      </c>
      <c r="X6" s="509">
        <f>SUM(X7:X71)</f>
        <v>11</v>
      </c>
      <c r="Y6" s="509">
        <v>10</v>
      </c>
      <c r="Z6" s="508">
        <f>+Z7+Z11+Z14+Z19+Z24+Z26+Z33+Z37+Z40+Z44+Z53+Z59+Z61+Z64+Z68</f>
        <v>2501861</v>
      </c>
    </row>
    <row r="7" spans="1:26" s="670" customFormat="1" x14ac:dyDescent="0.25">
      <c r="A7" s="666" t="s">
        <v>311</v>
      </c>
      <c r="B7" s="667" t="s">
        <v>698</v>
      </c>
      <c r="C7" s="668"/>
      <c r="D7" s="668"/>
      <c r="E7" s="664">
        <v>3994</v>
      </c>
      <c r="F7" s="669"/>
      <c r="G7" s="669"/>
      <c r="H7" s="664">
        <v>11035</v>
      </c>
      <c r="I7" s="669"/>
      <c r="J7" s="669"/>
      <c r="K7" s="664">
        <v>11035</v>
      </c>
      <c r="L7" s="669"/>
      <c r="M7" s="669"/>
      <c r="N7" s="664">
        <v>6541</v>
      </c>
      <c r="O7" s="945"/>
      <c r="P7" s="945"/>
      <c r="Q7" s="946">
        <v>8510</v>
      </c>
      <c r="R7" s="669"/>
      <c r="S7" s="669"/>
      <c r="T7" s="664">
        <f>SUM(T8:T10)</f>
        <v>12023</v>
      </c>
      <c r="U7" s="669"/>
      <c r="V7" s="669"/>
      <c r="W7" s="664">
        <f>SUM(W8:W10)</f>
        <v>12023</v>
      </c>
      <c r="X7" s="945"/>
      <c r="Y7" s="945"/>
      <c r="Z7" s="946">
        <f>SUM(Z8:Z10)</f>
        <v>12023</v>
      </c>
    </row>
    <row r="8" spans="1:26" s="670" customFormat="1" x14ac:dyDescent="0.25">
      <c r="A8" s="671"/>
      <c r="B8" s="672" t="s">
        <v>292</v>
      </c>
      <c r="C8" s="673"/>
      <c r="D8" s="673"/>
      <c r="E8" s="575">
        <v>500</v>
      </c>
      <c r="F8" s="576"/>
      <c r="G8" s="576"/>
      <c r="H8" s="575">
        <v>5588</v>
      </c>
      <c r="I8" s="576"/>
      <c r="J8" s="576"/>
      <c r="K8" s="575">
        <v>5588</v>
      </c>
      <c r="L8" s="576"/>
      <c r="M8" s="576"/>
      <c r="N8" s="575">
        <v>5588</v>
      </c>
      <c r="O8" s="947"/>
      <c r="P8" s="947"/>
      <c r="Q8" s="948">
        <v>4000</v>
      </c>
      <c r="R8" s="576"/>
      <c r="S8" s="576"/>
      <c r="T8" s="575">
        <v>4000</v>
      </c>
      <c r="U8" s="576"/>
      <c r="V8" s="576"/>
      <c r="W8" s="575">
        <v>4000</v>
      </c>
      <c r="X8" s="947"/>
      <c r="Y8" s="947"/>
      <c r="Z8" s="948">
        <v>4000</v>
      </c>
    </row>
    <row r="9" spans="1:26" s="670" customFormat="1" x14ac:dyDescent="0.25">
      <c r="A9" s="671"/>
      <c r="B9" s="672" t="s">
        <v>351</v>
      </c>
      <c r="C9" s="673"/>
      <c r="D9" s="673"/>
      <c r="E9" s="575">
        <v>2794</v>
      </c>
      <c r="F9" s="576"/>
      <c r="G9" s="576"/>
      <c r="H9" s="575">
        <v>3175</v>
      </c>
      <c r="I9" s="576"/>
      <c r="J9" s="576"/>
      <c r="K9" s="575">
        <v>3175</v>
      </c>
      <c r="L9" s="576"/>
      <c r="M9" s="576"/>
      <c r="N9" s="575">
        <v>381</v>
      </c>
      <c r="O9" s="947"/>
      <c r="P9" s="947"/>
      <c r="Q9" s="948">
        <v>3810</v>
      </c>
      <c r="R9" s="576"/>
      <c r="S9" s="576"/>
      <c r="T9" s="575">
        <f>3810+2794</f>
        <v>6604</v>
      </c>
      <c r="U9" s="576"/>
      <c r="V9" s="576"/>
      <c r="W9" s="575">
        <f>3810+2794</f>
        <v>6604</v>
      </c>
      <c r="X9" s="947"/>
      <c r="Y9" s="947"/>
      <c r="Z9" s="948">
        <f>3810+2794</f>
        <v>6604</v>
      </c>
    </row>
    <row r="10" spans="1:26" s="670" customFormat="1" x14ac:dyDescent="0.25">
      <c r="A10" s="671"/>
      <c r="B10" s="672" t="s">
        <v>343</v>
      </c>
      <c r="C10" s="673"/>
      <c r="D10" s="673"/>
      <c r="E10" s="575">
        <v>700</v>
      </c>
      <c r="F10" s="576"/>
      <c r="G10" s="576"/>
      <c r="H10" s="575">
        <v>2272</v>
      </c>
      <c r="I10" s="576"/>
      <c r="J10" s="576"/>
      <c r="K10" s="575">
        <v>2272</v>
      </c>
      <c r="L10" s="576"/>
      <c r="M10" s="576"/>
      <c r="N10" s="575">
        <v>572</v>
      </c>
      <c r="O10" s="947"/>
      <c r="P10" s="947"/>
      <c r="Q10" s="948">
        <v>700</v>
      </c>
      <c r="R10" s="576"/>
      <c r="S10" s="576"/>
      <c r="T10" s="575">
        <f>700+719</f>
        <v>1419</v>
      </c>
      <c r="U10" s="576"/>
      <c r="V10" s="576"/>
      <c r="W10" s="575">
        <f>700+719</f>
        <v>1419</v>
      </c>
      <c r="X10" s="947"/>
      <c r="Y10" s="947"/>
      <c r="Z10" s="948">
        <f>700+719</f>
        <v>1419</v>
      </c>
    </row>
    <row r="11" spans="1:26" s="670" customFormat="1" x14ac:dyDescent="0.25">
      <c r="A11" s="666" t="s">
        <v>322</v>
      </c>
      <c r="B11" s="667" t="s">
        <v>699</v>
      </c>
      <c r="C11" s="668"/>
      <c r="D11" s="668"/>
      <c r="E11" s="664">
        <v>2770</v>
      </c>
      <c r="F11" s="669"/>
      <c r="G11" s="669"/>
      <c r="H11" s="664">
        <v>1270</v>
      </c>
      <c r="I11" s="669"/>
      <c r="J11" s="669"/>
      <c r="K11" s="664">
        <v>1270</v>
      </c>
      <c r="L11" s="669"/>
      <c r="M11" s="669"/>
      <c r="N11" s="664">
        <v>1270</v>
      </c>
      <c r="O11" s="945"/>
      <c r="P11" s="945"/>
      <c r="Q11" s="946">
        <v>21500</v>
      </c>
      <c r="R11" s="669"/>
      <c r="S11" s="669"/>
      <c r="T11" s="664">
        <v>21500</v>
      </c>
      <c r="U11" s="669"/>
      <c r="V11" s="669"/>
      <c r="W11" s="664">
        <v>21500</v>
      </c>
      <c r="X11" s="945"/>
      <c r="Y11" s="945"/>
      <c r="Z11" s="946">
        <f>SUM(Z12:Z13)</f>
        <v>18604</v>
      </c>
    </row>
    <row r="12" spans="1:26" s="670" customFormat="1" x14ac:dyDescent="0.25">
      <c r="A12" s="671"/>
      <c r="B12" s="672" t="s">
        <v>292</v>
      </c>
      <c r="C12" s="673"/>
      <c r="D12" s="673"/>
      <c r="E12" s="575">
        <v>1270</v>
      </c>
      <c r="F12" s="576"/>
      <c r="G12" s="576"/>
      <c r="H12" s="575">
        <v>1270</v>
      </c>
      <c r="I12" s="576"/>
      <c r="J12" s="576"/>
      <c r="K12" s="575">
        <v>1270</v>
      </c>
      <c r="L12" s="576"/>
      <c r="M12" s="576"/>
      <c r="N12" s="575">
        <v>1270</v>
      </c>
      <c r="O12" s="947"/>
      <c r="P12" s="947"/>
      <c r="Q12" s="948">
        <v>17000</v>
      </c>
      <c r="R12" s="576"/>
      <c r="S12" s="576"/>
      <c r="T12" s="575">
        <v>17000</v>
      </c>
      <c r="U12" s="576"/>
      <c r="V12" s="576"/>
      <c r="W12" s="575">
        <v>17000</v>
      </c>
      <c r="X12" s="947"/>
      <c r="Y12" s="947"/>
      <c r="Z12" s="948">
        <f>17000-419-151-122+208+100-2304</f>
        <v>14312</v>
      </c>
    </row>
    <row r="13" spans="1:26" s="670" customFormat="1" x14ac:dyDescent="0.25">
      <c r="A13" s="671"/>
      <c r="B13" s="672" t="s">
        <v>351</v>
      </c>
      <c r="C13" s="673"/>
      <c r="D13" s="673"/>
      <c r="E13" s="575">
        <v>1500</v>
      </c>
      <c r="F13" s="576"/>
      <c r="G13" s="576"/>
      <c r="H13" s="575">
        <v>0</v>
      </c>
      <c r="I13" s="576"/>
      <c r="J13" s="576"/>
      <c r="K13" s="575"/>
      <c r="L13" s="576"/>
      <c r="M13" s="576"/>
      <c r="N13" s="575">
        <v>0</v>
      </c>
      <c r="O13" s="947"/>
      <c r="P13" s="947"/>
      <c r="Q13" s="948">
        <v>4500</v>
      </c>
      <c r="R13" s="576"/>
      <c r="S13" s="576"/>
      <c r="T13" s="575">
        <v>4500</v>
      </c>
      <c r="U13" s="576"/>
      <c r="V13" s="576"/>
      <c r="W13" s="575">
        <v>4500</v>
      </c>
      <c r="X13" s="947"/>
      <c r="Y13" s="947"/>
      <c r="Z13" s="948">
        <f>4500-208</f>
        <v>4292</v>
      </c>
    </row>
    <row r="14" spans="1:26" s="670" customFormat="1" x14ac:dyDescent="0.25">
      <c r="A14" s="666" t="s">
        <v>315</v>
      </c>
      <c r="B14" s="667" t="s">
        <v>700</v>
      </c>
      <c r="C14" s="668"/>
      <c r="D14" s="668"/>
      <c r="E14" s="664">
        <v>17969</v>
      </c>
      <c r="F14" s="669"/>
      <c r="G14" s="669"/>
      <c r="H14" s="664">
        <v>20244</v>
      </c>
      <c r="I14" s="669"/>
      <c r="J14" s="669"/>
      <c r="K14" s="664">
        <v>20244</v>
      </c>
      <c r="L14" s="669"/>
      <c r="M14" s="669"/>
      <c r="N14" s="664">
        <v>18964</v>
      </c>
      <c r="O14" s="945"/>
      <c r="P14" s="945"/>
      <c r="Q14" s="946">
        <v>17524.868000000002</v>
      </c>
      <c r="R14" s="669"/>
      <c r="S14" s="669"/>
      <c r="T14" s="664">
        <f>SUM(T15:T18)</f>
        <v>17825</v>
      </c>
      <c r="U14" s="669"/>
      <c r="V14" s="669"/>
      <c r="W14" s="664">
        <f>SUM(W15:W18)</f>
        <v>22716</v>
      </c>
      <c r="X14" s="945"/>
      <c r="Y14" s="945"/>
      <c r="Z14" s="946">
        <f>SUM(Z15:Z18)</f>
        <v>22716</v>
      </c>
    </row>
    <row r="15" spans="1:26" s="670" customFormat="1" x14ac:dyDescent="0.25">
      <c r="A15" s="671"/>
      <c r="B15" s="672" t="s">
        <v>286</v>
      </c>
      <c r="C15" s="673"/>
      <c r="D15" s="673"/>
      <c r="E15" s="575">
        <v>0</v>
      </c>
      <c r="F15" s="576"/>
      <c r="G15" s="576"/>
      <c r="H15" s="575">
        <v>0</v>
      </c>
      <c r="I15" s="576"/>
      <c r="J15" s="576"/>
      <c r="K15" s="575">
        <v>0</v>
      </c>
      <c r="L15" s="576"/>
      <c r="M15" s="576"/>
      <c r="N15" s="575">
        <v>0</v>
      </c>
      <c r="O15" s="947"/>
      <c r="P15" s="947"/>
      <c r="Q15" s="948">
        <v>0</v>
      </c>
      <c r="R15" s="576"/>
      <c r="S15" s="576"/>
      <c r="T15" s="575">
        <v>0</v>
      </c>
      <c r="U15" s="576"/>
      <c r="V15" s="576"/>
      <c r="W15" s="575">
        <v>0</v>
      </c>
      <c r="X15" s="947"/>
      <c r="Y15" s="947"/>
      <c r="Z15" s="948">
        <v>0</v>
      </c>
    </row>
    <row r="16" spans="1:26" s="670" customFormat="1" x14ac:dyDescent="0.25">
      <c r="A16" s="671"/>
      <c r="B16" s="672" t="s">
        <v>287</v>
      </c>
      <c r="C16" s="673"/>
      <c r="D16" s="673"/>
      <c r="E16" s="575">
        <v>0</v>
      </c>
      <c r="F16" s="576"/>
      <c r="G16" s="576"/>
      <c r="H16" s="575">
        <v>0</v>
      </c>
      <c r="I16" s="576"/>
      <c r="J16" s="576"/>
      <c r="K16" s="575">
        <v>0</v>
      </c>
      <c r="L16" s="576"/>
      <c r="M16" s="576"/>
      <c r="N16" s="575">
        <v>0</v>
      </c>
      <c r="O16" s="947"/>
      <c r="P16" s="947"/>
      <c r="Q16" s="948">
        <v>0</v>
      </c>
      <c r="R16" s="576"/>
      <c r="S16" s="576"/>
      <c r="T16" s="575">
        <v>0</v>
      </c>
      <c r="U16" s="576"/>
      <c r="V16" s="576"/>
      <c r="W16" s="575">
        <v>0</v>
      </c>
      <c r="X16" s="947"/>
      <c r="Y16" s="947"/>
      <c r="Z16" s="948">
        <v>0</v>
      </c>
    </row>
    <row r="17" spans="1:26" s="670" customFormat="1" x14ac:dyDescent="0.25">
      <c r="A17" s="671"/>
      <c r="B17" s="672" t="s">
        <v>292</v>
      </c>
      <c r="C17" s="673"/>
      <c r="D17" s="673"/>
      <c r="E17" s="575">
        <v>17969</v>
      </c>
      <c r="F17" s="576"/>
      <c r="G17" s="576"/>
      <c r="H17" s="575">
        <v>20244</v>
      </c>
      <c r="I17" s="576"/>
      <c r="J17" s="576"/>
      <c r="K17" s="575">
        <v>20244</v>
      </c>
      <c r="L17" s="576"/>
      <c r="M17" s="576"/>
      <c r="N17" s="575">
        <v>18964</v>
      </c>
      <c r="O17" s="947"/>
      <c r="P17" s="947"/>
      <c r="Q17" s="948">
        <v>17525</v>
      </c>
      <c r="R17" s="576"/>
      <c r="S17" s="576"/>
      <c r="T17" s="575">
        <f>17525+300</f>
        <v>17825</v>
      </c>
      <c r="U17" s="576"/>
      <c r="V17" s="576"/>
      <c r="W17" s="575">
        <f>17525+300</f>
        <v>17825</v>
      </c>
      <c r="X17" s="947"/>
      <c r="Y17" s="947"/>
      <c r="Z17" s="948">
        <f>17525+300</f>
        <v>17825</v>
      </c>
    </row>
    <row r="18" spans="1:26" s="670" customFormat="1" x14ac:dyDescent="0.25">
      <c r="A18" s="671"/>
      <c r="B18" s="672" t="s">
        <v>351</v>
      </c>
      <c r="C18" s="673"/>
      <c r="D18" s="673"/>
      <c r="E18" s="575"/>
      <c r="F18" s="576"/>
      <c r="G18" s="576"/>
      <c r="H18" s="575"/>
      <c r="I18" s="576"/>
      <c r="J18" s="576"/>
      <c r="K18" s="575"/>
      <c r="L18" s="576"/>
      <c r="M18" s="576"/>
      <c r="N18" s="575"/>
      <c r="O18" s="947"/>
      <c r="P18" s="947"/>
      <c r="Q18" s="948">
        <v>0</v>
      </c>
      <c r="R18" s="576"/>
      <c r="S18" s="576"/>
      <c r="T18" s="575"/>
      <c r="U18" s="576"/>
      <c r="V18" s="576"/>
      <c r="W18" s="575">
        <f>0+4891</f>
        <v>4891</v>
      </c>
      <c r="X18" s="947"/>
      <c r="Y18" s="947"/>
      <c r="Z18" s="948">
        <f>0+4891</f>
        <v>4891</v>
      </c>
    </row>
    <row r="19" spans="1:26" s="670" customFormat="1" x14ac:dyDescent="0.25">
      <c r="A19" s="666" t="s">
        <v>336</v>
      </c>
      <c r="B19" s="667" t="s">
        <v>658</v>
      </c>
      <c r="C19" s="668">
        <v>7</v>
      </c>
      <c r="D19" s="668"/>
      <c r="E19" s="664">
        <v>43832</v>
      </c>
      <c r="F19" s="669">
        <v>7</v>
      </c>
      <c r="G19" s="669"/>
      <c r="H19" s="664">
        <v>43832</v>
      </c>
      <c r="I19" s="669">
        <v>7</v>
      </c>
      <c r="J19" s="669"/>
      <c r="K19" s="664">
        <v>43832</v>
      </c>
      <c r="L19" s="669">
        <v>7</v>
      </c>
      <c r="M19" s="669"/>
      <c r="N19" s="664">
        <v>1902</v>
      </c>
      <c r="O19" s="945">
        <v>7</v>
      </c>
      <c r="P19" s="945"/>
      <c r="Q19" s="946">
        <v>49738</v>
      </c>
      <c r="R19" s="669">
        <v>7</v>
      </c>
      <c r="S19" s="669"/>
      <c r="T19" s="664">
        <v>49738</v>
      </c>
      <c r="U19" s="669">
        <v>7</v>
      </c>
      <c r="V19" s="669"/>
      <c r="W19" s="664">
        <v>49738</v>
      </c>
      <c r="X19" s="945">
        <v>7</v>
      </c>
      <c r="Y19" s="945"/>
      <c r="Z19" s="946">
        <v>49738</v>
      </c>
    </row>
    <row r="20" spans="1:26" s="670" customFormat="1" x14ac:dyDescent="0.25">
      <c r="A20" s="671"/>
      <c r="B20" s="672" t="s">
        <v>286</v>
      </c>
      <c r="C20" s="673"/>
      <c r="D20" s="673"/>
      <c r="E20" s="575">
        <v>35014</v>
      </c>
      <c r="F20" s="576"/>
      <c r="G20" s="576"/>
      <c r="H20" s="575">
        <v>35014</v>
      </c>
      <c r="I20" s="576"/>
      <c r="J20" s="576"/>
      <c r="K20" s="575">
        <v>35014</v>
      </c>
      <c r="L20" s="576"/>
      <c r="M20" s="576"/>
      <c r="N20" s="575"/>
      <c r="O20" s="947"/>
      <c r="P20" s="947"/>
      <c r="Q20" s="948">
        <v>39514</v>
      </c>
      <c r="R20" s="576"/>
      <c r="S20" s="576"/>
      <c r="T20" s="575">
        <v>39514</v>
      </c>
      <c r="U20" s="576"/>
      <c r="V20" s="576"/>
      <c r="W20" s="575">
        <v>39514</v>
      </c>
      <c r="X20" s="947"/>
      <c r="Y20" s="947"/>
      <c r="Z20" s="948">
        <v>39514</v>
      </c>
    </row>
    <row r="21" spans="1:26" s="670" customFormat="1" x14ac:dyDescent="0.25">
      <c r="A21" s="671"/>
      <c r="B21" s="672" t="s">
        <v>287</v>
      </c>
      <c r="C21" s="673"/>
      <c r="D21" s="673"/>
      <c r="E21" s="575">
        <v>6697</v>
      </c>
      <c r="F21" s="576"/>
      <c r="G21" s="576"/>
      <c r="H21" s="575">
        <v>6697</v>
      </c>
      <c r="I21" s="576"/>
      <c r="J21" s="576"/>
      <c r="K21" s="575">
        <v>6697</v>
      </c>
      <c r="L21" s="576"/>
      <c r="M21" s="576"/>
      <c r="N21" s="575"/>
      <c r="O21" s="947"/>
      <c r="P21" s="947"/>
      <c r="Q21" s="948">
        <v>7508</v>
      </c>
      <c r="R21" s="576"/>
      <c r="S21" s="576"/>
      <c r="T21" s="575">
        <v>7508</v>
      </c>
      <c r="U21" s="576"/>
      <c r="V21" s="576"/>
      <c r="W21" s="575">
        <v>7508</v>
      </c>
      <c r="X21" s="947"/>
      <c r="Y21" s="947"/>
      <c r="Z21" s="948">
        <v>7508</v>
      </c>
    </row>
    <row r="22" spans="1:26" s="670" customFormat="1" x14ac:dyDescent="0.25">
      <c r="A22" s="671"/>
      <c r="B22" s="672" t="s">
        <v>292</v>
      </c>
      <c r="C22" s="673"/>
      <c r="D22" s="673"/>
      <c r="E22" s="575">
        <v>2121</v>
      </c>
      <c r="F22" s="576"/>
      <c r="G22" s="576"/>
      <c r="H22" s="575">
        <v>2108</v>
      </c>
      <c r="I22" s="576"/>
      <c r="J22" s="576"/>
      <c r="K22" s="575">
        <v>2121</v>
      </c>
      <c r="L22" s="576"/>
      <c r="M22" s="576"/>
      <c r="N22" s="575">
        <v>1774</v>
      </c>
      <c r="O22" s="947"/>
      <c r="P22" s="947"/>
      <c r="Q22" s="948">
        <v>2716</v>
      </c>
      <c r="R22" s="576"/>
      <c r="S22" s="576"/>
      <c r="T22" s="575">
        <v>2716</v>
      </c>
      <c r="U22" s="576"/>
      <c r="V22" s="576"/>
      <c r="W22" s="575">
        <v>2716</v>
      </c>
      <c r="X22" s="947"/>
      <c r="Y22" s="947"/>
      <c r="Z22" s="948">
        <v>2716</v>
      </c>
    </row>
    <row r="23" spans="1:26" s="670" customFormat="1" x14ac:dyDescent="0.25">
      <c r="A23" s="671"/>
      <c r="B23" s="672" t="s">
        <v>351</v>
      </c>
      <c r="C23" s="673"/>
      <c r="D23" s="673"/>
      <c r="E23" s="575">
        <v>0</v>
      </c>
      <c r="F23" s="576"/>
      <c r="G23" s="576"/>
      <c r="H23" s="575">
        <v>13</v>
      </c>
      <c r="I23" s="576"/>
      <c r="J23" s="576"/>
      <c r="K23" s="575">
        <v>0</v>
      </c>
      <c r="L23" s="576"/>
      <c r="M23" s="576"/>
      <c r="N23" s="575">
        <v>128</v>
      </c>
      <c r="O23" s="947"/>
      <c r="P23" s="947"/>
      <c r="Q23" s="948">
        <v>0</v>
      </c>
      <c r="R23" s="576"/>
      <c r="S23" s="576"/>
      <c r="T23" s="575">
        <v>0</v>
      </c>
      <c r="U23" s="576"/>
      <c r="V23" s="576"/>
      <c r="W23" s="575">
        <v>0</v>
      </c>
      <c r="X23" s="947"/>
      <c r="Y23" s="947"/>
      <c r="Z23" s="948">
        <v>0</v>
      </c>
    </row>
    <row r="24" spans="1:26" s="670" customFormat="1" x14ac:dyDescent="0.25">
      <c r="A24" s="666" t="s">
        <v>338</v>
      </c>
      <c r="B24" s="667" t="s">
        <v>1272</v>
      </c>
      <c r="C24" s="668"/>
      <c r="D24" s="668"/>
      <c r="E24" s="664">
        <v>1000</v>
      </c>
      <c r="F24" s="669"/>
      <c r="G24" s="669"/>
      <c r="H24" s="664">
        <v>1000</v>
      </c>
      <c r="I24" s="669"/>
      <c r="J24" s="669"/>
      <c r="K24" s="664">
        <v>1000</v>
      </c>
      <c r="L24" s="669"/>
      <c r="M24" s="669"/>
      <c r="N24" s="664">
        <v>0</v>
      </c>
      <c r="O24" s="945"/>
      <c r="P24" s="945"/>
      <c r="Q24" s="946">
        <v>1000</v>
      </c>
      <c r="R24" s="669"/>
      <c r="S24" s="669"/>
      <c r="T24" s="664">
        <v>1000</v>
      </c>
      <c r="U24" s="669"/>
      <c r="V24" s="669"/>
      <c r="W24" s="664">
        <v>1000</v>
      </c>
      <c r="X24" s="945"/>
      <c r="Y24" s="945"/>
      <c r="Z24" s="946">
        <v>1000</v>
      </c>
    </row>
    <row r="25" spans="1:26" s="670" customFormat="1" x14ac:dyDescent="0.25">
      <c r="A25" s="671"/>
      <c r="B25" s="674" t="s">
        <v>292</v>
      </c>
      <c r="C25" s="675"/>
      <c r="D25" s="675"/>
      <c r="E25" s="665">
        <v>1000</v>
      </c>
      <c r="F25" s="676"/>
      <c r="G25" s="676"/>
      <c r="H25" s="665">
        <v>1000</v>
      </c>
      <c r="I25" s="676"/>
      <c r="J25" s="676"/>
      <c r="K25" s="665">
        <v>1000</v>
      </c>
      <c r="L25" s="676"/>
      <c r="M25" s="676"/>
      <c r="N25" s="665">
        <v>0</v>
      </c>
      <c r="O25" s="949"/>
      <c r="P25" s="949"/>
      <c r="Q25" s="950">
        <v>1000</v>
      </c>
      <c r="R25" s="676"/>
      <c r="S25" s="676"/>
      <c r="T25" s="665">
        <v>1000</v>
      </c>
      <c r="U25" s="676"/>
      <c r="V25" s="676"/>
      <c r="W25" s="665">
        <v>1000</v>
      </c>
      <c r="X25" s="949"/>
      <c r="Y25" s="949"/>
      <c r="Z25" s="950">
        <v>1000</v>
      </c>
    </row>
    <row r="26" spans="1:26" s="670" customFormat="1" x14ac:dyDescent="0.25">
      <c r="A26" s="666" t="s">
        <v>560</v>
      </c>
      <c r="B26" s="677" t="s">
        <v>1304</v>
      </c>
      <c r="C26" s="678"/>
      <c r="D26" s="678"/>
      <c r="E26" s="679">
        <v>500</v>
      </c>
      <c r="F26" s="680"/>
      <c r="G26" s="680"/>
      <c r="H26" s="679">
        <v>500</v>
      </c>
      <c r="I26" s="680"/>
      <c r="J26" s="680"/>
      <c r="K26" s="679">
        <v>500</v>
      </c>
      <c r="L26" s="680"/>
      <c r="M26" s="680"/>
      <c r="N26" s="679">
        <v>0</v>
      </c>
      <c r="O26" s="951"/>
      <c r="P26" s="951"/>
      <c r="Q26" s="952">
        <v>500</v>
      </c>
      <c r="R26" s="680"/>
      <c r="S26" s="680"/>
      <c r="T26" s="679">
        <v>500</v>
      </c>
      <c r="U26" s="680"/>
      <c r="V26" s="680"/>
      <c r="W26" s="679">
        <v>500</v>
      </c>
      <c r="X26" s="951"/>
      <c r="Y26" s="951"/>
      <c r="Z26" s="952">
        <v>500</v>
      </c>
    </row>
    <row r="27" spans="1:26" s="670" customFormat="1" x14ac:dyDescent="0.25">
      <c r="A27" s="671"/>
      <c r="B27" s="674" t="s">
        <v>292</v>
      </c>
      <c r="C27" s="675"/>
      <c r="D27" s="675"/>
      <c r="E27" s="665">
        <v>500</v>
      </c>
      <c r="F27" s="676"/>
      <c r="G27" s="676"/>
      <c r="H27" s="665">
        <v>500</v>
      </c>
      <c r="I27" s="676"/>
      <c r="J27" s="676"/>
      <c r="K27" s="665">
        <v>500</v>
      </c>
      <c r="L27" s="676"/>
      <c r="M27" s="676"/>
      <c r="N27" s="665">
        <v>0</v>
      </c>
      <c r="O27" s="949"/>
      <c r="P27" s="949"/>
      <c r="Q27" s="950">
        <v>500</v>
      </c>
      <c r="R27" s="676"/>
      <c r="S27" s="676"/>
      <c r="T27" s="665">
        <v>500</v>
      </c>
      <c r="U27" s="676"/>
      <c r="V27" s="676"/>
      <c r="W27" s="665">
        <v>500</v>
      </c>
      <c r="X27" s="949"/>
      <c r="Y27" s="949"/>
      <c r="Z27" s="950">
        <v>500</v>
      </c>
    </row>
    <row r="28" spans="1:26" s="670" customFormat="1" hidden="1" x14ac:dyDescent="0.25">
      <c r="A28" s="666" t="s">
        <v>562</v>
      </c>
      <c r="B28" s="667" t="s">
        <v>701</v>
      </c>
      <c r="C28" s="668"/>
      <c r="D28" s="668"/>
      <c r="E28" s="664">
        <v>8793</v>
      </c>
      <c r="F28" s="669"/>
      <c r="G28" s="669"/>
      <c r="H28" s="664">
        <v>0</v>
      </c>
      <c r="I28" s="669"/>
      <c r="J28" s="669"/>
      <c r="K28" s="664">
        <v>0</v>
      </c>
      <c r="L28" s="669"/>
      <c r="M28" s="669"/>
      <c r="N28" s="664">
        <v>0</v>
      </c>
      <c r="O28" s="945"/>
      <c r="P28" s="945"/>
      <c r="Q28" s="946">
        <v>0</v>
      </c>
      <c r="R28" s="669"/>
      <c r="S28" s="669"/>
      <c r="T28" s="664">
        <v>0</v>
      </c>
      <c r="U28" s="669"/>
      <c r="V28" s="669"/>
      <c r="W28" s="664">
        <v>0</v>
      </c>
      <c r="X28" s="945"/>
      <c r="Y28" s="945"/>
      <c r="Z28" s="946">
        <v>0</v>
      </c>
    </row>
    <row r="29" spans="1:26" s="670" customFormat="1" hidden="1" x14ac:dyDescent="0.25">
      <c r="A29" s="666"/>
      <c r="B29" s="672" t="s">
        <v>286</v>
      </c>
      <c r="C29" s="668"/>
      <c r="D29" s="668"/>
      <c r="E29" s="575">
        <v>3600</v>
      </c>
      <c r="F29" s="669"/>
      <c r="G29" s="669"/>
      <c r="H29" s="664"/>
      <c r="I29" s="669"/>
      <c r="J29" s="669"/>
      <c r="K29" s="664"/>
      <c r="L29" s="669"/>
      <c r="M29" s="669"/>
      <c r="N29" s="665">
        <v>0</v>
      </c>
      <c r="O29" s="945"/>
      <c r="P29" s="945"/>
      <c r="Q29" s="948"/>
      <c r="R29" s="669"/>
      <c r="S29" s="669"/>
      <c r="T29" s="575"/>
      <c r="U29" s="669"/>
      <c r="V29" s="669"/>
      <c r="W29" s="575"/>
      <c r="X29" s="945"/>
      <c r="Y29" s="945"/>
      <c r="Z29" s="948"/>
    </row>
    <row r="30" spans="1:26" s="670" customFormat="1" hidden="1" x14ac:dyDescent="0.25">
      <c r="A30" s="666"/>
      <c r="B30" s="672" t="s">
        <v>287</v>
      </c>
      <c r="C30" s="668"/>
      <c r="D30" s="668"/>
      <c r="E30" s="575">
        <v>1256</v>
      </c>
      <c r="F30" s="669"/>
      <c r="G30" s="669"/>
      <c r="H30" s="664"/>
      <c r="I30" s="669"/>
      <c r="J30" s="669"/>
      <c r="K30" s="664"/>
      <c r="L30" s="669"/>
      <c r="M30" s="669"/>
      <c r="N30" s="665">
        <v>0</v>
      </c>
      <c r="O30" s="945"/>
      <c r="P30" s="945"/>
      <c r="Q30" s="948"/>
      <c r="R30" s="669"/>
      <c r="S30" s="669"/>
      <c r="T30" s="575"/>
      <c r="U30" s="669"/>
      <c r="V30" s="669"/>
      <c r="W30" s="575"/>
      <c r="X30" s="945"/>
      <c r="Y30" s="945"/>
      <c r="Z30" s="948"/>
    </row>
    <row r="31" spans="1:26" s="670" customFormat="1" hidden="1" x14ac:dyDescent="0.25">
      <c r="A31" s="671"/>
      <c r="B31" s="674" t="s">
        <v>292</v>
      </c>
      <c r="C31" s="675"/>
      <c r="D31" s="675"/>
      <c r="E31" s="665">
        <v>3937</v>
      </c>
      <c r="F31" s="676"/>
      <c r="G31" s="676"/>
      <c r="H31" s="665">
        <v>0</v>
      </c>
      <c r="I31" s="676"/>
      <c r="J31" s="676"/>
      <c r="K31" s="665">
        <v>0</v>
      </c>
      <c r="L31" s="676"/>
      <c r="M31" s="676"/>
      <c r="N31" s="665">
        <v>0</v>
      </c>
      <c r="O31" s="949"/>
      <c r="P31" s="949"/>
      <c r="Q31" s="950"/>
      <c r="R31" s="676"/>
      <c r="S31" s="676"/>
      <c r="T31" s="665"/>
      <c r="U31" s="676"/>
      <c r="V31" s="676"/>
      <c r="W31" s="665"/>
      <c r="X31" s="949"/>
      <c r="Y31" s="949"/>
      <c r="Z31" s="950"/>
    </row>
    <row r="32" spans="1:26" s="670" customFormat="1" hidden="1" x14ac:dyDescent="0.25">
      <c r="A32" s="671"/>
      <c r="B32" s="674" t="s">
        <v>351</v>
      </c>
      <c r="C32" s="675"/>
      <c r="D32" s="675"/>
      <c r="E32" s="665"/>
      <c r="F32" s="676"/>
      <c r="G32" s="676"/>
      <c r="H32" s="665">
        <v>0</v>
      </c>
      <c r="I32" s="676"/>
      <c r="J32" s="676"/>
      <c r="K32" s="665">
        <v>0</v>
      </c>
      <c r="L32" s="676"/>
      <c r="M32" s="676"/>
      <c r="N32" s="665">
        <v>0</v>
      </c>
      <c r="O32" s="949"/>
      <c r="P32" s="949"/>
      <c r="Q32" s="950"/>
      <c r="R32" s="676"/>
      <c r="S32" s="676"/>
      <c r="T32" s="665"/>
      <c r="U32" s="676"/>
      <c r="V32" s="676"/>
      <c r="W32" s="665"/>
      <c r="X32" s="949"/>
      <c r="Y32" s="949"/>
      <c r="Z32" s="950"/>
    </row>
    <row r="33" spans="1:26" s="670" customFormat="1" x14ac:dyDescent="0.25">
      <c r="A33" s="666" t="s">
        <v>562</v>
      </c>
      <c r="B33" s="667" t="s">
        <v>702</v>
      </c>
      <c r="C33" s="668"/>
      <c r="D33" s="668"/>
      <c r="E33" s="664">
        <v>53937</v>
      </c>
      <c r="F33" s="669"/>
      <c r="G33" s="669"/>
      <c r="H33" s="664">
        <v>55387</v>
      </c>
      <c r="I33" s="669"/>
      <c r="J33" s="669"/>
      <c r="K33" s="664">
        <v>55387</v>
      </c>
      <c r="L33" s="669"/>
      <c r="M33" s="669"/>
      <c r="N33" s="664">
        <v>55390</v>
      </c>
      <c r="O33" s="945"/>
      <c r="P33" s="945"/>
      <c r="Q33" s="946">
        <v>80400</v>
      </c>
      <c r="R33" s="669"/>
      <c r="S33" s="669"/>
      <c r="T33" s="664">
        <v>80400</v>
      </c>
      <c r="U33" s="669"/>
      <c r="V33" s="669"/>
      <c r="W33" s="664">
        <f>SUM(W34:W35)</f>
        <v>92361</v>
      </c>
      <c r="X33" s="945"/>
      <c r="Y33" s="945"/>
      <c r="Z33" s="946">
        <f>Z34+Z35+Z36</f>
        <v>91069</v>
      </c>
    </row>
    <row r="34" spans="1:26" s="670" customFormat="1" x14ac:dyDescent="0.25">
      <c r="A34" s="671"/>
      <c r="B34" s="672" t="s">
        <v>292</v>
      </c>
      <c r="C34" s="673"/>
      <c r="D34" s="673"/>
      <c r="E34" s="575">
        <v>53937</v>
      </c>
      <c r="F34" s="576"/>
      <c r="G34" s="576"/>
      <c r="H34" s="575">
        <v>23887</v>
      </c>
      <c r="I34" s="576"/>
      <c r="J34" s="576"/>
      <c r="K34" s="575">
        <v>23887</v>
      </c>
      <c r="L34" s="576"/>
      <c r="M34" s="576"/>
      <c r="N34" s="575">
        <v>16623</v>
      </c>
      <c r="O34" s="947"/>
      <c r="P34" s="947"/>
      <c r="Q34" s="948">
        <v>3400</v>
      </c>
      <c r="R34" s="576"/>
      <c r="S34" s="576"/>
      <c r="T34" s="575">
        <v>3400</v>
      </c>
      <c r="U34" s="576"/>
      <c r="V34" s="576"/>
      <c r="W34" s="575">
        <f>3400+5000+1524+5627</f>
        <v>15551</v>
      </c>
      <c r="X34" s="947"/>
      <c r="Y34" s="947"/>
      <c r="Z34" s="948">
        <f>3400+5000+1524+5627+8500+184+5505</f>
        <v>29740</v>
      </c>
    </row>
    <row r="35" spans="1:26" s="670" customFormat="1" x14ac:dyDescent="0.25">
      <c r="A35" s="671"/>
      <c r="B35" s="674" t="s">
        <v>351</v>
      </c>
      <c r="C35" s="673"/>
      <c r="D35" s="673"/>
      <c r="E35" s="575"/>
      <c r="F35" s="576"/>
      <c r="G35" s="576"/>
      <c r="H35" s="575">
        <v>31500</v>
      </c>
      <c r="I35" s="576"/>
      <c r="J35" s="576"/>
      <c r="K35" s="575">
        <v>31500</v>
      </c>
      <c r="L35" s="576"/>
      <c r="M35" s="576"/>
      <c r="N35" s="575">
        <v>38767</v>
      </c>
      <c r="O35" s="947"/>
      <c r="P35" s="947"/>
      <c r="Q35" s="948">
        <v>77000</v>
      </c>
      <c r="R35" s="576"/>
      <c r="S35" s="576"/>
      <c r="T35" s="575">
        <v>77000</v>
      </c>
      <c r="U35" s="576"/>
      <c r="V35" s="576"/>
      <c r="W35" s="575">
        <f>77000+5737-5000+4700-5627</f>
        <v>76810</v>
      </c>
      <c r="X35" s="947"/>
      <c r="Y35" s="947"/>
      <c r="Z35" s="948">
        <f>76810+138+130-150-8500-200+429-184-435-1204-8505</f>
        <v>58329</v>
      </c>
    </row>
    <row r="36" spans="1:26" s="670" customFormat="1" ht="30" x14ac:dyDescent="0.25">
      <c r="A36" s="671"/>
      <c r="B36" s="674" t="s">
        <v>1750</v>
      </c>
      <c r="C36" s="673"/>
      <c r="D36" s="673"/>
      <c r="E36" s="575"/>
      <c r="F36" s="576"/>
      <c r="G36" s="576"/>
      <c r="H36" s="575"/>
      <c r="I36" s="576"/>
      <c r="J36" s="576"/>
      <c r="K36" s="575"/>
      <c r="L36" s="576"/>
      <c r="M36" s="576"/>
      <c r="N36" s="575"/>
      <c r="O36" s="947"/>
      <c r="P36" s="947"/>
      <c r="Q36" s="948"/>
      <c r="R36" s="576"/>
      <c r="S36" s="576"/>
      <c r="T36" s="575"/>
      <c r="U36" s="576"/>
      <c r="V36" s="576"/>
      <c r="W36" s="575"/>
      <c r="X36" s="947"/>
      <c r="Y36" s="947"/>
      <c r="Z36" s="948">
        <v>3000</v>
      </c>
    </row>
    <row r="37" spans="1:26" s="670" customFormat="1" x14ac:dyDescent="0.25">
      <c r="A37" s="666" t="s">
        <v>564</v>
      </c>
      <c r="B37" s="667" t="s">
        <v>703</v>
      </c>
      <c r="C37" s="668"/>
      <c r="D37" s="668"/>
      <c r="E37" s="664">
        <v>1000</v>
      </c>
      <c r="F37" s="669"/>
      <c r="G37" s="669"/>
      <c r="H37" s="664">
        <v>1000</v>
      </c>
      <c r="I37" s="669"/>
      <c r="J37" s="669"/>
      <c r="K37" s="664">
        <v>1000</v>
      </c>
      <c r="L37" s="669"/>
      <c r="M37" s="669"/>
      <c r="N37" s="664">
        <v>450</v>
      </c>
      <c r="O37" s="945"/>
      <c r="P37" s="945"/>
      <c r="Q37" s="946">
        <v>5513</v>
      </c>
      <c r="R37" s="669"/>
      <c r="S37" s="669"/>
      <c r="T37" s="664">
        <f>SUM(T38:T39)</f>
        <v>8545</v>
      </c>
      <c r="U37" s="669"/>
      <c r="V37" s="669"/>
      <c r="W37" s="664">
        <f>SUM(W38:W39)</f>
        <v>8545</v>
      </c>
      <c r="X37" s="945"/>
      <c r="Y37" s="945"/>
      <c r="Z37" s="946">
        <f>SUM(Z38:Z39)</f>
        <v>11545</v>
      </c>
    </row>
    <row r="38" spans="1:26" s="670" customFormat="1" x14ac:dyDescent="0.25">
      <c r="A38" s="671"/>
      <c r="B38" s="672" t="s">
        <v>292</v>
      </c>
      <c r="C38" s="673"/>
      <c r="D38" s="673"/>
      <c r="E38" s="575">
        <v>1000</v>
      </c>
      <c r="F38" s="576"/>
      <c r="G38" s="576"/>
      <c r="H38" s="575">
        <v>1000</v>
      </c>
      <c r="I38" s="576"/>
      <c r="J38" s="576"/>
      <c r="K38" s="575">
        <v>1000</v>
      </c>
      <c r="L38" s="576"/>
      <c r="M38" s="576"/>
      <c r="N38" s="575">
        <v>450</v>
      </c>
      <c r="O38" s="947"/>
      <c r="P38" s="947"/>
      <c r="Q38" s="948">
        <v>5512.606299212599</v>
      </c>
      <c r="R38" s="576"/>
      <c r="S38" s="576"/>
      <c r="T38" s="575">
        <f>5513+1000+2032</f>
        <v>8545</v>
      </c>
      <c r="U38" s="576"/>
      <c r="V38" s="576"/>
      <c r="W38" s="575">
        <f>5513+1000+2032</f>
        <v>8545</v>
      </c>
      <c r="X38" s="947"/>
      <c r="Y38" s="947"/>
      <c r="Z38" s="948">
        <f>8545+3000</f>
        <v>11545</v>
      </c>
    </row>
    <row r="39" spans="1:26" s="670" customFormat="1" x14ac:dyDescent="0.25">
      <c r="A39" s="671"/>
      <c r="B39" s="672" t="s">
        <v>351</v>
      </c>
      <c r="C39" s="673"/>
      <c r="D39" s="673"/>
      <c r="E39" s="575">
        <v>0</v>
      </c>
      <c r="F39" s="576"/>
      <c r="G39" s="576"/>
      <c r="H39" s="575">
        <v>0</v>
      </c>
      <c r="I39" s="576"/>
      <c r="J39" s="576"/>
      <c r="K39" s="575">
        <v>0</v>
      </c>
      <c r="L39" s="576"/>
      <c r="M39" s="576"/>
      <c r="N39" s="575">
        <v>0</v>
      </c>
      <c r="O39" s="947"/>
      <c r="P39" s="947"/>
      <c r="Q39" s="948">
        <v>0</v>
      </c>
      <c r="R39" s="576"/>
      <c r="S39" s="576"/>
      <c r="T39" s="575">
        <f>0</f>
        <v>0</v>
      </c>
      <c r="U39" s="576"/>
      <c r="V39" s="576"/>
      <c r="W39" s="575">
        <f>0</f>
        <v>0</v>
      </c>
      <c r="X39" s="947"/>
      <c r="Y39" s="947"/>
      <c r="Z39" s="948">
        <f>0</f>
        <v>0</v>
      </c>
    </row>
    <row r="40" spans="1:26" s="670" customFormat="1" x14ac:dyDescent="0.25">
      <c r="A40" s="666" t="s">
        <v>565</v>
      </c>
      <c r="B40" s="667" t="s">
        <v>704</v>
      </c>
      <c r="C40" s="668"/>
      <c r="D40" s="668"/>
      <c r="E40" s="664">
        <v>5347</v>
      </c>
      <c r="F40" s="669"/>
      <c r="G40" s="669"/>
      <c r="H40" s="664">
        <v>5347</v>
      </c>
      <c r="I40" s="669"/>
      <c r="J40" s="669"/>
      <c r="K40" s="664">
        <v>5347</v>
      </c>
      <c r="L40" s="669"/>
      <c r="M40" s="669"/>
      <c r="N40" s="664">
        <v>6707</v>
      </c>
      <c r="O40" s="945"/>
      <c r="P40" s="945"/>
      <c r="Q40" s="946">
        <v>4331</v>
      </c>
      <c r="R40" s="669"/>
      <c r="S40" s="669"/>
      <c r="T40" s="664">
        <v>4331</v>
      </c>
      <c r="U40" s="669"/>
      <c r="V40" s="669"/>
      <c r="W40" s="664">
        <v>4331</v>
      </c>
      <c r="X40" s="945"/>
      <c r="Y40" s="945"/>
      <c r="Z40" s="946">
        <f>Z41</f>
        <v>3331</v>
      </c>
    </row>
    <row r="41" spans="1:26" s="670" customFormat="1" x14ac:dyDescent="0.25">
      <c r="A41" s="671"/>
      <c r="B41" s="672" t="s">
        <v>292</v>
      </c>
      <c r="C41" s="673"/>
      <c r="D41" s="673"/>
      <c r="E41" s="575">
        <v>5347</v>
      </c>
      <c r="F41" s="576"/>
      <c r="G41" s="576"/>
      <c r="H41" s="575">
        <v>4347</v>
      </c>
      <c r="I41" s="576"/>
      <c r="J41" s="576"/>
      <c r="K41" s="575">
        <v>4347</v>
      </c>
      <c r="L41" s="576"/>
      <c r="M41" s="576"/>
      <c r="N41" s="575">
        <v>5580</v>
      </c>
      <c r="O41" s="947"/>
      <c r="P41" s="947"/>
      <c r="Q41" s="948">
        <v>4330.7086614173231</v>
      </c>
      <c r="R41" s="576"/>
      <c r="S41" s="576"/>
      <c r="T41" s="575">
        <v>4331</v>
      </c>
      <c r="U41" s="576"/>
      <c r="V41" s="576"/>
      <c r="W41" s="575">
        <v>4331</v>
      </c>
      <c r="X41" s="947"/>
      <c r="Y41" s="947"/>
      <c r="Z41" s="948">
        <f>4331-1000</f>
        <v>3331</v>
      </c>
    </row>
    <row r="42" spans="1:26" s="670" customFormat="1" x14ac:dyDescent="0.25">
      <c r="A42" s="671"/>
      <c r="B42" s="418" t="s">
        <v>1283</v>
      </c>
      <c r="C42" s="673"/>
      <c r="D42" s="673"/>
      <c r="E42" s="575"/>
      <c r="F42" s="576"/>
      <c r="G42" s="576"/>
      <c r="H42" s="575">
        <v>1000</v>
      </c>
      <c r="I42" s="576"/>
      <c r="J42" s="576"/>
      <c r="K42" s="575">
        <v>1000</v>
      </c>
      <c r="L42" s="576"/>
      <c r="M42" s="576"/>
      <c r="N42" s="575">
        <v>1000</v>
      </c>
      <c r="O42" s="947"/>
      <c r="P42" s="947"/>
      <c r="Q42" s="948">
        <v>0</v>
      </c>
      <c r="R42" s="576"/>
      <c r="S42" s="576"/>
      <c r="T42" s="575">
        <v>0</v>
      </c>
      <c r="U42" s="576"/>
      <c r="V42" s="576"/>
      <c r="W42" s="575">
        <v>0</v>
      </c>
      <c r="X42" s="947"/>
      <c r="Y42" s="947"/>
      <c r="Z42" s="948">
        <v>0</v>
      </c>
    </row>
    <row r="43" spans="1:26" s="670" customFormat="1" x14ac:dyDescent="0.25">
      <c r="A43" s="671"/>
      <c r="B43" s="672" t="s">
        <v>351</v>
      </c>
      <c r="C43" s="673"/>
      <c r="D43" s="673"/>
      <c r="E43" s="575">
        <v>0</v>
      </c>
      <c r="F43" s="576"/>
      <c r="G43" s="576"/>
      <c r="H43" s="575">
        <v>0</v>
      </c>
      <c r="I43" s="576"/>
      <c r="J43" s="576"/>
      <c r="K43" s="575">
        <v>0</v>
      </c>
      <c r="L43" s="576"/>
      <c r="M43" s="576"/>
      <c r="N43" s="575">
        <v>127</v>
      </c>
      <c r="O43" s="947"/>
      <c r="P43" s="947"/>
      <c r="Q43" s="948">
        <v>0</v>
      </c>
      <c r="R43" s="576"/>
      <c r="S43" s="576"/>
      <c r="T43" s="575">
        <v>0</v>
      </c>
      <c r="U43" s="576"/>
      <c r="V43" s="576"/>
      <c r="W43" s="575">
        <v>0</v>
      </c>
      <c r="X43" s="947"/>
      <c r="Y43" s="947"/>
      <c r="Z43" s="948">
        <v>0</v>
      </c>
    </row>
    <row r="44" spans="1:26" s="670" customFormat="1" x14ac:dyDescent="0.25">
      <c r="A44" s="666" t="s">
        <v>567</v>
      </c>
      <c r="B44" s="667" t="s">
        <v>705</v>
      </c>
      <c r="C44" s="668">
        <v>5</v>
      </c>
      <c r="D44" s="668"/>
      <c r="E44" s="664">
        <v>1927195.74</v>
      </c>
      <c r="F44" s="669">
        <v>5</v>
      </c>
      <c r="G44" s="669"/>
      <c r="H44" s="664">
        <v>2485268</v>
      </c>
      <c r="I44" s="669">
        <v>5</v>
      </c>
      <c r="J44" s="669"/>
      <c r="K44" s="664">
        <v>2807252.4</v>
      </c>
      <c r="L44" s="669">
        <v>5</v>
      </c>
      <c r="M44" s="669"/>
      <c r="N44" s="664">
        <v>2294776</v>
      </c>
      <c r="O44" s="945">
        <v>9</v>
      </c>
      <c r="P44" s="945"/>
      <c r="Q44" s="946">
        <f>SUM(Q45:Q51)</f>
        <v>841247</v>
      </c>
      <c r="R44" s="669">
        <v>9</v>
      </c>
      <c r="S44" s="669"/>
      <c r="T44" s="664">
        <f>SUM(T45:T51)</f>
        <v>869740</v>
      </c>
      <c r="U44" s="669">
        <v>9</v>
      </c>
      <c r="V44" s="669"/>
      <c r="W44" s="664">
        <f>SUM(W45:W52)</f>
        <v>791587</v>
      </c>
      <c r="X44" s="945">
        <f>9-5</f>
        <v>4</v>
      </c>
      <c r="Y44" s="945"/>
      <c r="Z44" s="946">
        <f>SUM(Z45:Z52)</f>
        <v>956279</v>
      </c>
    </row>
    <row r="45" spans="1:26" s="670" customFormat="1" x14ac:dyDescent="0.25">
      <c r="A45" s="671"/>
      <c r="B45" s="672" t="s">
        <v>286</v>
      </c>
      <c r="C45" s="673"/>
      <c r="D45" s="673"/>
      <c r="E45" s="575">
        <v>129530</v>
      </c>
      <c r="F45" s="576"/>
      <c r="G45" s="576"/>
      <c r="H45" s="575">
        <v>129959</v>
      </c>
      <c r="I45" s="576"/>
      <c r="J45" s="576"/>
      <c r="K45" s="575">
        <v>129959</v>
      </c>
      <c r="L45" s="576"/>
      <c r="M45" s="576"/>
      <c r="N45" s="575"/>
      <c r="O45" s="947"/>
      <c r="P45" s="947"/>
      <c r="Q45" s="948">
        <v>133188</v>
      </c>
      <c r="R45" s="576"/>
      <c r="S45" s="576"/>
      <c r="T45" s="575">
        <v>133188</v>
      </c>
      <c r="U45" s="576"/>
      <c r="V45" s="576"/>
      <c r="W45" s="575">
        <v>133188</v>
      </c>
      <c r="X45" s="947"/>
      <c r="Y45" s="947"/>
      <c r="Z45" s="948">
        <f>133188-5414-2221-114-1</f>
        <v>125438</v>
      </c>
    </row>
    <row r="46" spans="1:26" s="670" customFormat="1" x14ac:dyDescent="0.25">
      <c r="A46" s="671"/>
      <c r="B46" s="672" t="s">
        <v>287</v>
      </c>
      <c r="C46" s="673"/>
      <c r="D46" s="673"/>
      <c r="E46" s="575">
        <v>25337</v>
      </c>
      <c r="F46" s="576"/>
      <c r="G46" s="576"/>
      <c r="H46" s="575">
        <v>25421</v>
      </c>
      <c r="I46" s="576"/>
      <c r="J46" s="576"/>
      <c r="K46" s="575">
        <v>25421</v>
      </c>
      <c r="L46" s="576"/>
      <c r="M46" s="576"/>
      <c r="N46" s="575"/>
      <c r="O46" s="947"/>
      <c r="P46" s="947"/>
      <c r="Q46" s="948">
        <v>25306</v>
      </c>
      <c r="R46" s="576"/>
      <c r="S46" s="576"/>
      <c r="T46" s="575">
        <v>25306</v>
      </c>
      <c r="U46" s="576"/>
      <c r="V46" s="576"/>
      <c r="W46" s="575">
        <v>25306</v>
      </c>
      <c r="X46" s="947"/>
      <c r="Y46" s="947"/>
      <c r="Z46" s="948">
        <f>25306+2221+114</f>
        <v>27641</v>
      </c>
    </row>
    <row r="47" spans="1:26" s="670" customFormat="1" x14ac:dyDescent="0.25">
      <c r="A47" s="671"/>
      <c r="B47" s="672" t="s">
        <v>292</v>
      </c>
      <c r="C47" s="673"/>
      <c r="D47" s="673"/>
      <c r="E47" s="575">
        <v>209607</v>
      </c>
      <c r="F47" s="576"/>
      <c r="G47" s="576"/>
      <c r="H47" s="575">
        <v>774462</v>
      </c>
      <c r="I47" s="576"/>
      <c r="J47" s="576"/>
      <c r="K47" s="575">
        <v>774462</v>
      </c>
      <c r="L47" s="576"/>
      <c r="M47" s="576"/>
      <c r="N47" s="575">
        <v>606561</v>
      </c>
      <c r="O47" s="947"/>
      <c r="P47" s="947"/>
      <c r="Q47" s="948">
        <f>167428-5+4825</f>
        <v>172248</v>
      </c>
      <c r="R47" s="869"/>
      <c r="S47" s="869"/>
      <c r="T47" s="868">
        <f>172248-5000+440+167+68376+667</f>
        <v>236898</v>
      </c>
      <c r="U47" s="869"/>
      <c r="V47" s="869"/>
      <c r="W47" s="868">
        <f>236898+483+6679-40-4407-1524-1</f>
        <v>238088</v>
      </c>
      <c r="X47" s="947"/>
      <c r="Y47" s="947"/>
      <c r="Z47" s="948">
        <f>238088+1219+60+11000-1925+44344+3500-1+144600+1</f>
        <v>440886</v>
      </c>
    </row>
    <row r="48" spans="1:26" s="670" customFormat="1" x14ac:dyDescent="0.25">
      <c r="A48" s="671"/>
      <c r="B48" s="672" t="s">
        <v>339</v>
      </c>
      <c r="C48" s="673"/>
      <c r="D48" s="673"/>
      <c r="E48" s="575">
        <v>516362</v>
      </c>
      <c r="F48" s="576"/>
      <c r="G48" s="576"/>
      <c r="H48" s="575">
        <v>317410</v>
      </c>
      <c r="I48" s="576"/>
      <c r="J48" s="576"/>
      <c r="K48" s="575">
        <v>404781</v>
      </c>
      <c r="L48" s="576"/>
      <c r="M48" s="576"/>
      <c r="N48" s="575">
        <v>260153</v>
      </c>
      <c r="O48" s="947"/>
      <c r="P48" s="947"/>
      <c r="Q48" s="948">
        <v>338664</v>
      </c>
      <c r="R48" s="869"/>
      <c r="S48" s="869"/>
      <c r="T48" s="868">
        <v>338664</v>
      </c>
      <c r="U48" s="869"/>
      <c r="V48" s="869"/>
      <c r="W48" s="868">
        <v>338664</v>
      </c>
      <c r="X48" s="947"/>
      <c r="Y48" s="947"/>
      <c r="Z48" s="948">
        <v>338664</v>
      </c>
    </row>
    <row r="49" spans="1:26" s="670" customFormat="1" x14ac:dyDescent="0.25">
      <c r="A49" s="671"/>
      <c r="B49" s="672" t="s">
        <v>1687</v>
      </c>
      <c r="C49" s="673"/>
      <c r="D49" s="673"/>
      <c r="E49" s="575"/>
      <c r="F49" s="576"/>
      <c r="G49" s="576"/>
      <c r="H49" s="575"/>
      <c r="I49" s="576"/>
      <c r="J49" s="576"/>
      <c r="K49" s="575"/>
      <c r="L49" s="576"/>
      <c r="M49" s="576"/>
      <c r="N49" s="575"/>
      <c r="O49" s="947"/>
      <c r="P49" s="947"/>
      <c r="Q49" s="948">
        <f>+'2D Céltartalék'!F34</f>
        <v>171841</v>
      </c>
      <c r="R49" s="869"/>
      <c r="S49" s="869"/>
      <c r="T49" s="868">
        <f>+'2D Céltartalék'!G34</f>
        <v>135684</v>
      </c>
      <c r="U49" s="869"/>
      <c r="V49" s="869"/>
      <c r="W49" s="868">
        <f>+'2D Céltartalék'!H34</f>
        <v>56301</v>
      </c>
      <c r="X49" s="947"/>
      <c r="Y49" s="947"/>
      <c r="Z49" s="948">
        <f>+'2D Céltartalék'!I34</f>
        <v>23610</v>
      </c>
    </row>
    <row r="50" spans="1:26" s="670" customFormat="1" x14ac:dyDescent="0.25">
      <c r="A50" s="671"/>
      <c r="B50" s="672" t="s">
        <v>351</v>
      </c>
      <c r="C50" s="673"/>
      <c r="D50" s="673"/>
      <c r="E50" s="575">
        <v>884694.74</v>
      </c>
      <c r="F50" s="576"/>
      <c r="G50" s="576"/>
      <c r="H50" s="575">
        <v>1104432</v>
      </c>
      <c r="I50" s="576"/>
      <c r="J50" s="576"/>
      <c r="K50" s="575">
        <v>1343984.4</v>
      </c>
      <c r="L50" s="576"/>
      <c r="M50" s="576"/>
      <c r="N50" s="575">
        <v>1340989</v>
      </c>
      <c r="O50" s="947"/>
      <c r="P50" s="947"/>
      <c r="Q50" s="948">
        <v>0</v>
      </c>
      <c r="R50" s="869"/>
      <c r="S50" s="869"/>
      <c r="T50" s="868">
        <v>0</v>
      </c>
      <c r="U50" s="869"/>
      <c r="V50" s="869"/>
      <c r="W50" s="868">
        <v>0</v>
      </c>
      <c r="X50" s="947"/>
      <c r="Y50" s="947"/>
      <c r="Z50" s="948">
        <v>0</v>
      </c>
    </row>
    <row r="51" spans="1:26" s="670" customFormat="1" x14ac:dyDescent="0.25">
      <c r="A51" s="671"/>
      <c r="B51" s="672" t="s">
        <v>342</v>
      </c>
      <c r="C51" s="673"/>
      <c r="D51" s="673"/>
      <c r="E51" s="575">
        <v>161665</v>
      </c>
      <c r="F51" s="576"/>
      <c r="G51" s="576"/>
      <c r="H51" s="575">
        <v>133584</v>
      </c>
      <c r="I51" s="576"/>
      <c r="J51" s="576"/>
      <c r="K51" s="575">
        <v>128645</v>
      </c>
      <c r="L51" s="576"/>
      <c r="M51" s="576"/>
      <c r="N51" s="575">
        <v>87073</v>
      </c>
      <c r="O51" s="947"/>
      <c r="P51" s="947"/>
      <c r="Q51" s="948">
        <v>0</v>
      </c>
      <c r="R51" s="576"/>
      <c r="S51" s="576"/>
      <c r="T51" s="575">
        <v>0</v>
      </c>
      <c r="U51" s="576"/>
      <c r="V51" s="576"/>
      <c r="W51" s="575">
        <v>0</v>
      </c>
      <c r="X51" s="947"/>
      <c r="Y51" s="947"/>
      <c r="Z51" s="948">
        <v>0</v>
      </c>
    </row>
    <row r="52" spans="1:26" s="670" customFormat="1" x14ac:dyDescent="0.25">
      <c r="A52" s="671"/>
      <c r="B52" s="672" t="s">
        <v>1732</v>
      </c>
      <c r="C52" s="673"/>
      <c r="D52" s="673"/>
      <c r="E52" s="575"/>
      <c r="F52" s="576"/>
      <c r="G52" s="576"/>
      <c r="H52" s="575"/>
      <c r="I52" s="576"/>
      <c r="J52" s="576"/>
      <c r="K52" s="575"/>
      <c r="L52" s="576"/>
      <c r="M52" s="576"/>
      <c r="N52" s="575"/>
      <c r="O52" s="947"/>
      <c r="P52" s="947"/>
      <c r="Q52" s="948"/>
      <c r="R52" s="576"/>
      <c r="S52" s="576"/>
      <c r="T52" s="575"/>
      <c r="U52" s="576"/>
      <c r="V52" s="576"/>
      <c r="W52" s="575">
        <v>40</v>
      </c>
      <c r="X52" s="947"/>
      <c r="Y52" s="947"/>
      <c r="Z52" s="948">
        <v>40</v>
      </c>
    </row>
    <row r="53" spans="1:26" s="670" customFormat="1" x14ac:dyDescent="0.25">
      <c r="A53" s="666" t="s">
        <v>569</v>
      </c>
      <c r="B53" s="667" t="s">
        <v>705</v>
      </c>
      <c r="C53" s="673"/>
      <c r="D53" s="673"/>
      <c r="E53" s="575"/>
      <c r="F53" s="576"/>
      <c r="G53" s="576"/>
      <c r="H53" s="575"/>
      <c r="I53" s="576"/>
      <c r="J53" s="576"/>
      <c r="K53" s="575"/>
      <c r="L53" s="576"/>
      <c r="M53" s="576"/>
      <c r="N53" s="575"/>
      <c r="O53" s="947"/>
      <c r="P53" s="947"/>
      <c r="Q53" s="946">
        <f>SUM(Q54:Q58)</f>
        <v>883753</v>
      </c>
      <c r="R53" s="576"/>
      <c r="S53" s="576"/>
      <c r="T53" s="664">
        <f>SUM(T54:T58)</f>
        <v>1069744</v>
      </c>
      <c r="U53" s="576"/>
      <c r="V53" s="576"/>
      <c r="W53" s="664">
        <f>SUM(W54:W58)</f>
        <v>1154443</v>
      </c>
      <c r="X53" s="947"/>
      <c r="Y53" s="947"/>
      <c r="Z53" s="946">
        <f>SUM(Z54:Z58)</f>
        <v>1234331</v>
      </c>
    </row>
    <row r="54" spans="1:26" s="670" customFormat="1" x14ac:dyDescent="0.25">
      <c r="A54" s="671"/>
      <c r="B54" s="672" t="s">
        <v>286</v>
      </c>
      <c r="C54" s="673"/>
      <c r="D54" s="673"/>
      <c r="E54" s="575"/>
      <c r="F54" s="576"/>
      <c r="G54" s="576"/>
      <c r="H54" s="575"/>
      <c r="I54" s="576"/>
      <c r="J54" s="576"/>
      <c r="K54" s="575"/>
      <c r="L54" s="576"/>
      <c r="M54" s="576"/>
      <c r="N54" s="575"/>
      <c r="O54" s="947"/>
      <c r="P54" s="947"/>
      <c r="Q54" s="948"/>
      <c r="R54" s="576"/>
      <c r="S54" s="576"/>
      <c r="T54" s="575"/>
      <c r="U54" s="576"/>
      <c r="V54" s="576"/>
      <c r="W54" s="575"/>
      <c r="X54" s="947"/>
      <c r="Y54" s="947"/>
      <c r="Z54" s="948"/>
    </row>
    <row r="55" spans="1:26" s="670" customFormat="1" x14ac:dyDescent="0.25">
      <c r="A55" s="671"/>
      <c r="B55" s="672" t="s">
        <v>287</v>
      </c>
      <c r="C55" s="673"/>
      <c r="D55" s="673"/>
      <c r="E55" s="575"/>
      <c r="F55" s="576"/>
      <c r="G55" s="576"/>
      <c r="H55" s="575"/>
      <c r="I55" s="576"/>
      <c r="J55" s="576"/>
      <c r="K55" s="575"/>
      <c r="L55" s="576"/>
      <c r="M55" s="576"/>
      <c r="N55" s="575"/>
      <c r="O55" s="947"/>
      <c r="P55" s="947"/>
      <c r="Q55" s="948"/>
      <c r="R55" s="576"/>
      <c r="S55" s="576"/>
      <c r="T55" s="575"/>
      <c r="U55" s="576"/>
      <c r="V55" s="576"/>
      <c r="W55" s="575"/>
      <c r="X55" s="947"/>
      <c r="Y55" s="947"/>
      <c r="Z55" s="948"/>
    </row>
    <row r="56" spans="1:26" s="670" customFormat="1" x14ac:dyDescent="0.25">
      <c r="A56" s="671"/>
      <c r="B56" s="672" t="s">
        <v>292</v>
      </c>
      <c r="C56" s="673"/>
      <c r="D56" s="673"/>
      <c r="E56" s="575"/>
      <c r="F56" s="576"/>
      <c r="G56" s="576"/>
      <c r="H56" s="575"/>
      <c r="I56" s="576"/>
      <c r="J56" s="576"/>
      <c r="K56" s="575"/>
      <c r="L56" s="576"/>
      <c r="M56" s="576"/>
      <c r="N56" s="575"/>
      <c r="O56" s="947"/>
      <c r="P56" s="947"/>
      <c r="Q56" s="948">
        <v>900</v>
      </c>
      <c r="R56" s="576"/>
      <c r="S56" s="576"/>
      <c r="T56" s="575">
        <f>900+559+4400+6500+1685</f>
        <v>14044</v>
      </c>
      <c r="U56" s="576"/>
      <c r="V56" s="576"/>
      <c r="W56" s="575">
        <f>14044+444+483+6917+305+858+751+6523+1404</f>
        <v>31729</v>
      </c>
      <c r="X56" s="947"/>
      <c r="Y56" s="947"/>
      <c r="Z56" s="948">
        <f>31729+419+1228+150+939-31+200+1290+4152-15+200+762+2304+11279</f>
        <v>54606</v>
      </c>
    </row>
    <row r="57" spans="1:26" s="670" customFormat="1" x14ac:dyDescent="0.25">
      <c r="A57" s="671"/>
      <c r="B57" s="672" t="s">
        <v>351</v>
      </c>
      <c r="C57" s="673"/>
      <c r="D57" s="673"/>
      <c r="E57" s="575"/>
      <c r="F57" s="576"/>
      <c r="G57" s="576"/>
      <c r="H57" s="575"/>
      <c r="I57" s="576"/>
      <c r="J57" s="576"/>
      <c r="K57" s="575"/>
      <c r="L57" s="576"/>
      <c r="M57" s="576"/>
      <c r="N57" s="575"/>
      <c r="O57" s="947"/>
      <c r="P57" s="947"/>
      <c r="Q57" s="948">
        <v>563671</v>
      </c>
      <c r="R57" s="576"/>
      <c r="S57" s="576"/>
      <c r="T57" s="575">
        <f>563671+116+953+5247+14412+154+70000+28000+34000+8000+18923-1000-12000</f>
        <v>730476</v>
      </c>
      <c r="U57" s="576"/>
      <c r="V57" s="576"/>
      <c r="W57" s="575">
        <f>730476+818-6917+2300+90000+380-4700-2271-3066-6523-1404+1</f>
        <v>799094</v>
      </c>
      <c r="X57" s="947"/>
      <c r="Y57" s="947"/>
      <c r="Z57" s="948">
        <f>799094+39116+659+500+13915-3048-1737+151+1901-939+122+31+1000-796-696+4703-4152+1157-627+235-4243+1925-8138-458-11015-352+14144-11279</f>
        <v>831173</v>
      </c>
    </row>
    <row r="58" spans="1:26" s="670" customFormat="1" x14ac:dyDescent="0.25">
      <c r="A58" s="671"/>
      <c r="B58" s="672" t="s">
        <v>342</v>
      </c>
      <c r="C58" s="673"/>
      <c r="D58" s="673"/>
      <c r="E58" s="575"/>
      <c r="F58" s="576"/>
      <c r="G58" s="576"/>
      <c r="H58" s="575"/>
      <c r="I58" s="576"/>
      <c r="J58" s="576"/>
      <c r="K58" s="575"/>
      <c r="L58" s="576"/>
      <c r="M58" s="576"/>
      <c r="N58" s="575"/>
      <c r="O58" s="947"/>
      <c r="P58" s="947"/>
      <c r="Q58" s="948">
        <v>319182</v>
      </c>
      <c r="R58" s="576"/>
      <c r="S58" s="576"/>
      <c r="T58" s="575">
        <f>319182+2984-4400-6500+2445+199+1000+12000-1685-1</f>
        <v>325224</v>
      </c>
      <c r="U58" s="576"/>
      <c r="V58" s="576"/>
      <c r="W58" s="575">
        <f>325224-818-483-17-3048-305+3066+1</f>
        <v>323620</v>
      </c>
      <c r="X58" s="947"/>
      <c r="Y58" s="947"/>
      <c r="Z58" s="948">
        <f>323620+3048+1737-138-130-429+1754-1-1157-109+1204-1+8138+11015+1</f>
        <v>348552</v>
      </c>
    </row>
    <row r="59" spans="1:26" s="670" customFormat="1" x14ac:dyDescent="0.25">
      <c r="A59" s="666" t="s">
        <v>570</v>
      </c>
      <c r="B59" s="667" t="s">
        <v>605</v>
      </c>
      <c r="C59" s="668"/>
      <c r="D59" s="668"/>
      <c r="E59" s="664">
        <v>400</v>
      </c>
      <c r="F59" s="669"/>
      <c r="G59" s="669"/>
      <c r="H59" s="664">
        <v>400</v>
      </c>
      <c r="I59" s="669"/>
      <c r="J59" s="669"/>
      <c r="K59" s="664">
        <v>400</v>
      </c>
      <c r="L59" s="669"/>
      <c r="M59" s="669"/>
      <c r="N59" s="664">
        <v>79</v>
      </c>
      <c r="O59" s="945"/>
      <c r="P59" s="945"/>
      <c r="Q59" s="946">
        <v>508</v>
      </c>
      <c r="R59" s="669"/>
      <c r="S59" s="669"/>
      <c r="T59" s="664">
        <v>508</v>
      </c>
      <c r="U59" s="669"/>
      <c r="V59" s="669"/>
      <c r="W59" s="664">
        <v>508</v>
      </c>
      <c r="X59" s="945"/>
      <c r="Y59" s="945"/>
      <c r="Z59" s="946">
        <v>508</v>
      </c>
    </row>
    <row r="60" spans="1:26" s="670" customFormat="1" x14ac:dyDescent="0.25">
      <c r="A60" s="671"/>
      <c r="B60" s="672" t="s">
        <v>292</v>
      </c>
      <c r="C60" s="673"/>
      <c r="D60" s="673"/>
      <c r="E60" s="575">
        <v>400</v>
      </c>
      <c r="F60" s="576"/>
      <c r="G60" s="576"/>
      <c r="H60" s="575">
        <v>400</v>
      </c>
      <c r="I60" s="576"/>
      <c r="J60" s="576"/>
      <c r="K60" s="575">
        <v>400</v>
      </c>
      <c r="L60" s="576"/>
      <c r="M60" s="576"/>
      <c r="N60" s="690">
        <v>79</v>
      </c>
      <c r="O60" s="947"/>
      <c r="P60" s="947"/>
      <c r="Q60" s="948">
        <v>508</v>
      </c>
      <c r="R60" s="576"/>
      <c r="S60" s="576"/>
      <c r="T60" s="575">
        <v>508</v>
      </c>
      <c r="U60" s="576"/>
      <c r="V60" s="576"/>
      <c r="W60" s="575">
        <v>508</v>
      </c>
      <c r="X60" s="947"/>
      <c r="Y60" s="947"/>
      <c r="Z60" s="948">
        <v>508</v>
      </c>
    </row>
    <row r="61" spans="1:26" s="670" customFormat="1" x14ac:dyDescent="0.25">
      <c r="A61" s="666" t="s">
        <v>572</v>
      </c>
      <c r="B61" s="667" t="s">
        <v>706</v>
      </c>
      <c r="C61" s="668"/>
      <c r="D61" s="668"/>
      <c r="E61" s="664">
        <v>0</v>
      </c>
      <c r="F61" s="669"/>
      <c r="G61" s="669"/>
      <c r="H61" s="664">
        <v>0</v>
      </c>
      <c r="I61" s="669"/>
      <c r="J61" s="669"/>
      <c r="K61" s="664">
        <v>0</v>
      </c>
      <c r="L61" s="669"/>
      <c r="M61" s="669"/>
      <c r="N61" s="664">
        <v>19081</v>
      </c>
      <c r="O61" s="945"/>
      <c r="P61" s="945"/>
      <c r="Q61" s="946">
        <v>18000</v>
      </c>
      <c r="R61" s="669"/>
      <c r="S61" s="669"/>
      <c r="T61" s="664">
        <f>T62+T63</f>
        <v>20455</v>
      </c>
      <c r="U61" s="669"/>
      <c r="V61" s="669"/>
      <c r="W61" s="664">
        <f>W62+W63</f>
        <v>20455</v>
      </c>
      <c r="X61" s="945"/>
      <c r="Y61" s="945"/>
      <c r="Z61" s="946">
        <f>Z62+Z63</f>
        <v>20455</v>
      </c>
    </row>
    <row r="62" spans="1:26" s="670" customFormat="1" x14ac:dyDescent="0.25">
      <c r="A62" s="666"/>
      <c r="B62" s="672" t="s">
        <v>292</v>
      </c>
      <c r="C62" s="668"/>
      <c r="D62" s="668"/>
      <c r="E62" s="664"/>
      <c r="F62" s="669"/>
      <c r="G62" s="669"/>
      <c r="H62" s="664"/>
      <c r="I62" s="669"/>
      <c r="J62" s="669"/>
      <c r="K62" s="664"/>
      <c r="L62" s="669"/>
      <c r="M62" s="669"/>
      <c r="N62" s="575">
        <v>754</v>
      </c>
      <c r="O62" s="945"/>
      <c r="P62" s="945"/>
      <c r="Q62" s="946">
        <v>0</v>
      </c>
      <c r="R62" s="669"/>
      <c r="S62" s="669"/>
      <c r="T62" s="664">
        <v>0</v>
      </c>
      <c r="U62" s="669"/>
      <c r="V62" s="669"/>
      <c r="W62" s="664">
        <v>0</v>
      </c>
      <c r="X62" s="945"/>
      <c r="Y62" s="945"/>
      <c r="Z62" s="946">
        <v>0</v>
      </c>
    </row>
    <row r="63" spans="1:26" s="670" customFormat="1" x14ac:dyDescent="0.25">
      <c r="A63" s="671"/>
      <c r="B63" s="672" t="s">
        <v>337</v>
      </c>
      <c r="C63" s="673"/>
      <c r="D63" s="673"/>
      <c r="E63" s="575">
        <v>0</v>
      </c>
      <c r="F63" s="576"/>
      <c r="G63" s="576"/>
      <c r="H63" s="575">
        <v>0</v>
      </c>
      <c r="I63" s="576"/>
      <c r="J63" s="576"/>
      <c r="K63" s="575">
        <v>0</v>
      </c>
      <c r="L63" s="576"/>
      <c r="M63" s="576"/>
      <c r="N63" s="575">
        <v>18327</v>
      </c>
      <c r="O63" s="947"/>
      <c r="P63" s="947"/>
      <c r="Q63" s="948">
        <v>18000</v>
      </c>
      <c r="R63" s="576"/>
      <c r="S63" s="576"/>
      <c r="T63" s="575">
        <f>18000+181+2274</f>
        <v>20455</v>
      </c>
      <c r="U63" s="576"/>
      <c r="V63" s="576"/>
      <c r="W63" s="575">
        <f>18000+181+2274</f>
        <v>20455</v>
      </c>
      <c r="X63" s="947"/>
      <c r="Y63" s="947"/>
      <c r="Z63" s="948">
        <f>20455+565-565</f>
        <v>20455</v>
      </c>
    </row>
    <row r="64" spans="1:26" s="681" customFormat="1" x14ac:dyDescent="0.25">
      <c r="A64" s="666" t="s">
        <v>573</v>
      </c>
      <c r="B64" s="667" t="s">
        <v>611</v>
      </c>
      <c r="C64" s="668"/>
      <c r="D64" s="668">
        <v>25</v>
      </c>
      <c r="E64" s="664">
        <v>10146</v>
      </c>
      <c r="F64" s="669"/>
      <c r="G64" s="669">
        <v>25</v>
      </c>
      <c r="H64" s="664">
        <v>10146</v>
      </c>
      <c r="I64" s="669"/>
      <c r="J64" s="669">
        <v>25</v>
      </c>
      <c r="K64" s="664">
        <v>10146</v>
      </c>
      <c r="L64" s="669"/>
      <c r="M64" s="669">
        <v>25</v>
      </c>
      <c r="N64" s="664">
        <v>0</v>
      </c>
      <c r="O64" s="945"/>
      <c r="P64" s="945">
        <v>10</v>
      </c>
      <c r="Q64" s="946">
        <v>2737</v>
      </c>
      <c r="R64" s="669"/>
      <c r="S64" s="669">
        <v>10</v>
      </c>
      <c r="T64" s="664">
        <v>2737</v>
      </c>
      <c r="U64" s="669"/>
      <c r="V64" s="669">
        <v>10</v>
      </c>
      <c r="W64" s="664">
        <v>2737</v>
      </c>
      <c r="X64" s="945"/>
      <c r="Y64" s="945">
        <v>10</v>
      </c>
      <c r="Z64" s="946">
        <v>2737</v>
      </c>
    </row>
    <row r="65" spans="1:26" s="670" customFormat="1" x14ac:dyDescent="0.25">
      <c r="A65" s="671"/>
      <c r="B65" s="672" t="s">
        <v>286</v>
      </c>
      <c r="C65" s="673"/>
      <c r="D65" s="673"/>
      <c r="E65" s="575">
        <v>8316</v>
      </c>
      <c r="F65" s="576"/>
      <c r="G65" s="576"/>
      <c r="H65" s="575">
        <v>8316</v>
      </c>
      <c r="I65" s="576"/>
      <c r="J65" s="576"/>
      <c r="K65" s="575">
        <v>8316</v>
      </c>
      <c r="L65" s="576"/>
      <c r="M65" s="576"/>
      <c r="N65" s="575"/>
      <c r="O65" s="947"/>
      <c r="P65" s="947"/>
      <c r="Q65" s="948">
        <v>2300</v>
      </c>
      <c r="R65" s="576"/>
      <c r="S65" s="576"/>
      <c r="T65" s="575">
        <v>2300</v>
      </c>
      <c r="U65" s="576"/>
      <c r="V65" s="576"/>
      <c r="W65" s="575">
        <v>2300</v>
      </c>
      <c r="X65" s="947"/>
      <c r="Y65" s="947"/>
      <c r="Z65" s="948">
        <v>2300</v>
      </c>
    </row>
    <row r="66" spans="1:26" s="670" customFormat="1" x14ac:dyDescent="0.25">
      <c r="A66" s="671"/>
      <c r="B66" s="672" t="s">
        <v>287</v>
      </c>
      <c r="C66" s="673"/>
      <c r="D66" s="673"/>
      <c r="E66" s="575">
        <v>1830</v>
      </c>
      <c r="F66" s="576"/>
      <c r="G66" s="576"/>
      <c r="H66" s="575">
        <v>1830</v>
      </c>
      <c r="I66" s="576"/>
      <c r="J66" s="576"/>
      <c r="K66" s="575">
        <v>1830</v>
      </c>
      <c r="L66" s="576"/>
      <c r="M66" s="576"/>
      <c r="N66" s="575"/>
      <c r="O66" s="947"/>
      <c r="P66" s="947"/>
      <c r="Q66" s="948">
        <v>437</v>
      </c>
      <c r="R66" s="576"/>
      <c r="S66" s="576"/>
      <c r="T66" s="575">
        <v>437</v>
      </c>
      <c r="U66" s="576"/>
      <c r="V66" s="576"/>
      <c r="W66" s="575">
        <v>437</v>
      </c>
      <c r="X66" s="947"/>
      <c r="Y66" s="947"/>
      <c r="Z66" s="948">
        <v>437</v>
      </c>
    </row>
    <row r="67" spans="1:26" s="670" customFormat="1" x14ac:dyDescent="0.25">
      <c r="A67" s="671"/>
      <c r="B67" s="672" t="s">
        <v>1387</v>
      </c>
      <c r="C67" s="673"/>
      <c r="D67" s="673"/>
      <c r="E67" s="575"/>
      <c r="F67" s="576"/>
      <c r="G67" s="576"/>
      <c r="H67" s="575"/>
      <c r="I67" s="576"/>
      <c r="J67" s="576"/>
      <c r="K67" s="575"/>
      <c r="L67" s="576"/>
      <c r="M67" s="576"/>
      <c r="N67" s="575"/>
      <c r="O67" s="947"/>
      <c r="P67" s="947"/>
      <c r="Q67" s="948">
        <v>0</v>
      </c>
      <c r="R67" s="576"/>
      <c r="S67" s="576"/>
      <c r="T67" s="575">
        <v>0</v>
      </c>
      <c r="U67" s="576"/>
      <c r="V67" s="576"/>
      <c r="W67" s="575">
        <v>0</v>
      </c>
      <c r="X67" s="947"/>
      <c r="Y67" s="947"/>
      <c r="Z67" s="948">
        <v>0</v>
      </c>
    </row>
    <row r="68" spans="1:26" s="670" customFormat="1" x14ac:dyDescent="0.25">
      <c r="A68" s="666" t="s">
        <v>574</v>
      </c>
      <c r="B68" s="682" t="s">
        <v>558</v>
      </c>
      <c r="C68" s="673"/>
      <c r="D68" s="673"/>
      <c r="E68" s="664">
        <v>45000</v>
      </c>
      <c r="F68" s="576"/>
      <c r="G68" s="576"/>
      <c r="H68" s="664">
        <v>92622</v>
      </c>
      <c r="I68" s="576"/>
      <c r="J68" s="576"/>
      <c r="K68" s="664">
        <v>92622</v>
      </c>
      <c r="L68" s="576"/>
      <c r="M68" s="576"/>
      <c r="N68" s="664">
        <v>85827</v>
      </c>
      <c r="O68" s="947"/>
      <c r="P68" s="947"/>
      <c r="Q68" s="946">
        <f>SUM(Q69:Q71)</f>
        <v>45000</v>
      </c>
      <c r="R68" s="576"/>
      <c r="S68" s="576"/>
      <c r="T68" s="664">
        <f>SUM(T69:T71)</f>
        <v>50139</v>
      </c>
      <c r="U68" s="576"/>
      <c r="V68" s="576"/>
      <c r="W68" s="664">
        <f>SUM(W69:W71)</f>
        <v>60139</v>
      </c>
      <c r="X68" s="947"/>
      <c r="Y68" s="947"/>
      <c r="Z68" s="946">
        <f>SUM(Z69:Z71)</f>
        <v>77025</v>
      </c>
    </row>
    <row r="69" spans="1:26" s="670" customFormat="1" x14ac:dyDescent="0.25">
      <c r="A69" s="671"/>
      <c r="B69" s="672" t="s">
        <v>292</v>
      </c>
      <c r="C69" s="673"/>
      <c r="D69" s="673"/>
      <c r="E69" s="575">
        <v>45000</v>
      </c>
      <c r="F69" s="576"/>
      <c r="G69" s="576"/>
      <c r="H69" s="575">
        <v>92622</v>
      </c>
      <c r="I69" s="576"/>
      <c r="J69" s="576"/>
      <c r="K69" s="575">
        <v>92622</v>
      </c>
      <c r="L69" s="576"/>
      <c r="M69" s="576"/>
      <c r="N69" s="575">
        <v>85827</v>
      </c>
      <c r="O69" s="947"/>
      <c r="P69" s="947"/>
      <c r="Q69" s="948">
        <v>0</v>
      </c>
      <c r="R69" s="576"/>
      <c r="S69" s="576"/>
      <c r="T69" s="575">
        <f>0+45000+5139</f>
        <v>50139</v>
      </c>
      <c r="U69" s="576"/>
      <c r="V69" s="576"/>
      <c r="W69" s="575">
        <f>50139+10000</f>
        <v>60139</v>
      </c>
      <c r="X69" s="947"/>
      <c r="Y69" s="947"/>
      <c r="Z69" s="948">
        <f>50139+10000</f>
        <v>60139</v>
      </c>
    </row>
    <row r="70" spans="1:26" s="670" customFormat="1" x14ac:dyDescent="0.25">
      <c r="A70" s="671"/>
      <c r="B70" s="672" t="s">
        <v>351</v>
      </c>
      <c r="C70" s="673"/>
      <c r="D70" s="673"/>
      <c r="E70" s="575"/>
      <c r="F70" s="576"/>
      <c r="G70" s="576"/>
      <c r="H70" s="575"/>
      <c r="I70" s="576"/>
      <c r="J70" s="576"/>
      <c r="K70" s="575"/>
      <c r="L70" s="576"/>
      <c r="M70" s="576"/>
      <c r="N70" s="575"/>
      <c r="O70" s="947"/>
      <c r="P70" s="947"/>
      <c r="Q70" s="948">
        <v>0</v>
      </c>
      <c r="R70" s="576"/>
      <c r="S70" s="576"/>
      <c r="T70" s="575">
        <v>0</v>
      </c>
      <c r="U70" s="576"/>
      <c r="V70" s="576"/>
      <c r="W70" s="575">
        <v>0</v>
      </c>
      <c r="X70" s="947"/>
      <c r="Y70" s="947"/>
      <c r="Z70" s="948">
        <v>0</v>
      </c>
    </row>
    <row r="71" spans="1:26" s="670" customFormat="1" x14ac:dyDescent="0.25">
      <c r="A71" s="671"/>
      <c r="B71" s="672" t="s">
        <v>342</v>
      </c>
      <c r="C71" s="673"/>
      <c r="D71" s="673"/>
      <c r="E71" s="575"/>
      <c r="F71" s="576"/>
      <c r="G71" s="576"/>
      <c r="H71" s="575"/>
      <c r="I71" s="576"/>
      <c r="J71" s="576"/>
      <c r="K71" s="575"/>
      <c r="L71" s="576"/>
      <c r="M71" s="576"/>
      <c r="N71" s="575"/>
      <c r="O71" s="947"/>
      <c r="P71" s="947"/>
      <c r="Q71" s="948">
        <f>80000-35000</f>
        <v>45000</v>
      </c>
      <c r="R71" s="576"/>
      <c r="S71" s="576"/>
      <c r="T71" s="575">
        <f>45000-45000</f>
        <v>0</v>
      </c>
      <c r="U71" s="576"/>
      <c r="V71" s="576"/>
      <c r="W71" s="575">
        <f>45000-45000</f>
        <v>0</v>
      </c>
      <c r="X71" s="947"/>
      <c r="Y71" s="947"/>
      <c r="Z71" s="948">
        <f>45000-45000+12643+4243</f>
        <v>16886</v>
      </c>
    </row>
    <row r="72" spans="1:26" x14ac:dyDescent="0.25">
      <c r="A72" s="364" t="s">
        <v>318</v>
      </c>
      <c r="B72" s="429" t="s">
        <v>353</v>
      </c>
      <c r="C72" s="430"/>
      <c r="D72" s="430"/>
      <c r="E72" s="508">
        <v>1275714.5</v>
      </c>
      <c r="F72" s="509"/>
      <c r="G72" s="509"/>
      <c r="H72" s="508">
        <v>1398030.5</v>
      </c>
      <c r="I72" s="509"/>
      <c r="J72" s="509"/>
      <c r="K72" s="508">
        <v>1475471</v>
      </c>
      <c r="L72" s="509"/>
      <c r="M72" s="509"/>
      <c r="N72" s="508">
        <v>985367</v>
      </c>
      <c r="O72" s="509"/>
      <c r="P72" s="509"/>
      <c r="Q72" s="508">
        <f>+Q73+Q76+Q79+Q83+Q87+Q89+Q91+Q93+Q97+Q99+Q101+Q103+Q107+Q112+Q114+Q119+Q123+Q125+Q129+Q131+Q133+Q135+Q138+Q141+Q144+Q146+Q149+Q151+Q153+Q156+Q163+Q177+Q181+Q183+Q187</f>
        <v>866944</v>
      </c>
      <c r="R72" s="509"/>
      <c r="S72" s="509"/>
      <c r="T72" s="508">
        <f>+T73+T76+T79+T83+T87+T89+T91+T93+T97+T99+T101+T103+T107+T112+T114+T119+T123+T125+T129+T131+T133+T135+T138+T141+T144+T146+T149+T151+T153+T156+T163+T177+T181+T183+T187+T170</f>
        <v>983475</v>
      </c>
      <c r="U72" s="509"/>
      <c r="V72" s="509"/>
      <c r="W72" s="508">
        <f>+W73+W76+W79+W83+W87+W89+W91+W93+W97+W99+W101+W103+W107+W112+W114+W119+W123+W125+W129+W131+W133+W135+W138+W141+W144+W146+W149+W151+W153+W156+W163+W177+W181+W183+W187+W170</f>
        <v>954599</v>
      </c>
      <c r="X72" s="509"/>
      <c r="Y72" s="509"/>
      <c r="Z72" s="508">
        <f>+Z73+Z76+Z79+Z83+Z87+Z89+Z91+Z93+Z97+Z99+Z101+Z103+Z107+Z112+Z114+Z119+Z123+Z125+Z129+Z131+Z133+Z135+Z138+Z141+Z144+Z146+Z149+Z151+Z153+Z156+Z163+Z177+Z181+Z183+Z187+Z170</f>
        <v>1029539</v>
      </c>
    </row>
    <row r="73" spans="1:26" s="441" customFormat="1" x14ac:dyDescent="0.25">
      <c r="A73" s="431" t="s">
        <v>311</v>
      </c>
      <c r="B73" s="432" t="s">
        <v>707</v>
      </c>
      <c r="C73" s="434"/>
      <c r="D73" s="434"/>
      <c r="E73" s="510">
        <v>6010</v>
      </c>
      <c r="F73" s="511"/>
      <c r="G73" s="511"/>
      <c r="H73" s="510">
        <v>8541</v>
      </c>
      <c r="I73" s="511"/>
      <c r="J73" s="511"/>
      <c r="K73" s="510">
        <v>8541</v>
      </c>
      <c r="L73" s="511"/>
      <c r="M73" s="511"/>
      <c r="N73" s="510">
        <v>6054</v>
      </c>
      <c r="O73" s="945"/>
      <c r="P73" s="945"/>
      <c r="Q73" s="946">
        <v>6786</v>
      </c>
      <c r="R73" s="511"/>
      <c r="S73" s="511"/>
      <c r="T73" s="510">
        <v>6786</v>
      </c>
      <c r="U73" s="511"/>
      <c r="V73" s="511"/>
      <c r="W73" s="510">
        <v>6786</v>
      </c>
      <c r="X73" s="945"/>
      <c r="Y73" s="945"/>
      <c r="Z73" s="946">
        <f>Z74</f>
        <v>7286</v>
      </c>
    </row>
    <row r="74" spans="1:26" x14ac:dyDescent="0.25">
      <c r="A74" s="435"/>
      <c r="B74" s="418" t="s">
        <v>292</v>
      </c>
      <c r="C74" s="437"/>
      <c r="D74" s="437"/>
      <c r="E74" s="512">
        <v>6010</v>
      </c>
      <c r="F74" s="513"/>
      <c r="G74" s="513"/>
      <c r="H74" s="512">
        <v>8541</v>
      </c>
      <c r="I74" s="513"/>
      <c r="J74" s="513"/>
      <c r="K74" s="512">
        <v>8541</v>
      </c>
      <c r="L74" s="513"/>
      <c r="M74" s="513"/>
      <c r="N74" s="575">
        <v>6054</v>
      </c>
      <c r="O74" s="947"/>
      <c r="P74" s="947"/>
      <c r="Q74" s="948">
        <v>6786.3</v>
      </c>
      <c r="R74" s="513"/>
      <c r="S74" s="513"/>
      <c r="T74" s="512">
        <v>6786</v>
      </c>
      <c r="U74" s="513"/>
      <c r="V74" s="513"/>
      <c r="W74" s="512">
        <v>6786</v>
      </c>
      <c r="X74" s="947"/>
      <c r="Y74" s="947"/>
      <c r="Z74" s="948">
        <f>6786+500</f>
        <v>7286</v>
      </c>
    </row>
    <row r="75" spans="1:26" x14ac:dyDescent="0.25">
      <c r="A75" s="435"/>
      <c r="B75" s="418" t="s">
        <v>351</v>
      </c>
      <c r="C75" s="437"/>
      <c r="D75" s="437"/>
      <c r="E75" s="512">
        <v>0</v>
      </c>
      <c r="F75" s="513"/>
      <c r="G75" s="513"/>
      <c r="H75" s="512">
        <v>0</v>
      </c>
      <c r="I75" s="513"/>
      <c r="J75" s="513"/>
      <c r="K75" s="512">
        <v>0</v>
      </c>
      <c r="L75" s="513"/>
      <c r="M75" s="513"/>
      <c r="N75" s="512"/>
      <c r="O75" s="947"/>
      <c r="P75" s="947"/>
      <c r="Q75" s="948">
        <v>0</v>
      </c>
      <c r="R75" s="513"/>
      <c r="S75" s="513"/>
      <c r="T75" s="512">
        <v>0</v>
      </c>
      <c r="U75" s="513"/>
      <c r="V75" s="513"/>
      <c r="W75" s="512">
        <v>0</v>
      </c>
      <c r="X75" s="947"/>
      <c r="Y75" s="947"/>
      <c r="Z75" s="948">
        <v>0</v>
      </c>
    </row>
    <row r="76" spans="1:26" s="441" customFormat="1" x14ac:dyDescent="0.25">
      <c r="A76" s="431" t="s">
        <v>322</v>
      </c>
      <c r="B76" s="432" t="s">
        <v>708</v>
      </c>
      <c r="C76" s="434"/>
      <c r="D76" s="434"/>
      <c r="E76" s="510">
        <v>7050</v>
      </c>
      <c r="F76" s="511"/>
      <c r="G76" s="511"/>
      <c r="H76" s="510">
        <v>7050</v>
      </c>
      <c r="I76" s="511"/>
      <c r="J76" s="511"/>
      <c r="K76" s="510">
        <v>7050</v>
      </c>
      <c r="L76" s="511"/>
      <c r="M76" s="511"/>
      <c r="N76" s="510">
        <v>2081</v>
      </c>
      <c r="O76" s="945"/>
      <c r="P76" s="945"/>
      <c r="Q76" s="946">
        <v>5000</v>
      </c>
      <c r="R76" s="511"/>
      <c r="S76" s="511"/>
      <c r="T76" s="510">
        <v>5000</v>
      </c>
      <c r="U76" s="511"/>
      <c r="V76" s="511"/>
      <c r="W76" s="510">
        <v>5000</v>
      </c>
      <c r="X76" s="945"/>
      <c r="Y76" s="945"/>
      <c r="Z76" s="946">
        <v>5000</v>
      </c>
    </row>
    <row r="77" spans="1:26" x14ac:dyDescent="0.25">
      <c r="A77" s="435"/>
      <c r="B77" s="418" t="s">
        <v>292</v>
      </c>
      <c r="C77" s="437"/>
      <c r="D77" s="437"/>
      <c r="E77" s="512">
        <v>7050</v>
      </c>
      <c r="F77" s="513"/>
      <c r="G77" s="513"/>
      <c r="H77" s="512">
        <v>7050</v>
      </c>
      <c r="I77" s="513"/>
      <c r="J77" s="513"/>
      <c r="K77" s="512">
        <v>7050</v>
      </c>
      <c r="L77" s="513"/>
      <c r="M77" s="513"/>
      <c r="N77" s="575">
        <v>2081</v>
      </c>
      <c r="O77" s="947"/>
      <c r="P77" s="947"/>
      <c r="Q77" s="948">
        <v>0</v>
      </c>
      <c r="R77" s="513"/>
      <c r="S77" s="513"/>
      <c r="T77" s="512">
        <v>0</v>
      </c>
      <c r="U77" s="513"/>
      <c r="V77" s="513"/>
      <c r="W77" s="512">
        <v>0</v>
      </c>
      <c r="X77" s="947"/>
      <c r="Y77" s="947"/>
      <c r="Z77" s="948">
        <v>0</v>
      </c>
    </row>
    <row r="78" spans="1:26" x14ac:dyDescent="0.25">
      <c r="A78" s="435"/>
      <c r="B78" s="418" t="s">
        <v>351</v>
      </c>
      <c r="C78" s="437"/>
      <c r="D78" s="437"/>
      <c r="E78" s="512">
        <v>0</v>
      </c>
      <c r="F78" s="513"/>
      <c r="G78" s="513"/>
      <c r="H78" s="512">
        <v>0</v>
      </c>
      <c r="I78" s="513"/>
      <c r="J78" s="513"/>
      <c r="K78" s="512">
        <v>0</v>
      </c>
      <c r="L78" s="513"/>
      <c r="M78" s="513"/>
      <c r="N78" s="512">
        <v>0</v>
      </c>
      <c r="O78" s="947"/>
      <c r="P78" s="947"/>
      <c r="Q78" s="948">
        <v>5000</v>
      </c>
      <c r="R78" s="513"/>
      <c r="S78" s="513"/>
      <c r="T78" s="512">
        <v>5000</v>
      </c>
      <c r="U78" s="513"/>
      <c r="V78" s="513"/>
      <c r="W78" s="512">
        <v>5000</v>
      </c>
      <c r="X78" s="947"/>
      <c r="Y78" s="947"/>
      <c r="Z78" s="948">
        <v>5000</v>
      </c>
    </row>
    <row r="79" spans="1:26" s="441" customFormat="1" x14ac:dyDescent="0.25">
      <c r="A79" s="431" t="s">
        <v>315</v>
      </c>
      <c r="B79" s="439" t="s">
        <v>709</v>
      </c>
      <c r="C79" s="440"/>
      <c r="D79" s="440"/>
      <c r="E79" s="516">
        <v>1500</v>
      </c>
      <c r="F79" s="517"/>
      <c r="G79" s="517"/>
      <c r="H79" s="516">
        <v>1500</v>
      </c>
      <c r="I79" s="517"/>
      <c r="J79" s="517"/>
      <c r="K79" s="516">
        <v>1500</v>
      </c>
      <c r="L79" s="517"/>
      <c r="M79" s="517"/>
      <c r="N79" s="516">
        <v>454</v>
      </c>
      <c r="O79" s="951"/>
      <c r="P79" s="951"/>
      <c r="Q79" s="952">
        <v>1500</v>
      </c>
      <c r="R79" s="517"/>
      <c r="S79" s="517"/>
      <c r="T79" s="516">
        <v>1500</v>
      </c>
      <c r="U79" s="517"/>
      <c r="V79" s="517"/>
      <c r="W79" s="516">
        <v>1500</v>
      </c>
      <c r="X79" s="951"/>
      <c r="Y79" s="951"/>
      <c r="Z79" s="952">
        <v>1500</v>
      </c>
    </row>
    <row r="80" spans="1:26" x14ac:dyDescent="0.25">
      <c r="A80" s="435"/>
      <c r="B80" s="438" t="s">
        <v>286</v>
      </c>
      <c r="C80" s="415"/>
      <c r="D80" s="415"/>
      <c r="E80" s="514">
        <v>500</v>
      </c>
      <c r="F80" s="515"/>
      <c r="G80" s="515"/>
      <c r="H80" s="514">
        <v>500</v>
      </c>
      <c r="I80" s="515"/>
      <c r="J80" s="515"/>
      <c r="K80" s="514">
        <v>500</v>
      </c>
      <c r="L80" s="515"/>
      <c r="M80" s="515"/>
      <c r="N80" s="514">
        <v>193</v>
      </c>
      <c r="O80" s="949"/>
      <c r="P80" s="949"/>
      <c r="Q80" s="950">
        <v>500</v>
      </c>
      <c r="R80" s="515"/>
      <c r="S80" s="515"/>
      <c r="T80" s="514">
        <v>500</v>
      </c>
      <c r="U80" s="515"/>
      <c r="V80" s="515"/>
      <c r="W80" s="514">
        <v>500</v>
      </c>
      <c r="X80" s="949"/>
      <c r="Y80" s="949"/>
      <c r="Z80" s="950">
        <v>500</v>
      </c>
    </row>
    <row r="81" spans="1:26" x14ac:dyDescent="0.25">
      <c r="A81" s="435"/>
      <c r="B81" s="438" t="s">
        <v>287</v>
      </c>
      <c r="C81" s="415"/>
      <c r="D81" s="415"/>
      <c r="E81" s="514">
        <v>250</v>
      </c>
      <c r="F81" s="515"/>
      <c r="G81" s="515"/>
      <c r="H81" s="514">
        <v>250</v>
      </c>
      <c r="I81" s="515"/>
      <c r="J81" s="515"/>
      <c r="K81" s="514">
        <v>250</v>
      </c>
      <c r="L81" s="515"/>
      <c r="M81" s="515"/>
      <c r="N81" s="514">
        <v>108</v>
      </c>
      <c r="O81" s="949"/>
      <c r="P81" s="949"/>
      <c r="Q81" s="950">
        <v>250</v>
      </c>
      <c r="R81" s="515"/>
      <c r="S81" s="515"/>
      <c r="T81" s="514">
        <v>250</v>
      </c>
      <c r="U81" s="515"/>
      <c r="V81" s="515"/>
      <c r="W81" s="514">
        <v>250</v>
      </c>
      <c r="X81" s="949"/>
      <c r="Y81" s="949"/>
      <c r="Z81" s="950">
        <v>250</v>
      </c>
    </row>
    <row r="82" spans="1:26" x14ac:dyDescent="0.25">
      <c r="A82" s="435"/>
      <c r="B82" s="438" t="s">
        <v>292</v>
      </c>
      <c r="C82" s="415"/>
      <c r="D82" s="415"/>
      <c r="E82" s="514">
        <v>750</v>
      </c>
      <c r="F82" s="515"/>
      <c r="G82" s="515"/>
      <c r="H82" s="514">
        <v>750</v>
      </c>
      <c r="I82" s="515"/>
      <c r="J82" s="515"/>
      <c r="K82" s="514">
        <v>750</v>
      </c>
      <c r="L82" s="515"/>
      <c r="M82" s="515"/>
      <c r="N82" s="665">
        <v>153</v>
      </c>
      <c r="O82" s="949"/>
      <c r="P82" s="949"/>
      <c r="Q82" s="950">
        <v>750</v>
      </c>
      <c r="R82" s="515"/>
      <c r="S82" s="515"/>
      <c r="T82" s="514">
        <v>750</v>
      </c>
      <c r="U82" s="515"/>
      <c r="V82" s="515"/>
      <c r="W82" s="514">
        <v>750</v>
      </c>
      <c r="X82" s="949"/>
      <c r="Y82" s="949"/>
      <c r="Z82" s="950">
        <v>750</v>
      </c>
    </row>
    <row r="83" spans="1:26" s="441" customFormat="1" x14ac:dyDescent="0.25">
      <c r="A83" s="431" t="s">
        <v>336</v>
      </c>
      <c r="B83" s="432" t="s">
        <v>1171</v>
      </c>
      <c r="C83" s="434"/>
      <c r="D83" s="434"/>
      <c r="E83" s="510">
        <v>5000</v>
      </c>
      <c r="F83" s="511"/>
      <c r="G83" s="511"/>
      <c r="H83" s="510">
        <v>5000</v>
      </c>
      <c r="I83" s="511"/>
      <c r="J83" s="511"/>
      <c r="K83" s="510">
        <v>5000</v>
      </c>
      <c r="L83" s="511"/>
      <c r="M83" s="511"/>
      <c r="N83" s="510">
        <v>2940</v>
      </c>
      <c r="O83" s="945"/>
      <c r="P83" s="945"/>
      <c r="Q83" s="946">
        <v>4000</v>
      </c>
      <c r="R83" s="511"/>
      <c r="S83" s="511"/>
      <c r="T83" s="510">
        <v>4000</v>
      </c>
      <c r="U83" s="511"/>
      <c r="V83" s="511"/>
      <c r="W83" s="510">
        <v>4000</v>
      </c>
      <c r="X83" s="945"/>
      <c r="Y83" s="945"/>
      <c r="Z83" s="946">
        <v>4000</v>
      </c>
    </row>
    <row r="84" spans="1:26" x14ac:dyDescent="0.25">
      <c r="A84" s="435"/>
      <c r="B84" s="418" t="s">
        <v>286</v>
      </c>
      <c r="C84" s="437"/>
      <c r="D84" s="437"/>
      <c r="E84" s="512">
        <v>3000</v>
      </c>
      <c r="F84" s="513"/>
      <c r="G84" s="513"/>
      <c r="H84" s="512">
        <v>3000</v>
      </c>
      <c r="I84" s="513"/>
      <c r="J84" s="513"/>
      <c r="K84" s="512">
        <v>3000</v>
      </c>
      <c r="L84" s="513"/>
      <c r="M84" s="513"/>
      <c r="N84" s="512">
        <v>990</v>
      </c>
      <c r="O84" s="947"/>
      <c r="P84" s="947"/>
      <c r="Q84" s="948">
        <v>1500</v>
      </c>
      <c r="R84" s="513"/>
      <c r="S84" s="513"/>
      <c r="T84" s="512">
        <v>1500</v>
      </c>
      <c r="U84" s="513"/>
      <c r="V84" s="513"/>
      <c r="W84" s="512">
        <v>1500</v>
      </c>
      <c r="X84" s="947"/>
      <c r="Y84" s="947"/>
      <c r="Z84" s="948">
        <v>1500</v>
      </c>
    </row>
    <row r="85" spans="1:26" x14ac:dyDescent="0.25">
      <c r="A85" s="435"/>
      <c r="B85" s="418" t="s">
        <v>287</v>
      </c>
      <c r="C85" s="437"/>
      <c r="D85" s="437"/>
      <c r="E85" s="512">
        <v>0</v>
      </c>
      <c r="F85" s="513"/>
      <c r="G85" s="513"/>
      <c r="H85" s="512">
        <v>0</v>
      </c>
      <c r="I85" s="513"/>
      <c r="J85" s="513"/>
      <c r="K85" s="512">
        <v>0</v>
      </c>
      <c r="L85" s="513"/>
      <c r="M85" s="513"/>
      <c r="N85" s="512"/>
      <c r="O85" s="947"/>
      <c r="P85" s="947"/>
      <c r="Q85" s="948">
        <v>0</v>
      </c>
      <c r="R85" s="513"/>
      <c r="S85" s="513"/>
      <c r="T85" s="512">
        <v>0</v>
      </c>
      <c r="U85" s="513"/>
      <c r="V85" s="513"/>
      <c r="W85" s="512">
        <v>0</v>
      </c>
      <c r="X85" s="947"/>
      <c r="Y85" s="947"/>
      <c r="Z85" s="948">
        <v>0</v>
      </c>
    </row>
    <row r="86" spans="1:26" x14ac:dyDescent="0.25">
      <c r="A86" s="435"/>
      <c r="B86" s="418" t="s">
        <v>1282</v>
      </c>
      <c r="C86" s="437"/>
      <c r="D86" s="437"/>
      <c r="E86" s="512">
        <v>2000</v>
      </c>
      <c r="F86" s="513"/>
      <c r="G86" s="513"/>
      <c r="H86" s="512">
        <v>2000</v>
      </c>
      <c r="I86" s="513"/>
      <c r="J86" s="513"/>
      <c r="K86" s="512">
        <v>2000</v>
      </c>
      <c r="L86" s="513"/>
      <c r="M86" s="513"/>
      <c r="N86" s="575">
        <v>1950</v>
      </c>
      <c r="O86" s="947"/>
      <c r="P86" s="947"/>
      <c r="Q86" s="948">
        <v>2500</v>
      </c>
      <c r="R86" s="513"/>
      <c r="S86" s="513"/>
      <c r="T86" s="512">
        <v>2500</v>
      </c>
      <c r="U86" s="513"/>
      <c r="V86" s="513"/>
      <c r="W86" s="512">
        <v>2500</v>
      </c>
      <c r="X86" s="947"/>
      <c r="Y86" s="947"/>
      <c r="Z86" s="948">
        <v>2500</v>
      </c>
    </row>
    <row r="87" spans="1:26" s="441" customFormat="1" x14ac:dyDescent="0.25">
      <c r="A87" s="431" t="s">
        <v>338</v>
      </c>
      <c r="B87" s="432" t="s">
        <v>710</v>
      </c>
      <c r="C87" s="434"/>
      <c r="D87" s="434"/>
      <c r="E87" s="510">
        <v>2811</v>
      </c>
      <c r="F87" s="511"/>
      <c r="G87" s="511"/>
      <c r="H87" s="510">
        <v>2811</v>
      </c>
      <c r="I87" s="511"/>
      <c r="J87" s="511"/>
      <c r="K87" s="510">
        <v>2811</v>
      </c>
      <c r="L87" s="511"/>
      <c r="M87" s="511"/>
      <c r="N87" s="510">
        <v>1099</v>
      </c>
      <c r="O87" s="945"/>
      <c r="P87" s="945"/>
      <c r="Q87" s="946">
        <v>6308</v>
      </c>
      <c r="R87" s="511"/>
      <c r="S87" s="511"/>
      <c r="T87" s="510">
        <f>T88</f>
        <v>6673</v>
      </c>
      <c r="U87" s="511"/>
      <c r="V87" s="511"/>
      <c r="W87" s="510">
        <f>W88</f>
        <v>6673</v>
      </c>
      <c r="X87" s="945"/>
      <c r="Y87" s="945"/>
      <c r="Z87" s="946">
        <f>Z88</f>
        <v>6673</v>
      </c>
    </row>
    <row r="88" spans="1:26" x14ac:dyDescent="0.25">
      <c r="A88" s="435"/>
      <c r="B88" s="418" t="s">
        <v>292</v>
      </c>
      <c r="C88" s="437"/>
      <c r="D88" s="437"/>
      <c r="E88" s="512">
        <v>2811</v>
      </c>
      <c r="F88" s="513"/>
      <c r="G88" s="513"/>
      <c r="H88" s="512">
        <v>2811</v>
      </c>
      <c r="I88" s="513"/>
      <c r="J88" s="513"/>
      <c r="K88" s="512">
        <v>2811</v>
      </c>
      <c r="L88" s="513"/>
      <c r="M88" s="513"/>
      <c r="N88" s="575">
        <v>1099</v>
      </c>
      <c r="O88" s="947"/>
      <c r="P88" s="947"/>
      <c r="Q88" s="948">
        <v>6308</v>
      </c>
      <c r="R88" s="869"/>
      <c r="S88" s="869"/>
      <c r="T88" s="868">
        <f>6308+365</f>
        <v>6673</v>
      </c>
      <c r="U88" s="869"/>
      <c r="V88" s="869"/>
      <c r="W88" s="868">
        <f>6308+365</f>
        <v>6673</v>
      </c>
      <c r="X88" s="947"/>
      <c r="Y88" s="947"/>
      <c r="Z88" s="948">
        <f>6308+365</f>
        <v>6673</v>
      </c>
    </row>
    <row r="89" spans="1:26" s="441" customFormat="1" x14ac:dyDescent="0.25">
      <c r="A89" s="431" t="s">
        <v>560</v>
      </c>
      <c r="B89" s="432" t="s">
        <v>711</v>
      </c>
      <c r="C89" s="434"/>
      <c r="D89" s="434"/>
      <c r="E89" s="510">
        <v>1595</v>
      </c>
      <c r="F89" s="511"/>
      <c r="G89" s="511"/>
      <c r="H89" s="510">
        <v>1595</v>
      </c>
      <c r="I89" s="511"/>
      <c r="J89" s="511"/>
      <c r="K89" s="510">
        <v>1595</v>
      </c>
      <c r="L89" s="511"/>
      <c r="M89" s="511"/>
      <c r="N89" s="510">
        <v>2339</v>
      </c>
      <c r="O89" s="945"/>
      <c r="P89" s="945"/>
      <c r="Q89" s="946">
        <v>6350</v>
      </c>
      <c r="R89" s="870"/>
      <c r="S89" s="870"/>
      <c r="T89" s="871">
        <v>6350</v>
      </c>
      <c r="U89" s="870"/>
      <c r="V89" s="870"/>
      <c r="W89" s="871">
        <v>6350</v>
      </c>
      <c r="X89" s="945"/>
      <c r="Y89" s="945"/>
      <c r="Z89" s="946">
        <v>6350</v>
      </c>
    </row>
    <row r="90" spans="1:26" x14ac:dyDescent="0.25">
      <c r="A90" s="435"/>
      <c r="B90" s="418" t="s">
        <v>292</v>
      </c>
      <c r="C90" s="437"/>
      <c r="D90" s="437"/>
      <c r="E90" s="512">
        <v>1595</v>
      </c>
      <c r="F90" s="513"/>
      <c r="G90" s="513"/>
      <c r="H90" s="512">
        <v>1595</v>
      </c>
      <c r="I90" s="513"/>
      <c r="J90" s="513"/>
      <c r="K90" s="512">
        <v>1595</v>
      </c>
      <c r="L90" s="513"/>
      <c r="M90" s="513"/>
      <c r="N90" s="575">
        <v>2339</v>
      </c>
      <c r="O90" s="947"/>
      <c r="P90" s="947"/>
      <c r="Q90" s="948">
        <v>6350</v>
      </c>
      <c r="R90" s="869"/>
      <c r="S90" s="869"/>
      <c r="T90" s="868">
        <v>6350</v>
      </c>
      <c r="U90" s="869"/>
      <c r="V90" s="869"/>
      <c r="W90" s="868">
        <v>6350</v>
      </c>
      <c r="X90" s="947"/>
      <c r="Y90" s="947"/>
      <c r="Z90" s="948">
        <v>6350</v>
      </c>
    </row>
    <row r="91" spans="1:26" s="659" customFormat="1" x14ac:dyDescent="0.25">
      <c r="A91" s="431" t="s">
        <v>562</v>
      </c>
      <c r="B91" s="432" t="s">
        <v>712</v>
      </c>
      <c r="C91" s="434"/>
      <c r="D91" s="434"/>
      <c r="E91" s="510">
        <v>3500</v>
      </c>
      <c r="F91" s="511"/>
      <c r="G91" s="511"/>
      <c r="H91" s="510">
        <v>3642</v>
      </c>
      <c r="I91" s="511"/>
      <c r="J91" s="511"/>
      <c r="K91" s="510">
        <v>3500</v>
      </c>
      <c r="L91" s="511"/>
      <c r="M91" s="511"/>
      <c r="N91" s="510">
        <v>3680</v>
      </c>
      <c r="O91" s="945"/>
      <c r="P91" s="945"/>
      <c r="Q91" s="946">
        <f>+Q92</f>
        <v>4680</v>
      </c>
      <c r="R91" s="870"/>
      <c r="S91" s="870"/>
      <c r="T91" s="871">
        <f>+T92</f>
        <v>4680</v>
      </c>
      <c r="U91" s="870"/>
      <c r="V91" s="870"/>
      <c r="W91" s="871">
        <f>+W92</f>
        <v>4680</v>
      </c>
      <c r="X91" s="945"/>
      <c r="Y91" s="945"/>
      <c r="Z91" s="946">
        <f>+Z92</f>
        <v>5616</v>
      </c>
    </row>
    <row r="92" spans="1:26" x14ac:dyDescent="0.25">
      <c r="A92" s="435"/>
      <c r="B92" s="418" t="s">
        <v>292</v>
      </c>
      <c r="C92" s="437"/>
      <c r="D92" s="437"/>
      <c r="E92" s="512">
        <v>3500</v>
      </c>
      <c r="F92" s="513"/>
      <c r="G92" s="513"/>
      <c r="H92" s="512">
        <v>3642</v>
      </c>
      <c r="I92" s="513"/>
      <c r="J92" s="513"/>
      <c r="K92" s="512">
        <v>3500</v>
      </c>
      <c r="L92" s="513"/>
      <c r="M92" s="513"/>
      <c r="N92" s="575">
        <v>3680</v>
      </c>
      <c r="O92" s="947"/>
      <c r="P92" s="947"/>
      <c r="Q92" s="948">
        <f>3680+1000</f>
        <v>4680</v>
      </c>
      <c r="R92" s="869"/>
      <c r="S92" s="869"/>
      <c r="T92" s="868">
        <f>3680+1000</f>
        <v>4680</v>
      </c>
      <c r="U92" s="869"/>
      <c r="V92" s="869"/>
      <c r="W92" s="868">
        <f>3680+1000</f>
        <v>4680</v>
      </c>
      <c r="X92" s="947"/>
      <c r="Y92" s="947"/>
      <c r="Z92" s="948">
        <f>3680+1000+936</f>
        <v>5616</v>
      </c>
    </row>
    <row r="93" spans="1:26" s="442" customFormat="1" x14ac:dyDescent="0.25">
      <c r="A93" s="431" t="s">
        <v>564</v>
      </c>
      <c r="B93" s="439" t="s">
        <v>713</v>
      </c>
      <c r="C93" s="440"/>
      <c r="D93" s="440"/>
      <c r="E93" s="516">
        <v>1000</v>
      </c>
      <c r="F93" s="517"/>
      <c r="G93" s="517"/>
      <c r="H93" s="516">
        <v>1000</v>
      </c>
      <c r="I93" s="517"/>
      <c r="J93" s="517"/>
      <c r="K93" s="516">
        <v>1000</v>
      </c>
      <c r="L93" s="517"/>
      <c r="M93" s="517"/>
      <c r="N93" s="516">
        <v>630</v>
      </c>
      <c r="O93" s="951"/>
      <c r="P93" s="951"/>
      <c r="Q93" s="952">
        <f>+Q94</f>
        <v>1372</v>
      </c>
      <c r="R93" s="872"/>
      <c r="S93" s="872"/>
      <c r="T93" s="873">
        <f>+T94</f>
        <v>1372</v>
      </c>
      <c r="U93" s="872"/>
      <c r="V93" s="872"/>
      <c r="W93" s="873">
        <f>+W94</f>
        <v>1372</v>
      </c>
      <c r="X93" s="951"/>
      <c r="Y93" s="951"/>
      <c r="Z93" s="952">
        <f>+Z94</f>
        <v>1372</v>
      </c>
    </row>
    <row r="94" spans="1:26" s="443" customFormat="1" x14ac:dyDescent="0.25">
      <c r="A94" s="435"/>
      <c r="B94" s="438" t="s">
        <v>292</v>
      </c>
      <c r="C94" s="415"/>
      <c r="D94" s="415"/>
      <c r="E94" s="514">
        <v>1000</v>
      </c>
      <c r="F94" s="515"/>
      <c r="G94" s="515"/>
      <c r="H94" s="514">
        <v>1000</v>
      </c>
      <c r="I94" s="515"/>
      <c r="J94" s="515"/>
      <c r="K94" s="514">
        <v>1000</v>
      </c>
      <c r="L94" s="515"/>
      <c r="M94" s="515"/>
      <c r="N94" s="665">
        <v>630</v>
      </c>
      <c r="O94" s="949"/>
      <c r="P94" s="949"/>
      <c r="Q94" s="950">
        <v>1372</v>
      </c>
      <c r="R94" s="874"/>
      <c r="S94" s="874"/>
      <c r="T94" s="875">
        <v>1372</v>
      </c>
      <c r="U94" s="874"/>
      <c r="V94" s="874"/>
      <c r="W94" s="875">
        <v>1372</v>
      </c>
      <c r="X94" s="949"/>
      <c r="Y94" s="949"/>
      <c r="Z94" s="950">
        <v>1372</v>
      </c>
    </row>
    <row r="95" spans="1:26" s="441" customFormat="1" x14ac:dyDescent="0.25">
      <c r="A95" s="431" t="s">
        <v>565</v>
      </c>
      <c r="B95" s="432" t="s">
        <v>714</v>
      </c>
      <c r="C95" s="434"/>
      <c r="D95" s="434"/>
      <c r="E95" s="510">
        <v>1750</v>
      </c>
      <c r="F95" s="511"/>
      <c r="G95" s="511"/>
      <c r="H95" s="510">
        <v>875</v>
      </c>
      <c r="I95" s="511"/>
      <c r="J95" s="511"/>
      <c r="K95" s="510">
        <v>1750</v>
      </c>
      <c r="L95" s="511"/>
      <c r="M95" s="511"/>
      <c r="N95" s="510">
        <v>875</v>
      </c>
      <c r="O95" s="945"/>
      <c r="P95" s="945"/>
      <c r="Q95" s="946">
        <v>0</v>
      </c>
      <c r="R95" s="870"/>
      <c r="S95" s="870"/>
      <c r="T95" s="871">
        <v>0</v>
      </c>
      <c r="U95" s="870"/>
      <c r="V95" s="870"/>
      <c r="W95" s="871">
        <v>0</v>
      </c>
      <c r="X95" s="945"/>
      <c r="Y95" s="945"/>
      <c r="Z95" s="946">
        <v>0</v>
      </c>
    </row>
    <row r="96" spans="1:26" x14ac:dyDescent="0.25">
      <c r="A96" s="435"/>
      <c r="B96" s="418" t="s">
        <v>292</v>
      </c>
      <c r="C96" s="437"/>
      <c r="D96" s="437"/>
      <c r="E96" s="512">
        <v>1750</v>
      </c>
      <c r="F96" s="513"/>
      <c r="G96" s="513"/>
      <c r="H96" s="512">
        <v>875</v>
      </c>
      <c r="I96" s="513"/>
      <c r="J96" s="513"/>
      <c r="K96" s="512">
        <v>1750</v>
      </c>
      <c r="L96" s="513"/>
      <c r="M96" s="513"/>
      <c r="N96" s="575">
        <v>875</v>
      </c>
      <c r="O96" s="947"/>
      <c r="P96" s="947"/>
      <c r="Q96" s="948">
        <v>0</v>
      </c>
      <c r="R96" s="869"/>
      <c r="S96" s="869"/>
      <c r="T96" s="868">
        <v>0</v>
      </c>
      <c r="U96" s="869"/>
      <c r="V96" s="869"/>
      <c r="W96" s="868">
        <v>0</v>
      </c>
      <c r="X96" s="947"/>
      <c r="Y96" s="947"/>
      <c r="Z96" s="948">
        <v>0</v>
      </c>
    </row>
    <row r="97" spans="1:26" s="441" customFormat="1" x14ac:dyDescent="0.25">
      <c r="A97" s="431" t="s">
        <v>567</v>
      </c>
      <c r="B97" s="432" t="s">
        <v>715</v>
      </c>
      <c r="C97" s="434"/>
      <c r="D97" s="434"/>
      <c r="E97" s="510">
        <v>1829</v>
      </c>
      <c r="F97" s="511"/>
      <c r="G97" s="511"/>
      <c r="H97" s="510">
        <v>1829</v>
      </c>
      <c r="I97" s="511"/>
      <c r="J97" s="511"/>
      <c r="K97" s="510">
        <v>1829</v>
      </c>
      <c r="L97" s="511"/>
      <c r="M97" s="511"/>
      <c r="N97" s="510">
        <v>1829</v>
      </c>
      <c r="O97" s="945"/>
      <c r="P97" s="945"/>
      <c r="Q97" s="946">
        <v>1829</v>
      </c>
      <c r="R97" s="870"/>
      <c r="S97" s="870"/>
      <c r="T97" s="871">
        <v>1829</v>
      </c>
      <c r="U97" s="870"/>
      <c r="V97" s="870"/>
      <c r="W97" s="871">
        <v>1829</v>
      </c>
      <c r="X97" s="945"/>
      <c r="Y97" s="945"/>
      <c r="Z97" s="946">
        <v>1829</v>
      </c>
    </row>
    <row r="98" spans="1:26" x14ac:dyDescent="0.25">
      <c r="A98" s="435"/>
      <c r="B98" s="418" t="s">
        <v>292</v>
      </c>
      <c r="C98" s="437"/>
      <c r="D98" s="437"/>
      <c r="E98" s="512">
        <v>1829</v>
      </c>
      <c r="F98" s="513"/>
      <c r="G98" s="513"/>
      <c r="H98" s="512">
        <v>1829</v>
      </c>
      <c r="I98" s="513"/>
      <c r="J98" s="513"/>
      <c r="K98" s="512">
        <v>1829</v>
      </c>
      <c r="L98" s="513"/>
      <c r="M98" s="513"/>
      <c r="N98" s="575">
        <v>1829</v>
      </c>
      <c r="O98" s="947"/>
      <c r="P98" s="947"/>
      <c r="Q98" s="948">
        <v>1829</v>
      </c>
      <c r="R98" s="513"/>
      <c r="S98" s="513"/>
      <c r="T98" s="512">
        <v>1829</v>
      </c>
      <c r="U98" s="513"/>
      <c r="V98" s="513"/>
      <c r="W98" s="512">
        <v>1829</v>
      </c>
      <c r="X98" s="947"/>
      <c r="Y98" s="947"/>
      <c r="Z98" s="948">
        <v>1829</v>
      </c>
    </row>
    <row r="99" spans="1:26" s="441" customFormat="1" x14ac:dyDescent="0.25">
      <c r="A99" s="431" t="s">
        <v>569</v>
      </c>
      <c r="B99" s="432" t="s">
        <v>716</v>
      </c>
      <c r="C99" s="434"/>
      <c r="D99" s="434"/>
      <c r="E99" s="510">
        <v>2421</v>
      </c>
      <c r="F99" s="511"/>
      <c r="G99" s="511"/>
      <c r="H99" s="510">
        <v>2421</v>
      </c>
      <c r="I99" s="511"/>
      <c r="J99" s="511"/>
      <c r="K99" s="510">
        <v>2421</v>
      </c>
      <c r="L99" s="511"/>
      <c r="M99" s="511"/>
      <c r="N99" s="510">
        <v>2420</v>
      </c>
      <c r="O99" s="945"/>
      <c r="P99" s="945"/>
      <c r="Q99" s="946">
        <v>2420</v>
      </c>
      <c r="R99" s="511"/>
      <c r="S99" s="511"/>
      <c r="T99" s="510">
        <v>2420</v>
      </c>
      <c r="U99" s="511"/>
      <c r="V99" s="511"/>
      <c r="W99" s="510">
        <v>2420</v>
      </c>
      <c r="X99" s="945"/>
      <c r="Y99" s="945"/>
      <c r="Z99" s="946">
        <v>2420</v>
      </c>
    </row>
    <row r="100" spans="1:26" x14ac:dyDescent="0.25">
      <c r="A100" s="435"/>
      <c r="B100" s="418" t="s">
        <v>292</v>
      </c>
      <c r="C100" s="437"/>
      <c r="D100" s="437"/>
      <c r="E100" s="512">
        <v>2421</v>
      </c>
      <c r="F100" s="513"/>
      <c r="G100" s="513"/>
      <c r="H100" s="512">
        <v>2421</v>
      </c>
      <c r="I100" s="513"/>
      <c r="J100" s="513"/>
      <c r="K100" s="512">
        <v>2421</v>
      </c>
      <c r="L100" s="513"/>
      <c r="M100" s="513"/>
      <c r="N100" s="575">
        <v>2420</v>
      </c>
      <c r="O100" s="947"/>
      <c r="P100" s="947"/>
      <c r="Q100" s="948">
        <v>2420</v>
      </c>
      <c r="R100" s="513"/>
      <c r="S100" s="513"/>
      <c r="T100" s="512">
        <v>2420</v>
      </c>
      <c r="U100" s="513"/>
      <c r="V100" s="513"/>
      <c r="W100" s="512">
        <v>2420</v>
      </c>
      <c r="X100" s="947"/>
      <c r="Y100" s="947"/>
      <c r="Z100" s="948">
        <v>2420</v>
      </c>
    </row>
    <row r="101" spans="1:26" s="659" customFormat="1" x14ac:dyDescent="0.25">
      <c r="A101" s="431" t="s">
        <v>570</v>
      </c>
      <c r="B101" s="667" t="s">
        <v>717</v>
      </c>
      <c r="C101" s="668"/>
      <c r="D101" s="668"/>
      <c r="E101" s="664">
        <v>2400</v>
      </c>
      <c r="F101" s="669"/>
      <c r="G101" s="669"/>
      <c r="H101" s="664">
        <v>2400</v>
      </c>
      <c r="I101" s="669"/>
      <c r="J101" s="669"/>
      <c r="K101" s="664">
        <v>2400</v>
      </c>
      <c r="L101" s="669"/>
      <c r="M101" s="669"/>
      <c r="N101" s="664">
        <v>1008</v>
      </c>
      <c r="O101" s="945"/>
      <c r="P101" s="945"/>
      <c r="Q101" s="946">
        <v>2400</v>
      </c>
      <c r="R101" s="669"/>
      <c r="S101" s="669"/>
      <c r="T101" s="664">
        <v>2400</v>
      </c>
      <c r="U101" s="669"/>
      <c r="V101" s="669"/>
      <c r="W101" s="664">
        <v>2400</v>
      </c>
      <c r="X101" s="945"/>
      <c r="Y101" s="945"/>
      <c r="Z101" s="946">
        <v>2400</v>
      </c>
    </row>
    <row r="102" spans="1:26" s="660" customFormat="1" x14ac:dyDescent="0.25">
      <c r="A102" s="661"/>
      <c r="B102" s="672" t="s">
        <v>292</v>
      </c>
      <c r="C102" s="673"/>
      <c r="D102" s="673"/>
      <c r="E102" s="575">
        <v>2400</v>
      </c>
      <c r="F102" s="576"/>
      <c r="G102" s="576"/>
      <c r="H102" s="575">
        <v>2400</v>
      </c>
      <c r="I102" s="576"/>
      <c r="J102" s="576"/>
      <c r="K102" s="575">
        <v>2400</v>
      </c>
      <c r="L102" s="576"/>
      <c r="M102" s="576"/>
      <c r="N102" s="575">
        <v>1008</v>
      </c>
      <c r="O102" s="947"/>
      <c r="P102" s="947"/>
      <c r="Q102" s="948">
        <v>2400</v>
      </c>
      <c r="R102" s="576"/>
      <c r="S102" s="576"/>
      <c r="T102" s="575">
        <v>2400</v>
      </c>
      <c r="U102" s="576"/>
      <c r="V102" s="576"/>
      <c r="W102" s="575">
        <v>2400</v>
      </c>
      <c r="X102" s="947"/>
      <c r="Y102" s="947"/>
      <c r="Z102" s="948">
        <v>2400</v>
      </c>
    </row>
    <row r="103" spans="1:26" s="441" customFormat="1" x14ac:dyDescent="0.25">
      <c r="A103" s="431" t="s">
        <v>572</v>
      </c>
      <c r="B103" s="667" t="s">
        <v>718</v>
      </c>
      <c r="C103" s="668"/>
      <c r="D103" s="668"/>
      <c r="E103" s="664">
        <v>1500</v>
      </c>
      <c r="F103" s="669"/>
      <c r="G103" s="669"/>
      <c r="H103" s="664">
        <v>1500</v>
      </c>
      <c r="I103" s="669"/>
      <c r="J103" s="669"/>
      <c r="K103" s="664">
        <v>1500</v>
      </c>
      <c r="L103" s="669"/>
      <c r="M103" s="669"/>
      <c r="N103" s="664">
        <v>1178</v>
      </c>
      <c r="O103" s="945"/>
      <c r="P103" s="945"/>
      <c r="Q103" s="946">
        <v>2540</v>
      </c>
      <c r="R103" s="669"/>
      <c r="S103" s="669"/>
      <c r="T103" s="664">
        <v>2540</v>
      </c>
      <c r="U103" s="669"/>
      <c r="V103" s="669"/>
      <c r="W103" s="664">
        <v>2540</v>
      </c>
      <c r="X103" s="945"/>
      <c r="Y103" s="945"/>
      <c r="Z103" s="946">
        <v>2540</v>
      </c>
    </row>
    <row r="104" spans="1:26" s="441" customFormat="1" x14ac:dyDescent="0.25">
      <c r="A104" s="431"/>
      <c r="B104" s="418" t="s">
        <v>286</v>
      </c>
      <c r="C104" s="668"/>
      <c r="D104" s="668"/>
      <c r="E104" s="664"/>
      <c r="F104" s="669"/>
      <c r="G104" s="669"/>
      <c r="H104" s="664"/>
      <c r="I104" s="669"/>
      <c r="J104" s="669"/>
      <c r="K104" s="664"/>
      <c r="L104" s="669"/>
      <c r="M104" s="669"/>
      <c r="N104" s="575">
        <v>330</v>
      </c>
      <c r="O104" s="945"/>
      <c r="P104" s="945"/>
      <c r="Q104" s="948">
        <v>0</v>
      </c>
      <c r="R104" s="669"/>
      <c r="S104" s="669"/>
      <c r="T104" s="575">
        <v>0</v>
      </c>
      <c r="U104" s="669"/>
      <c r="V104" s="669"/>
      <c r="W104" s="575">
        <v>0</v>
      </c>
      <c r="X104" s="945"/>
      <c r="Y104" s="945"/>
      <c r="Z104" s="948">
        <v>0</v>
      </c>
    </row>
    <row r="105" spans="1:26" s="441" customFormat="1" x14ac:dyDescent="0.25">
      <c r="A105" s="431"/>
      <c r="B105" s="418" t="s">
        <v>287</v>
      </c>
      <c r="C105" s="668"/>
      <c r="D105" s="668"/>
      <c r="E105" s="664"/>
      <c r="F105" s="669"/>
      <c r="G105" s="669"/>
      <c r="H105" s="664"/>
      <c r="I105" s="669"/>
      <c r="J105" s="669"/>
      <c r="K105" s="664"/>
      <c r="L105" s="669"/>
      <c r="M105" s="669"/>
      <c r="N105" s="575">
        <v>58</v>
      </c>
      <c r="O105" s="945"/>
      <c r="P105" s="945"/>
      <c r="Q105" s="948">
        <v>0</v>
      </c>
      <c r="R105" s="669"/>
      <c r="S105" s="669"/>
      <c r="T105" s="575">
        <v>0</v>
      </c>
      <c r="U105" s="669"/>
      <c r="V105" s="669"/>
      <c r="W105" s="575">
        <v>0</v>
      </c>
      <c r="X105" s="945"/>
      <c r="Y105" s="945"/>
      <c r="Z105" s="948">
        <v>0</v>
      </c>
    </row>
    <row r="106" spans="1:26" x14ac:dyDescent="0.25">
      <c r="A106" s="435"/>
      <c r="B106" s="672" t="s">
        <v>292</v>
      </c>
      <c r="C106" s="673"/>
      <c r="D106" s="673"/>
      <c r="E106" s="575">
        <v>1500</v>
      </c>
      <c r="F106" s="576"/>
      <c r="G106" s="576"/>
      <c r="H106" s="575">
        <v>1500</v>
      </c>
      <c r="I106" s="576"/>
      <c r="J106" s="576"/>
      <c r="K106" s="575">
        <v>1500</v>
      </c>
      <c r="L106" s="576"/>
      <c r="M106" s="576"/>
      <c r="N106" s="575">
        <v>790</v>
      </c>
      <c r="O106" s="947"/>
      <c r="P106" s="947"/>
      <c r="Q106" s="948">
        <v>2540</v>
      </c>
      <c r="R106" s="576"/>
      <c r="S106" s="576"/>
      <c r="T106" s="575">
        <v>2540</v>
      </c>
      <c r="U106" s="576"/>
      <c r="V106" s="576"/>
      <c r="W106" s="575">
        <v>2540</v>
      </c>
      <c r="X106" s="947"/>
      <c r="Y106" s="947"/>
      <c r="Z106" s="948">
        <v>2540</v>
      </c>
    </row>
    <row r="107" spans="1:26" s="659" customFormat="1" x14ac:dyDescent="0.25">
      <c r="A107" s="431" t="s">
        <v>573</v>
      </c>
      <c r="B107" s="667" t="s">
        <v>719</v>
      </c>
      <c r="C107" s="668"/>
      <c r="D107" s="668"/>
      <c r="E107" s="664">
        <v>37260</v>
      </c>
      <c r="F107" s="669"/>
      <c r="G107" s="669"/>
      <c r="H107" s="664">
        <v>43185</v>
      </c>
      <c r="I107" s="669"/>
      <c r="J107" s="669"/>
      <c r="K107" s="664">
        <v>43185</v>
      </c>
      <c r="L107" s="669"/>
      <c r="M107" s="669"/>
      <c r="N107" s="664">
        <v>46077</v>
      </c>
      <c r="O107" s="945"/>
      <c r="P107" s="945"/>
      <c r="Q107" s="946">
        <v>34285</v>
      </c>
      <c r="R107" s="669"/>
      <c r="S107" s="669"/>
      <c r="T107" s="664">
        <f>SUM(T108:T111)</f>
        <v>36537</v>
      </c>
      <c r="U107" s="669"/>
      <c r="V107" s="669"/>
      <c r="W107" s="664">
        <f>SUM(W108:W111)</f>
        <v>37037</v>
      </c>
      <c r="X107" s="945"/>
      <c r="Y107" s="945"/>
      <c r="Z107" s="946">
        <f>SUM(Z108:Z111)</f>
        <v>38180</v>
      </c>
    </row>
    <row r="108" spans="1:26" s="660" customFormat="1" x14ac:dyDescent="0.25">
      <c r="A108" s="661"/>
      <c r="B108" s="672" t="s">
        <v>286</v>
      </c>
      <c r="C108" s="673"/>
      <c r="D108" s="673"/>
      <c r="E108" s="575"/>
      <c r="F108" s="576"/>
      <c r="G108" s="576"/>
      <c r="H108" s="575">
        <v>0</v>
      </c>
      <c r="I108" s="576"/>
      <c r="J108" s="576"/>
      <c r="K108" s="575">
        <v>0</v>
      </c>
      <c r="L108" s="576"/>
      <c r="M108" s="576"/>
      <c r="N108" s="575">
        <v>3856</v>
      </c>
      <c r="O108" s="947"/>
      <c r="P108" s="947"/>
      <c r="Q108" s="948">
        <v>0</v>
      </c>
      <c r="R108" s="576"/>
      <c r="S108" s="576"/>
      <c r="T108" s="575">
        <v>0</v>
      </c>
      <c r="U108" s="576"/>
      <c r="V108" s="576"/>
      <c r="W108" s="575">
        <v>0</v>
      </c>
      <c r="X108" s="947"/>
      <c r="Y108" s="947"/>
      <c r="Z108" s="948">
        <v>0</v>
      </c>
    </row>
    <row r="109" spans="1:26" s="660" customFormat="1" x14ac:dyDescent="0.25">
      <c r="A109" s="661"/>
      <c r="B109" s="672" t="s">
        <v>287</v>
      </c>
      <c r="C109" s="673"/>
      <c r="D109" s="673"/>
      <c r="E109" s="575">
        <v>0</v>
      </c>
      <c r="F109" s="576"/>
      <c r="G109" s="576"/>
      <c r="H109" s="575">
        <v>0</v>
      </c>
      <c r="I109" s="576"/>
      <c r="J109" s="576"/>
      <c r="K109" s="575">
        <v>0</v>
      </c>
      <c r="L109" s="576"/>
      <c r="M109" s="576"/>
      <c r="N109" s="575">
        <v>686</v>
      </c>
      <c r="O109" s="947"/>
      <c r="P109" s="947"/>
      <c r="Q109" s="948">
        <v>0</v>
      </c>
      <c r="R109" s="576"/>
      <c r="S109" s="576"/>
      <c r="T109" s="575">
        <v>0</v>
      </c>
      <c r="U109" s="576"/>
      <c r="V109" s="576"/>
      <c r="W109" s="575">
        <v>0</v>
      </c>
      <c r="X109" s="947"/>
      <c r="Y109" s="947"/>
      <c r="Z109" s="948">
        <v>0</v>
      </c>
    </row>
    <row r="110" spans="1:26" s="660" customFormat="1" x14ac:dyDescent="0.25">
      <c r="A110" s="661"/>
      <c r="B110" s="672" t="s">
        <v>292</v>
      </c>
      <c r="C110" s="673"/>
      <c r="D110" s="673"/>
      <c r="E110" s="575">
        <v>37260</v>
      </c>
      <c r="F110" s="576"/>
      <c r="G110" s="576"/>
      <c r="H110" s="575">
        <v>43185</v>
      </c>
      <c r="I110" s="576"/>
      <c r="J110" s="576"/>
      <c r="K110" s="575">
        <v>43185</v>
      </c>
      <c r="L110" s="576"/>
      <c r="M110" s="576"/>
      <c r="N110" s="575">
        <v>41535</v>
      </c>
      <c r="O110" s="947"/>
      <c r="P110" s="947"/>
      <c r="Q110" s="948">
        <v>34285</v>
      </c>
      <c r="R110" s="576"/>
      <c r="S110" s="576"/>
      <c r="T110" s="575">
        <f>34285+2252</f>
        <v>36537</v>
      </c>
      <c r="U110" s="576"/>
      <c r="V110" s="576"/>
      <c r="W110" s="575">
        <f>36537+500</f>
        <v>37037</v>
      </c>
      <c r="X110" s="947"/>
      <c r="Y110" s="947"/>
      <c r="Z110" s="948">
        <f>36537+500</f>
        <v>37037</v>
      </c>
    </row>
    <row r="111" spans="1:26" s="660" customFormat="1" x14ac:dyDescent="0.25">
      <c r="A111" s="661"/>
      <c r="B111" s="672" t="s">
        <v>351</v>
      </c>
      <c r="C111" s="673"/>
      <c r="D111" s="673"/>
      <c r="E111" s="575">
        <v>0</v>
      </c>
      <c r="F111" s="576"/>
      <c r="G111" s="576"/>
      <c r="H111" s="575">
        <v>0</v>
      </c>
      <c r="I111" s="576"/>
      <c r="J111" s="576"/>
      <c r="K111" s="575">
        <v>0</v>
      </c>
      <c r="L111" s="576"/>
      <c r="M111" s="576"/>
      <c r="N111" s="575"/>
      <c r="O111" s="947"/>
      <c r="P111" s="947"/>
      <c r="Q111" s="948">
        <v>0</v>
      </c>
      <c r="R111" s="576"/>
      <c r="S111" s="576"/>
      <c r="T111" s="575">
        <v>0</v>
      </c>
      <c r="U111" s="576"/>
      <c r="V111" s="576"/>
      <c r="W111" s="575">
        <v>0</v>
      </c>
      <c r="X111" s="947"/>
      <c r="Y111" s="947"/>
      <c r="Z111" s="948">
        <f>1143</f>
        <v>1143</v>
      </c>
    </row>
    <row r="112" spans="1:26" s="442" customFormat="1" ht="30" x14ac:dyDescent="0.25">
      <c r="A112" s="431" t="s">
        <v>574</v>
      </c>
      <c r="B112" s="677" t="s">
        <v>1281</v>
      </c>
      <c r="C112" s="678"/>
      <c r="D112" s="678"/>
      <c r="E112" s="679">
        <v>8163</v>
      </c>
      <c r="F112" s="680"/>
      <c r="G112" s="680"/>
      <c r="H112" s="679">
        <v>8163</v>
      </c>
      <c r="I112" s="680"/>
      <c r="J112" s="680"/>
      <c r="K112" s="679">
        <v>8163</v>
      </c>
      <c r="L112" s="680"/>
      <c r="M112" s="680"/>
      <c r="N112" s="679">
        <v>8163</v>
      </c>
      <c r="O112" s="951"/>
      <c r="P112" s="951"/>
      <c r="Q112" s="952">
        <v>8163</v>
      </c>
      <c r="R112" s="680"/>
      <c r="S112" s="680"/>
      <c r="T112" s="679">
        <v>8163</v>
      </c>
      <c r="U112" s="680"/>
      <c r="V112" s="680"/>
      <c r="W112" s="679">
        <v>8163</v>
      </c>
      <c r="X112" s="951"/>
      <c r="Y112" s="951"/>
      <c r="Z112" s="952">
        <v>8163</v>
      </c>
    </row>
    <row r="113" spans="1:26" x14ac:dyDescent="0.25">
      <c r="A113" s="435"/>
      <c r="B113" s="418" t="s">
        <v>1282</v>
      </c>
      <c r="C113" s="437"/>
      <c r="D113" s="437"/>
      <c r="E113" s="512">
        <v>8163</v>
      </c>
      <c r="F113" s="513"/>
      <c r="G113" s="513"/>
      <c r="H113" s="512">
        <v>8163</v>
      </c>
      <c r="I113" s="513"/>
      <c r="J113" s="513"/>
      <c r="K113" s="512">
        <v>8163</v>
      </c>
      <c r="L113" s="513"/>
      <c r="M113" s="513"/>
      <c r="N113" s="575">
        <v>8163</v>
      </c>
      <c r="O113" s="947"/>
      <c r="P113" s="947"/>
      <c r="Q113" s="948">
        <v>8163</v>
      </c>
      <c r="R113" s="513"/>
      <c r="S113" s="513"/>
      <c r="T113" s="512">
        <v>8163</v>
      </c>
      <c r="U113" s="513"/>
      <c r="V113" s="513"/>
      <c r="W113" s="512">
        <v>8163</v>
      </c>
      <c r="X113" s="947"/>
      <c r="Y113" s="947"/>
      <c r="Z113" s="948">
        <v>8163</v>
      </c>
    </row>
    <row r="114" spans="1:26" s="441" customFormat="1" x14ac:dyDescent="0.25">
      <c r="A114" s="431" t="s">
        <v>720</v>
      </c>
      <c r="B114" s="432" t="s">
        <v>722</v>
      </c>
      <c r="C114" s="434"/>
      <c r="D114" s="434"/>
      <c r="E114" s="510">
        <v>360</v>
      </c>
      <c r="F114" s="511"/>
      <c r="G114" s="511"/>
      <c r="H114" s="510">
        <v>360</v>
      </c>
      <c r="I114" s="511"/>
      <c r="J114" s="511"/>
      <c r="K114" s="510">
        <v>360</v>
      </c>
      <c r="L114" s="511"/>
      <c r="M114" s="511"/>
      <c r="N114" s="510">
        <v>147</v>
      </c>
      <c r="O114" s="945"/>
      <c r="P114" s="945"/>
      <c r="Q114" s="946">
        <v>360</v>
      </c>
      <c r="R114" s="511"/>
      <c r="S114" s="511"/>
      <c r="T114" s="510">
        <v>360</v>
      </c>
      <c r="U114" s="511"/>
      <c r="V114" s="511"/>
      <c r="W114" s="510">
        <v>360</v>
      </c>
      <c r="X114" s="945"/>
      <c r="Y114" s="945"/>
      <c r="Z114" s="946">
        <v>360</v>
      </c>
    </row>
    <row r="115" spans="1:26" x14ac:dyDescent="0.25">
      <c r="A115" s="435"/>
      <c r="B115" s="672" t="s">
        <v>292</v>
      </c>
      <c r="C115" s="437"/>
      <c r="D115" s="437"/>
      <c r="E115" s="512"/>
      <c r="F115" s="513"/>
      <c r="G115" s="513"/>
      <c r="H115" s="512">
        <v>147</v>
      </c>
      <c r="I115" s="513"/>
      <c r="J115" s="513"/>
      <c r="K115" s="512"/>
      <c r="L115" s="513"/>
      <c r="M115" s="513"/>
      <c r="N115" s="512">
        <v>147</v>
      </c>
      <c r="O115" s="947"/>
      <c r="P115" s="947"/>
      <c r="Q115" s="948">
        <v>0</v>
      </c>
      <c r="R115" s="513"/>
      <c r="S115" s="513"/>
      <c r="T115" s="512">
        <v>0</v>
      </c>
      <c r="U115" s="513"/>
      <c r="V115" s="513"/>
      <c r="W115" s="512">
        <v>0</v>
      </c>
      <c r="X115" s="947"/>
      <c r="Y115" s="947"/>
      <c r="Z115" s="948">
        <v>0</v>
      </c>
    </row>
    <row r="116" spans="1:26" x14ac:dyDescent="0.25">
      <c r="A116" s="435"/>
      <c r="B116" s="418" t="s">
        <v>1282</v>
      </c>
      <c r="C116" s="437"/>
      <c r="D116" s="437"/>
      <c r="E116" s="512">
        <v>360</v>
      </c>
      <c r="F116" s="513"/>
      <c r="G116" s="513"/>
      <c r="H116" s="512">
        <v>213</v>
      </c>
      <c r="I116" s="513"/>
      <c r="J116" s="513"/>
      <c r="K116" s="512">
        <v>360</v>
      </c>
      <c r="L116" s="513"/>
      <c r="M116" s="513"/>
      <c r="N116" s="575"/>
      <c r="O116" s="947"/>
      <c r="P116" s="947"/>
      <c r="Q116" s="948">
        <v>360</v>
      </c>
      <c r="R116" s="513"/>
      <c r="S116" s="513"/>
      <c r="T116" s="512">
        <v>360</v>
      </c>
      <c r="U116" s="513"/>
      <c r="V116" s="513"/>
      <c r="W116" s="512">
        <v>360</v>
      </c>
      <c r="X116" s="947"/>
      <c r="Y116" s="947"/>
      <c r="Z116" s="948">
        <v>360</v>
      </c>
    </row>
    <row r="117" spans="1:26" s="441" customFormat="1" x14ac:dyDescent="0.25">
      <c r="A117" s="431" t="s">
        <v>723</v>
      </c>
      <c r="B117" s="432" t="s">
        <v>724</v>
      </c>
      <c r="C117" s="434"/>
      <c r="D117" s="434"/>
      <c r="E117" s="510">
        <v>0</v>
      </c>
      <c r="F117" s="511"/>
      <c r="G117" s="511"/>
      <c r="H117" s="510">
        <v>0</v>
      </c>
      <c r="I117" s="511"/>
      <c r="J117" s="511"/>
      <c r="K117" s="510">
        <v>0</v>
      </c>
      <c r="L117" s="511"/>
      <c r="M117" s="511"/>
      <c r="N117" s="510">
        <v>0</v>
      </c>
      <c r="O117" s="945"/>
      <c r="P117" s="945"/>
      <c r="Q117" s="946">
        <v>0</v>
      </c>
      <c r="R117" s="511"/>
      <c r="S117" s="511"/>
      <c r="T117" s="510">
        <v>0</v>
      </c>
      <c r="U117" s="511"/>
      <c r="V117" s="511"/>
      <c r="W117" s="510">
        <v>0</v>
      </c>
      <c r="X117" s="945"/>
      <c r="Y117" s="945"/>
      <c r="Z117" s="946">
        <v>0</v>
      </c>
    </row>
    <row r="118" spans="1:26" x14ac:dyDescent="0.25">
      <c r="A118" s="435"/>
      <c r="B118" s="418" t="s">
        <v>292</v>
      </c>
      <c r="C118" s="437"/>
      <c r="D118" s="437"/>
      <c r="E118" s="512">
        <v>0</v>
      </c>
      <c r="F118" s="513"/>
      <c r="G118" s="513"/>
      <c r="H118" s="512">
        <v>0</v>
      </c>
      <c r="I118" s="513"/>
      <c r="J118" s="513"/>
      <c r="K118" s="512">
        <v>0</v>
      </c>
      <c r="L118" s="513"/>
      <c r="M118" s="513"/>
      <c r="N118" s="575">
        <v>0</v>
      </c>
      <c r="O118" s="947"/>
      <c r="P118" s="947"/>
      <c r="Q118" s="948">
        <v>0</v>
      </c>
      <c r="R118" s="513"/>
      <c r="S118" s="513"/>
      <c r="T118" s="512">
        <v>0</v>
      </c>
      <c r="U118" s="513"/>
      <c r="V118" s="513"/>
      <c r="W118" s="512">
        <v>0</v>
      </c>
      <c r="X118" s="947"/>
      <c r="Y118" s="947"/>
      <c r="Z118" s="948">
        <v>0</v>
      </c>
    </row>
    <row r="119" spans="1:26" s="441" customFormat="1" ht="30" x14ac:dyDescent="0.25">
      <c r="A119" s="431" t="s">
        <v>721</v>
      </c>
      <c r="B119" s="444" t="s">
        <v>1359</v>
      </c>
      <c r="C119" s="434"/>
      <c r="D119" s="434"/>
      <c r="E119" s="510">
        <v>31064</v>
      </c>
      <c r="F119" s="511"/>
      <c r="G119" s="511"/>
      <c r="H119" s="510">
        <v>26224</v>
      </c>
      <c r="I119" s="511"/>
      <c r="J119" s="511"/>
      <c r="K119" s="510">
        <v>30683</v>
      </c>
      <c r="L119" s="511"/>
      <c r="M119" s="511"/>
      <c r="N119" s="510">
        <v>26224</v>
      </c>
      <c r="O119" s="945"/>
      <c r="P119" s="945"/>
      <c r="Q119" s="946">
        <v>32000</v>
      </c>
      <c r="R119" s="511"/>
      <c r="S119" s="511"/>
      <c r="T119" s="510">
        <v>32000</v>
      </c>
      <c r="U119" s="511"/>
      <c r="V119" s="511"/>
      <c r="W119" s="510">
        <v>32000</v>
      </c>
      <c r="X119" s="945"/>
      <c r="Y119" s="945"/>
      <c r="Z119" s="946">
        <f>Z120</f>
        <v>32294</v>
      </c>
    </row>
    <row r="120" spans="1:26" x14ac:dyDescent="0.25">
      <c r="A120" s="435"/>
      <c r="B120" s="418" t="s">
        <v>1282</v>
      </c>
      <c r="C120" s="437"/>
      <c r="D120" s="437"/>
      <c r="E120" s="512">
        <v>31064</v>
      </c>
      <c r="F120" s="513"/>
      <c r="G120" s="513"/>
      <c r="H120" s="512">
        <v>26224</v>
      </c>
      <c r="I120" s="513"/>
      <c r="J120" s="513"/>
      <c r="K120" s="512">
        <v>30683</v>
      </c>
      <c r="L120" s="513"/>
      <c r="M120" s="513"/>
      <c r="N120" s="575">
        <v>26224</v>
      </c>
      <c r="O120" s="947"/>
      <c r="P120" s="947"/>
      <c r="Q120" s="948">
        <v>32000</v>
      </c>
      <c r="R120" s="513"/>
      <c r="S120" s="513"/>
      <c r="T120" s="512">
        <v>32000</v>
      </c>
      <c r="U120" s="513"/>
      <c r="V120" s="513"/>
      <c r="W120" s="512">
        <v>32000</v>
      </c>
      <c r="X120" s="947"/>
      <c r="Y120" s="947"/>
      <c r="Z120" s="948">
        <f>32000+35+259</f>
        <v>32294</v>
      </c>
    </row>
    <row r="121" spans="1:26" x14ac:dyDescent="0.25">
      <c r="A121" s="435"/>
      <c r="B121" s="418" t="s">
        <v>1352</v>
      </c>
      <c r="C121" s="437"/>
      <c r="D121" s="437"/>
      <c r="E121" s="512">
        <v>5000</v>
      </c>
      <c r="F121" s="513"/>
      <c r="G121" s="513"/>
      <c r="H121" s="512">
        <v>5000</v>
      </c>
      <c r="I121" s="513"/>
      <c r="J121" s="513"/>
      <c r="K121" s="512">
        <v>5000</v>
      </c>
      <c r="L121" s="513"/>
      <c r="M121" s="513"/>
      <c r="N121" s="512"/>
      <c r="O121" s="947"/>
      <c r="P121" s="947"/>
      <c r="Q121" s="948">
        <v>5000</v>
      </c>
      <c r="R121" s="513"/>
      <c r="S121" s="513"/>
      <c r="T121" s="512">
        <v>5000</v>
      </c>
      <c r="U121" s="513"/>
      <c r="V121" s="513"/>
      <c r="W121" s="512">
        <v>5000</v>
      </c>
      <c r="X121" s="947"/>
      <c r="Y121" s="947"/>
      <c r="Z121" s="948">
        <f>5000+259</f>
        <v>5259</v>
      </c>
    </row>
    <row r="122" spans="1:26" x14ac:dyDescent="0.25">
      <c r="A122" s="435"/>
      <c r="B122" s="418" t="s">
        <v>1353</v>
      </c>
      <c r="C122" s="437"/>
      <c r="D122" s="437"/>
      <c r="E122" s="512">
        <v>26064</v>
      </c>
      <c r="F122" s="513"/>
      <c r="G122" s="513"/>
      <c r="H122" s="512">
        <v>21224</v>
      </c>
      <c r="I122" s="513"/>
      <c r="J122" s="513"/>
      <c r="K122" s="512">
        <v>21224</v>
      </c>
      <c r="L122" s="513"/>
      <c r="M122" s="513"/>
      <c r="N122" s="512"/>
      <c r="O122" s="947"/>
      <c r="P122" s="947"/>
      <c r="Q122" s="948">
        <v>27000</v>
      </c>
      <c r="R122" s="513"/>
      <c r="S122" s="513"/>
      <c r="T122" s="512">
        <v>27000</v>
      </c>
      <c r="U122" s="513"/>
      <c r="V122" s="513"/>
      <c r="W122" s="512">
        <v>27000</v>
      </c>
      <c r="X122" s="947"/>
      <c r="Y122" s="947"/>
      <c r="Z122" s="948">
        <f>27000+35</f>
        <v>27035</v>
      </c>
    </row>
    <row r="123" spans="1:26" s="441" customFormat="1" x14ac:dyDescent="0.25">
      <c r="A123" s="431" t="s">
        <v>723</v>
      </c>
      <c r="B123" s="432" t="s">
        <v>727</v>
      </c>
      <c r="C123" s="434"/>
      <c r="D123" s="434"/>
      <c r="E123" s="510">
        <v>2000</v>
      </c>
      <c r="F123" s="511"/>
      <c r="G123" s="511"/>
      <c r="H123" s="510">
        <v>2100</v>
      </c>
      <c r="I123" s="511"/>
      <c r="J123" s="511"/>
      <c r="K123" s="510">
        <v>2100</v>
      </c>
      <c r="L123" s="511"/>
      <c r="M123" s="511"/>
      <c r="N123" s="510">
        <v>2100</v>
      </c>
      <c r="O123" s="945"/>
      <c r="P123" s="945"/>
      <c r="Q123" s="946">
        <v>2000</v>
      </c>
      <c r="R123" s="511"/>
      <c r="S123" s="511"/>
      <c r="T123" s="510">
        <v>2000</v>
      </c>
      <c r="U123" s="511"/>
      <c r="V123" s="511"/>
      <c r="W123" s="510">
        <v>2000</v>
      </c>
      <c r="X123" s="945"/>
      <c r="Y123" s="945"/>
      <c r="Z123" s="946">
        <f>Z124</f>
        <v>2100</v>
      </c>
    </row>
    <row r="124" spans="1:26" x14ac:dyDescent="0.25">
      <c r="A124" s="435"/>
      <c r="B124" s="418" t="s">
        <v>1282</v>
      </c>
      <c r="C124" s="437"/>
      <c r="D124" s="437"/>
      <c r="E124" s="512">
        <v>2000</v>
      </c>
      <c r="F124" s="513"/>
      <c r="G124" s="513"/>
      <c r="H124" s="512">
        <v>2100</v>
      </c>
      <c r="I124" s="513"/>
      <c r="J124" s="513"/>
      <c r="K124" s="512">
        <v>2100</v>
      </c>
      <c r="L124" s="513"/>
      <c r="M124" s="513"/>
      <c r="N124" s="575">
        <v>2100</v>
      </c>
      <c r="O124" s="947"/>
      <c r="P124" s="947"/>
      <c r="Q124" s="948">
        <v>2000</v>
      </c>
      <c r="R124" s="513"/>
      <c r="S124" s="513"/>
      <c r="T124" s="512">
        <v>2000</v>
      </c>
      <c r="U124" s="513"/>
      <c r="V124" s="513"/>
      <c r="W124" s="512">
        <v>2000</v>
      </c>
      <c r="X124" s="947"/>
      <c r="Y124" s="947"/>
      <c r="Z124" s="948">
        <f>2000+100</f>
        <v>2100</v>
      </c>
    </row>
    <row r="125" spans="1:26" s="441" customFormat="1" x14ac:dyDescent="0.25">
      <c r="A125" s="431" t="s">
        <v>725</v>
      </c>
      <c r="B125" s="432" t="s">
        <v>729</v>
      </c>
      <c r="C125" s="434"/>
      <c r="D125" s="434"/>
      <c r="E125" s="510">
        <v>200</v>
      </c>
      <c r="F125" s="511"/>
      <c r="G125" s="511"/>
      <c r="H125" s="510">
        <v>200</v>
      </c>
      <c r="I125" s="511"/>
      <c r="J125" s="511"/>
      <c r="K125" s="510">
        <v>200</v>
      </c>
      <c r="L125" s="511"/>
      <c r="M125" s="511"/>
      <c r="N125" s="510">
        <v>200</v>
      </c>
      <c r="O125" s="945"/>
      <c r="P125" s="945"/>
      <c r="Q125" s="946">
        <f>+Q126</f>
        <v>200</v>
      </c>
      <c r="R125" s="511"/>
      <c r="S125" s="511"/>
      <c r="T125" s="510">
        <f>+T126</f>
        <v>200</v>
      </c>
      <c r="U125" s="511"/>
      <c r="V125" s="511"/>
      <c r="W125" s="510">
        <f>+W126</f>
        <v>200</v>
      </c>
      <c r="X125" s="945"/>
      <c r="Y125" s="945"/>
      <c r="Z125" s="946">
        <f>+Z126</f>
        <v>200</v>
      </c>
    </row>
    <row r="126" spans="1:26" x14ac:dyDescent="0.25">
      <c r="A126" s="435"/>
      <c r="B126" s="418" t="s">
        <v>1282</v>
      </c>
      <c r="C126" s="437"/>
      <c r="D126" s="437"/>
      <c r="E126" s="512">
        <v>200</v>
      </c>
      <c r="F126" s="513"/>
      <c r="G126" s="513"/>
      <c r="H126" s="512">
        <v>200</v>
      </c>
      <c r="I126" s="513"/>
      <c r="J126" s="513"/>
      <c r="K126" s="512">
        <v>200</v>
      </c>
      <c r="L126" s="513"/>
      <c r="M126" s="513"/>
      <c r="N126" s="575">
        <v>200</v>
      </c>
      <c r="O126" s="947"/>
      <c r="P126" s="947"/>
      <c r="Q126" s="948">
        <v>200</v>
      </c>
      <c r="R126" s="513"/>
      <c r="S126" s="513"/>
      <c r="T126" s="512">
        <v>200</v>
      </c>
      <c r="U126" s="513"/>
      <c r="V126" s="513"/>
      <c r="W126" s="512">
        <v>200</v>
      </c>
      <c r="X126" s="947"/>
      <c r="Y126" s="947"/>
      <c r="Z126" s="948">
        <v>200</v>
      </c>
    </row>
    <row r="127" spans="1:26" s="441" customFormat="1" x14ac:dyDescent="0.25">
      <c r="A127" s="431" t="s">
        <v>730</v>
      </c>
      <c r="B127" s="432" t="s">
        <v>731</v>
      </c>
      <c r="C127" s="434"/>
      <c r="D127" s="434"/>
      <c r="E127" s="510">
        <v>0</v>
      </c>
      <c r="F127" s="511"/>
      <c r="G127" s="511"/>
      <c r="H127" s="510">
        <v>0</v>
      </c>
      <c r="I127" s="511"/>
      <c r="J127" s="511"/>
      <c r="K127" s="510">
        <v>0</v>
      </c>
      <c r="L127" s="511"/>
      <c r="M127" s="511"/>
      <c r="N127" s="664">
        <v>0</v>
      </c>
      <c r="O127" s="945"/>
      <c r="P127" s="945"/>
      <c r="Q127" s="946">
        <v>0</v>
      </c>
      <c r="R127" s="511"/>
      <c r="S127" s="511"/>
      <c r="T127" s="510">
        <v>0</v>
      </c>
      <c r="U127" s="511"/>
      <c r="V127" s="511"/>
      <c r="W127" s="510">
        <v>0</v>
      </c>
      <c r="X127" s="945"/>
      <c r="Y127" s="945"/>
      <c r="Z127" s="946">
        <v>0</v>
      </c>
    </row>
    <row r="128" spans="1:26" x14ac:dyDescent="0.25">
      <c r="A128" s="435"/>
      <c r="B128" s="418" t="s">
        <v>1282</v>
      </c>
      <c r="C128" s="437"/>
      <c r="D128" s="437"/>
      <c r="E128" s="512">
        <v>0</v>
      </c>
      <c r="F128" s="513"/>
      <c r="G128" s="513"/>
      <c r="H128" s="512">
        <v>0</v>
      </c>
      <c r="I128" s="513"/>
      <c r="J128" s="513"/>
      <c r="K128" s="512">
        <v>0</v>
      </c>
      <c r="L128" s="513"/>
      <c r="M128" s="513"/>
      <c r="N128" s="575">
        <v>0</v>
      </c>
      <c r="O128" s="947"/>
      <c r="P128" s="947"/>
      <c r="Q128" s="948">
        <v>0</v>
      </c>
      <c r="R128" s="513"/>
      <c r="S128" s="513"/>
      <c r="T128" s="512">
        <v>0</v>
      </c>
      <c r="U128" s="513"/>
      <c r="V128" s="513"/>
      <c r="W128" s="512">
        <v>0</v>
      </c>
      <c r="X128" s="947"/>
      <c r="Y128" s="947"/>
      <c r="Z128" s="948">
        <v>0</v>
      </c>
    </row>
    <row r="129" spans="1:26" s="441" customFormat="1" x14ac:dyDescent="0.25">
      <c r="A129" s="431" t="s">
        <v>726</v>
      </c>
      <c r="B129" s="432" t="s">
        <v>733</v>
      </c>
      <c r="C129" s="434"/>
      <c r="D129" s="434"/>
      <c r="E129" s="510">
        <v>4440</v>
      </c>
      <c r="F129" s="511"/>
      <c r="G129" s="511"/>
      <c r="H129" s="510">
        <v>4440</v>
      </c>
      <c r="I129" s="511"/>
      <c r="J129" s="511"/>
      <c r="K129" s="510">
        <v>4440</v>
      </c>
      <c r="L129" s="511"/>
      <c r="M129" s="511"/>
      <c r="N129" s="510">
        <v>4245</v>
      </c>
      <c r="O129" s="945"/>
      <c r="P129" s="945"/>
      <c r="Q129" s="946">
        <v>4440</v>
      </c>
      <c r="R129" s="511"/>
      <c r="S129" s="511"/>
      <c r="T129" s="510">
        <f>T130</f>
        <v>4620</v>
      </c>
      <c r="U129" s="511"/>
      <c r="V129" s="511"/>
      <c r="W129" s="510">
        <f>W130</f>
        <v>4620</v>
      </c>
      <c r="X129" s="945"/>
      <c r="Y129" s="945"/>
      <c r="Z129" s="946">
        <f>Z130</f>
        <v>4620</v>
      </c>
    </row>
    <row r="130" spans="1:26" x14ac:dyDescent="0.25">
      <c r="A130" s="435"/>
      <c r="B130" s="418" t="s">
        <v>1283</v>
      </c>
      <c r="C130" s="437"/>
      <c r="D130" s="437"/>
      <c r="E130" s="512">
        <v>4440</v>
      </c>
      <c r="F130" s="513"/>
      <c r="G130" s="513"/>
      <c r="H130" s="512">
        <v>4440</v>
      </c>
      <c r="I130" s="513"/>
      <c r="J130" s="513"/>
      <c r="K130" s="512">
        <v>4440</v>
      </c>
      <c r="L130" s="513"/>
      <c r="M130" s="513"/>
      <c r="N130" s="575">
        <v>4245</v>
      </c>
      <c r="O130" s="947"/>
      <c r="P130" s="947"/>
      <c r="Q130" s="948">
        <v>4440</v>
      </c>
      <c r="R130" s="513"/>
      <c r="S130" s="513"/>
      <c r="T130" s="512">
        <f>4440+180</f>
        <v>4620</v>
      </c>
      <c r="U130" s="513"/>
      <c r="V130" s="513"/>
      <c r="W130" s="512">
        <f>4440+180</f>
        <v>4620</v>
      </c>
      <c r="X130" s="947"/>
      <c r="Y130" s="947"/>
      <c r="Z130" s="948">
        <f>4440+180</f>
        <v>4620</v>
      </c>
    </row>
    <row r="131" spans="1:26" s="441" customFormat="1" x14ac:dyDescent="0.25">
      <c r="A131" s="431" t="s">
        <v>728</v>
      </c>
      <c r="B131" s="432" t="s">
        <v>735</v>
      </c>
      <c r="C131" s="434"/>
      <c r="D131" s="434"/>
      <c r="E131" s="510">
        <v>5400</v>
      </c>
      <c r="F131" s="511"/>
      <c r="G131" s="511"/>
      <c r="H131" s="510">
        <v>5400</v>
      </c>
      <c r="I131" s="511"/>
      <c r="J131" s="511"/>
      <c r="K131" s="510">
        <v>5400</v>
      </c>
      <c r="L131" s="511"/>
      <c r="M131" s="511"/>
      <c r="N131" s="510">
        <v>5400</v>
      </c>
      <c r="O131" s="945"/>
      <c r="P131" s="945"/>
      <c r="Q131" s="946">
        <v>5400</v>
      </c>
      <c r="R131" s="511"/>
      <c r="S131" s="511"/>
      <c r="T131" s="510">
        <v>5400</v>
      </c>
      <c r="U131" s="511"/>
      <c r="V131" s="511"/>
      <c r="W131" s="510">
        <v>5400</v>
      </c>
      <c r="X131" s="945"/>
      <c r="Y131" s="945"/>
      <c r="Z131" s="946">
        <v>5400</v>
      </c>
    </row>
    <row r="132" spans="1:26" x14ac:dyDescent="0.25">
      <c r="A132" s="435"/>
      <c r="B132" s="418" t="s">
        <v>1283</v>
      </c>
      <c r="C132" s="437"/>
      <c r="D132" s="437"/>
      <c r="E132" s="512">
        <v>5400</v>
      </c>
      <c r="F132" s="513"/>
      <c r="G132" s="513"/>
      <c r="H132" s="512">
        <v>5400</v>
      </c>
      <c r="I132" s="513"/>
      <c r="J132" s="513"/>
      <c r="K132" s="512">
        <v>5400</v>
      </c>
      <c r="L132" s="513"/>
      <c r="M132" s="513"/>
      <c r="N132" s="575">
        <v>5400</v>
      </c>
      <c r="O132" s="947"/>
      <c r="P132" s="947"/>
      <c r="Q132" s="948">
        <v>5400</v>
      </c>
      <c r="R132" s="513"/>
      <c r="S132" s="513"/>
      <c r="T132" s="512">
        <v>5400</v>
      </c>
      <c r="U132" s="513"/>
      <c r="V132" s="513"/>
      <c r="W132" s="512">
        <v>5400</v>
      </c>
      <c r="X132" s="947"/>
      <c r="Y132" s="947"/>
      <c r="Z132" s="948">
        <v>5400</v>
      </c>
    </row>
    <row r="133" spans="1:26" s="441" customFormat="1" x14ac:dyDescent="0.25">
      <c r="A133" s="431" t="s">
        <v>730</v>
      </c>
      <c r="B133" s="432" t="s">
        <v>737</v>
      </c>
      <c r="C133" s="434"/>
      <c r="D133" s="434"/>
      <c r="E133" s="510">
        <v>400</v>
      </c>
      <c r="F133" s="511"/>
      <c r="G133" s="511"/>
      <c r="H133" s="510">
        <v>400</v>
      </c>
      <c r="I133" s="511"/>
      <c r="J133" s="511"/>
      <c r="K133" s="510">
        <v>400</v>
      </c>
      <c r="L133" s="511"/>
      <c r="M133" s="511"/>
      <c r="N133" s="510">
        <v>400</v>
      </c>
      <c r="O133" s="945"/>
      <c r="P133" s="945"/>
      <c r="Q133" s="946">
        <v>400</v>
      </c>
      <c r="R133" s="511"/>
      <c r="S133" s="511"/>
      <c r="T133" s="510">
        <v>400</v>
      </c>
      <c r="U133" s="511"/>
      <c r="V133" s="511"/>
      <c r="W133" s="510">
        <v>400</v>
      </c>
      <c r="X133" s="945"/>
      <c r="Y133" s="945"/>
      <c r="Z133" s="946">
        <v>400</v>
      </c>
    </row>
    <row r="134" spans="1:26" x14ac:dyDescent="0.25">
      <c r="A134" s="435"/>
      <c r="B134" s="418" t="s">
        <v>1283</v>
      </c>
      <c r="C134" s="437"/>
      <c r="D134" s="437"/>
      <c r="E134" s="512">
        <v>400</v>
      </c>
      <c r="F134" s="513"/>
      <c r="G134" s="513"/>
      <c r="H134" s="512">
        <v>400</v>
      </c>
      <c r="I134" s="513"/>
      <c r="J134" s="513"/>
      <c r="K134" s="512">
        <v>400</v>
      </c>
      <c r="L134" s="513"/>
      <c r="M134" s="513"/>
      <c r="N134" s="575">
        <v>400</v>
      </c>
      <c r="O134" s="947"/>
      <c r="P134" s="947"/>
      <c r="Q134" s="948">
        <v>400</v>
      </c>
      <c r="R134" s="513"/>
      <c r="S134" s="513"/>
      <c r="T134" s="512">
        <v>400</v>
      </c>
      <c r="U134" s="513"/>
      <c r="V134" s="513"/>
      <c r="W134" s="512">
        <v>400</v>
      </c>
      <c r="X134" s="947"/>
      <c r="Y134" s="947"/>
      <c r="Z134" s="948">
        <v>400</v>
      </c>
    </row>
    <row r="135" spans="1:26" s="441" customFormat="1" x14ac:dyDescent="0.25">
      <c r="A135" s="431" t="s">
        <v>732</v>
      </c>
      <c r="B135" s="432" t="s">
        <v>1388</v>
      </c>
      <c r="C135" s="434"/>
      <c r="D135" s="434"/>
      <c r="E135" s="510">
        <v>81292</v>
      </c>
      <c r="F135" s="511"/>
      <c r="G135" s="511"/>
      <c r="H135" s="510">
        <v>81292</v>
      </c>
      <c r="I135" s="511"/>
      <c r="J135" s="511"/>
      <c r="K135" s="510">
        <v>81292</v>
      </c>
      <c r="L135" s="511"/>
      <c r="M135" s="511"/>
      <c r="N135" s="510">
        <v>94798</v>
      </c>
      <c r="O135" s="945"/>
      <c r="P135" s="945"/>
      <c r="Q135" s="946">
        <v>81300</v>
      </c>
      <c r="R135" s="511"/>
      <c r="S135" s="511"/>
      <c r="T135" s="510">
        <v>81300</v>
      </c>
      <c r="U135" s="511"/>
      <c r="V135" s="511"/>
      <c r="W135" s="510">
        <v>81300</v>
      </c>
      <c r="X135" s="945"/>
      <c r="Y135" s="945"/>
      <c r="Z135" s="946">
        <v>81300</v>
      </c>
    </row>
    <row r="136" spans="1:26" x14ac:dyDescent="0.25">
      <c r="A136" s="435"/>
      <c r="B136" s="418" t="s">
        <v>292</v>
      </c>
      <c r="C136" s="437"/>
      <c r="D136" s="437"/>
      <c r="E136" s="512">
        <v>0</v>
      </c>
      <c r="F136" s="513"/>
      <c r="G136" s="513"/>
      <c r="H136" s="512">
        <v>0</v>
      </c>
      <c r="I136" s="513"/>
      <c r="J136" s="513"/>
      <c r="K136" s="512">
        <v>0</v>
      </c>
      <c r="L136" s="513"/>
      <c r="M136" s="513"/>
      <c r="N136" s="575">
        <v>0</v>
      </c>
      <c r="O136" s="947"/>
      <c r="P136" s="947"/>
      <c r="Q136" s="948"/>
      <c r="R136" s="869"/>
      <c r="S136" s="869"/>
      <c r="T136" s="868"/>
      <c r="U136" s="869"/>
      <c r="V136" s="869"/>
      <c r="W136" s="868"/>
      <c r="X136" s="947"/>
      <c r="Y136" s="947"/>
      <c r="Z136" s="948"/>
    </row>
    <row r="137" spans="1:26" x14ac:dyDescent="0.25">
      <c r="A137" s="435"/>
      <c r="B137" s="418" t="s">
        <v>1283</v>
      </c>
      <c r="C137" s="437"/>
      <c r="D137" s="437"/>
      <c r="E137" s="512">
        <v>81292</v>
      </c>
      <c r="F137" s="513"/>
      <c r="G137" s="513"/>
      <c r="H137" s="512">
        <v>81292</v>
      </c>
      <c r="I137" s="513"/>
      <c r="J137" s="513"/>
      <c r="K137" s="512">
        <v>81292</v>
      </c>
      <c r="L137" s="513"/>
      <c r="M137" s="513"/>
      <c r="N137" s="575">
        <v>94798</v>
      </c>
      <c r="O137" s="947"/>
      <c r="P137" s="947"/>
      <c r="Q137" s="948">
        <v>81300</v>
      </c>
      <c r="R137" s="869"/>
      <c r="S137" s="869"/>
      <c r="T137" s="868">
        <v>81300</v>
      </c>
      <c r="U137" s="869"/>
      <c r="V137" s="869"/>
      <c r="W137" s="868">
        <v>81300</v>
      </c>
      <c r="X137" s="947"/>
      <c r="Y137" s="947"/>
      <c r="Z137" s="948">
        <v>81300</v>
      </c>
    </row>
    <row r="138" spans="1:26" s="662" customFormat="1" x14ac:dyDescent="0.25">
      <c r="A138" s="431" t="s">
        <v>734</v>
      </c>
      <c r="B138" s="432" t="s">
        <v>740</v>
      </c>
      <c r="C138" s="434"/>
      <c r="D138" s="434"/>
      <c r="E138" s="510">
        <v>34000</v>
      </c>
      <c r="F138" s="511"/>
      <c r="G138" s="511"/>
      <c r="H138" s="510">
        <v>58907</v>
      </c>
      <c r="I138" s="511"/>
      <c r="J138" s="511"/>
      <c r="K138" s="510">
        <v>58907</v>
      </c>
      <c r="L138" s="511"/>
      <c r="M138" s="511"/>
      <c r="N138" s="510">
        <v>45358</v>
      </c>
      <c r="O138" s="945"/>
      <c r="P138" s="945"/>
      <c r="Q138" s="946">
        <f>SUM(Q139:Q140)</f>
        <v>37992</v>
      </c>
      <c r="R138" s="870"/>
      <c r="S138" s="870"/>
      <c r="T138" s="871">
        <f>SUM(T139:T140)</f>
        <v>37992</v>
      </c>
      <c r="U138" s="870"/>
      <c r="V138" s="870"/>
      <c r="W138" s="871">
        <f>SUM(W139:W140)</f>
        <v>44601</v>
      </c>
      <c r="X138" s="945"/>
      <c r="Y138" s="945"/>
      <c r="Z138" s="946">
        <f>SUM(Z139:Z140)</f>
        <v>47563</v>
      </c>
    </row>
    <row r="139" spans="1:26" s="663" customFormat="1" x14ac:dyDescent="0.25">
      <c r="A139" s="435"/>
      <c r="B139" s="418" t="s">
        <v>1283</v>
      </c>
      <c r="C139" s="437"/>
      <c r="D139" s="437"/>
      <c r="E139" s="512">
        <v>34000</v>
      </c>
      <c r="F139" s="513"/>
      <c r="G139" s="513"/>
      <c r="H139" s="512">
        <v>58907</v>
      </c>
      <c r="I139" s="513"/>
      <c r="J139" s="513"/>
      <c r="K139" s="512">
        <v>58907</v>
      </c>
      <c r="L139" s="513"/>
      <c r="M139" s="513"/>
      <c r="N139" s="575">
        <v>45358</v>
      </c>
      <c r="O139" s="947"/>
      <c r="P139" s="947"/>
      <c r="Q139" s="948">
        <v>37992</v>
      </c>
      <c r="R139" s="869"/>
      <c r="S139" s="869"/>
      <c r="T139" s="868">
        <v>37992</v>
      </c>
      <c r="U139" s="869"/>
      <c r="V139" s="869"/>
      <c r="W139" s="868">
        <f>37992+6609</f>
        <v>44601</v>
      </c>
      <c r="X139" s="947"/>
      <c r="Y139" s="947"/>
      <c r="Z139" s="948">
        <f>37992+6609+2962</f>
        <v>47563</v>
      </c>
    </row>
    <row r="140" spans="1:26" s="663" customFormat="1" x14ac:dyDescent="0.25">
      <c r="A140" s="435"/>
      <c r="B140" s="418" t="s">
        <v>292</v>
      </c>
      <c r="C140" s="437"/>
      <c r="D140" s="437"/>
      <c r="E140" s="512">
        <v>0</v>
      </c>
      <c r="F140" s="513"/>
      <c r="G140" s="513"/>
      <c r="H140" s="512">
        <v>0</v>
      </c>
      <c r="I140" s="513"/>
      <c r="J140" s="513"/>
      <c r="K140" s="512">
        <v>0</v>
      </c>
      <c r="L140" s="513"/>
      <c r="M140" s="513"/>
      <c r="N140" s="575">
        <v>0</v>
      </c>
      <c r="O140" s="947"/>
      <c r="P140" s="947"/>
      <c r="Q140" s="948">
        <f>62027-62027</f>
        <v>0</v>
      </c>
      <c r="R140" s="869"/>
      <c r="S140" s="869"/>
      <c r="T140" s="868">
        <f>62027-62027</f>
        <v>0</v>
      </c>
      <c r="U140" s="869"/>
      <c r="V140" s="869"/>
      <c r="W140" s="868">
        <f>62027-62027</f>
        <v>0</v>
      </c>
      <c r="X140" s="947"/>
      <c r="Y140" s="947"/>
      <c r="Z140" s="948">
        <f>62027-62027</f>
        <v>0</v>
      </c>
    </row>
    <row r="141" spans="1:26" s="441" customFormat="1" x14ac:dyDescent="0.25">
      <c r="A141" s="431" t="s">
        <v>736</v>
      </c>
      <c r="B141" s="432" t="s">
        <v>743</v>
      </c>
      <c r="C141" s="434"/>
      <c r="D141" s="434"/>
      <c r="E141" s="510">
        <v>6500</v>
      </c>
      <c r="F141" s="511"/>
      <c r="G141" s="511"/>
      <c r="H141" s="510">
        <v>11700</v>
      </c>
      <c r="I141" s="511"/>
      <c r="J141" s="511"/>
      <c r="K141" s="510">
        <v>19303</v>
      </c>
      <c r="L141" s="511"/>
      <c r="M141" s="511"/>
      <c r="N141" s="510">
        <v>12200</v>
      </c>
      <c r="O141" s="945"/>
      <c r="P141" s="945"/>
      <c r="Q141" s="946">
        <v>6500</v>
      </c>
      <c r="R141" s="870"/>
      <c r="S141" s="870"/>
      <c r="T141" s="871">
        <f>T142</f>
        <v>7460</v>
      </c>
      <c r="U141" s="870"/>
      <c r="V141" s="870"/>
      <c r="W141" s="871">
        <f>W142</f>
        <v>9200</v>
      </c>
      <c r="X141" s="945"/>
      <c r="Y141" s="945"/>
      <c r="Z141" s="946">
        <f>Z142+Z143</f>
        <v>14972</v>
      </c>
    </row>
    <row r="142" spans="1:26" x14ac:dyDescent="0.25">
      <c r="A142" s="435"/>
      <c r="B142" s="418" t="s">
        <v>1283</v>
      </c>
      <c r="C142" s="437"/>
      <c r="D142" s="437"/>
      <c r="E142" s="512">
        <v>6500</v>
      </c>
      <c r="F142" s="513"/>
      <c r="G142" s="513"/>
      <c r="H142" s="512">
        <v>11700</v>
      </c>
      <c r="I142" s="513"/>
      <c r="J142" s="513"/>
      <c r="K142" s="512">
        <v>19303</v>
      </c>
      <c r="L142" s="513"/>
      <c r="M142" s="513"/>
      <c r="N142" s="575">
        <v>12200</v>
      </c>
      <c r="O142" s="947"/>
      <c r="P142" s="947"/>
      <c r="Q142" s="948">
        <v>6500</v>
      </c>
      <c r="R142" s="869"/>
      <c r="S142" s="869"/>
      <c r="T142" s="868">
        <f>6500+110+400+150+100+200</f>
        <v>7460</v>
      </c>
      <c r="U142" s="869"/>
      <c r="V142" s="869"/>
      <c r="W142" s="868">
        <f>7460+100+190+100+500+100+50+200+300+100+100</f>
        <v>9200</v>
      </c>
      <c r="X142" s="947"/>
      <c r="Y142" s="947"/>
      <c r="Z142" s="948">
        <f>9200+100+50+100+50+100+50+120+1000+200+500+200</f>
        <v>11670</v>
      </c>
    </row>
    <row r="143" spans="1:26" x14ac:dyDescent="0.25">
      <c r="A143" s="435"/>
      <c r="B143" s="418" t="s">
        <v>1720</v>
      </c>
      <c r="C143" s="437"/>
      <c r="D143" s="437"/>
      <c r="E143" s="512"/>
      <c r="F143" s="513"/>
      <c r="G143" s="513"/>
      <c r="H143" s="512"/>
      <c r="I143" s="513"/>
      <c r="J143" s="513"/>
      <c r="K143" s="512"/>
      <c r="L143" s="513"/>
      <c r="M143" s="513"/>
      <c r="N143" s="575"/>
      <c r="O143" s="947"/>
      <c r="P143" s="947"/>
      <c r="Q143" s="948"/>
      <c r="R143" s="869"/>
      <c r="S143" s="869"/>
      <c r="T143" s="868"/>
      <c r="U143" s="869"/>
      <c r="V143" s="869"/>
      <c r="W143" s="868"/>
      <c r="X143" s="947"/>
      <c r="Y143" s="947"/>
      <c r="Z143" s="948">
        <v>3302</v>
      </c>
    </row>
    <row r="144" spans="1:26" s="441" customFormat="1" x14ac:dyDescent="0.25">
      <c r="A144" s="431" t="s">
        <v>738</v>
      </c>
      <c r="B144" s="432" t="s">
        <v>745</v>
      </c>
      <c r="C144" s="434"/>
      <c r="D144" s="434"/>
      <c r="E144" s="510">
        <v>2000</v>
      </c>
      <c r="F144" s="511"/>
      <c r="G144" s="511"/>
      <c r="H144" s="510">
        <v>3080</v>
      </c>
      <c r="I144" s="511"/>
      <c r="J144" s="511"/>
      <c r="K144" s="510">
        <v>1450</v>
      </c>
      <c r="L144" s="511"/>
      <c r="M144" s="511"/>
      <c r="N144" s="510">
        <v>3080</v>
      </c>
      <c r="O144" s="945"/>
      <c r="P144" s="945"/>
      <c r="Q144" s="946">
        <v>2000</v>
      </c>
      <c r="R144" s="870"/>
      <c r="S144" s="870"/>
      <c r="T144" s="871">
        <v>2000</v>
      </c>
      <c r="U144" s="870"/>
      <c r="V144" s="870"/>
      <c r="W144" s="871">
        <f>W145</f>
        <v>2100</v>
      </c>
      <c r="X144" s="945"/>
      <c r="Y144" s="945"/>
      <c r="Z144" s="946">
        <f>Z145</f>
        <v>2100</v>
      </c>
    </row>
    <row r="145" spans="1:26" x14ac:dyDescent="0.25">
      <c r="A145" s="435"/>
      <c r="B145" s="418" t="s">
        <v>1283</v>
      </c>
      <c r="C145" s="437"/>
      <c r="D145" s="437"/>
      <c r="E145" s="512">
        <v>2000</v>
      </c>
      <c r="F145" s="513"/>
      <c r="G145" s="513"/>
      <c r="H145" s="512">
        <v>3080</v>
      </c>
      <c r="I145" s="513"/>
      <c r="J145" s="513"/>
      <c r="K145" s="512">
        <v>1450</v>
      </c>
      <c r="L145" s="513"/>
      <c r="M145" s="513"/>
      <c r="N145" s="575">
        <v>3080</v>
      </c>
      <c r="O145" s="947"/>
      <c r="P145" s="947"/>
      <c r="Q145" s="948">
        <v>2000</v>
      </c>
      <c r="R145" s="513"/>
      <c r="S145" s="513"/>
      <c r="T145" s="512">
        <v>2000</v>
      </c>
      <c r="U145" s="513"/>
      <c r="V145" s="513"/>
      <c r="W145" s="512">
        <f>2000+100</f>
        <v>2100</v>
      </c>
      <c r="X145" s="947"/>
      <c r="Y145" s="947"/>
      <c r="Z145" s="948">
        <f>2000+100</f>
        <v>2100</v>
      </c>
    </row>
    <row r="146" spans="1:26" s="659" customFormat="1" x14ac:dyDescent="0.25">
      <c r="A146" s="431" t="s">
        <v>739</v>
      </c>
      <c r="B146" s="432" t="s">
        <v>747</v>
      </c>
      <c r="C146" s="434"/>
      <c r="D146" s="434"/>
      <c r="E146" s="510">
        <v>41500</v>
      </c>
      <c r="F146" s="511"/>
      <c r="G146" s="511"/>
      <c r="H146" s="510">
        <v>43860</v>
      </c>
      <c r="I146" s="511"/>
      <c r="J146" s="511"/>
      <c r="K146" s="510">
        <v>50080</v>
      </c>
      <c r="L146" s="511"/>
      <c r="M146" s="511"/>
      <c r="N146" s="510">
        <v>43810</v>
      </c>
      <c r="O146" s="945"/>
      <c r="P146" s="945"/>
      <c r="Q146" s="946">
        <v>41500</v>
      </c>
      <c r="R146" s="511"/>
      <c r="S146" s="511"/>
      <c r="T146" s="510">
        <v>41500</v>
      </c>
      <c r="U146" s="511"/>
      <c r="V146" s="511"/>
      <c r="W146" s="510">
        <f>W147</f>
        <v>41200</v>
      </c>
      <c r="X146" s="945"/>
      <c r="Y146" s="945"/>
      <c r="Z146" s="946">
        <f>Z147+Z148</f>
        <v>51200</v>
      </c>
    </row>
    <row r="147" spans="1:26" x14ac:dyDescent="0.25">
      <c r="A147" s="435"/>
      <c r="B147" s="418" t="s">
        <v>1283</v>
      </c>
      <c r="C147" s="437"/>
      <c r="D147" s="437"/>
      <c r="E147" s="512">
        <v>41500</v>
      </c>
      <c r="F147" s="513"/>
      <c r="G147" s="513"/>
      <c r="H147" s="512">
        <v>43860</v>
      </c>
      <c r="I147" s="513"/>
      <c r="J147" s="513"/>
      <c r="K147" s="512">
        <v>50080</v>
      </c>
      <c r="L147" s="513"/>
      <c r="M147" s="513"/>
      <c r="N147" s="575">
        <v>43810</v>
      </c>
      <c r="O147" s="947"/>
      <c r="P147" s="947"/>
      <c r="Q147" s="948">
        <v>41500</v>
      </c>
      <c r="R147" s="513"/>
      <c r="S147" s="513"/>
      <c r="T147" s="512">
        <v>41500</v>
      </c>
      <c r="U147" s="513"/>
      <c r="V147" s="513"/>
      <c r="W147" s="512">
        <f>41500-300</f>
        <v>41200</v>
      </c>
      <c r="X147" s="947"/>
      <c r="Y147" s="947"/>
      <c r="Z147" s="948">
        <f>41500-300</f>
        <v>41200</v>
      </c>
    </row>
    <row r="148" spans="1:26" x14ac:dyDescent="0.25">
      <c r="A148" s="435"/>
      <c r="B148" s="418" t="s">
        <v>1751</v>
      </c>
      <c r="C148" s="437"/>
      <c r="D148" s="437"/>
      <c r="E148" s="512"/>
      <c r="F148" s="513"/>
      <c r="G148" s="513"/>
      <c r="H148" s="512"/>
      <c r="I148" s="513"/>
      <c r="J148" s="513"/>
      <c r="K148" s="512"/>
      <c r="L148" s="513"/>
      <c r="M148" s="513"/>
      <c r="N148" s="575"/>
      <c r="O148" s="947"/>
      <c r="P148" s="947"/>
      <c r="Q148" s="948"/>
      <c r="R148" s="513"/>
      <c r="S148" s="513"/>
      <c r="T148" s="512"/>
      <c r="U148" s="513"/>
      <c r="V148" s="513"/>
      <c r="W148" s="512"/>
      <c r="X148" s="947"/>
      <c r="Y148" s="947"/>
      <c r="Z148" s="948">
        <v>10000</v>
      </c>
    </row>
    <row r="149" spans="1:26" s="441" customFormat="1" x14ac:dyDescent="0.25">
      <c r="A149" s="431" t="s">
        <v>741</v>
      </c>
      <c r="B149" s="432" t="s">
        <v>749</v>
      </c>
      <c r="C149" s="434"/>
      <c r="D149" s="434"/>
      <c r="E149" s="510">
        <v>12200</v>
      </c>
      <c r="F149" s="511"/>
      <c r="G149" s="511"/>
      <c r="H149" s="510">
        <v>13160</v>
      </c>
      <c r="I149" s="511"/>
      <c r="J149" s="511"/>
      <c r="K149" s="510">
        <v>12000</v>
      </c>
      <c r="L149" s="511"/>
      <c r="M149" s="511"/>
      <c r="N149" s="510">
        <v>12184</v>
      </c>
      <c r="O149" s="945"/>
      <c r="P149" s="945"/>
      <c r="Q149" s="946">
        <v>12600</v>
      </c>
      <c r="R149" s="511"/>
      <c r="S149" s="511"/>
      <c r="T149" s="510">
        <v>12600</v>
      </c>
      <c r="U149" s="511"/>
      <c r="V149" s="511"/>
      <c r="W149" s="510">
        <v>12600</v>
      </c>
      <c r="X149" s="945"/>
      <c r="Y149" s="945"/>
      <c r="Z149" s="946">
        <v>12600</v>
      </c>
    </row>
    <row r="150" spans="1:26" x14ac:dyDescent="0.25">
      <c r="A150" s="435"/>
      <c r="B150" s="418" t="s">
        <v>1283</v>
      </c>
      <c r="C150" s="437"/>
      <c r="D150" s="437"/>
      <c r="E150" s="512">
        <v>12200</v>
      </c>
      <c r="F150" s="513"/>
      <c r="G150" s="513"/>
      <c r="H150" s="512">
        <v>13160</v>
      </c>
      <c r="I150" s="513"/>
      <c r="J150" s="513"/>
      <c r="K150" s="512">
        <v>12000</v>
      </c>
      <c r="L150" s="513"/>
      <c r="M150" s="513"/>
      <c r="N150" s="575">
        <v>12184</v>
      </c>
      <c r="O150" s="947"/>
      <c r="P150" s="947"/>
      <c r="Q150" s="948">
        <v>12600</v>
      </c>
      <c r="R150" s="513"/>
      <c r="S150" s="513"/>
      <c r="T150" s="512">
        <v>12600</v>
      </c>
      <c r="U150" s="513"/>
      <c r="V150" s="513"/>
      <c r="W150" s="512">
        <v>12600</v>
      </c>
      <c r="X150" s="947"/>
      <c r="Y150" s="947"/>
      <c r="Z150" s="948">
        <v>12600</v>
      </c>
    </row>
    <row r="151" spans="1:26" s="441" customFormat="1" x14ac:dyDescent="0.25">
      <c r="A151" s="431" t="s">
        <v>742</v>
      </c>
      <c r="B151" s="432" t="s">
        <v>750</v>
      </c>
      <c r="C151" s="434"/>
      <c r="D151" s="434"/>
      <c r="E151" s="510">
        <v>2470</v>
      </c>
      <c r="F151" s="511"/>
      <c r="G151" s="511"/>
      <c r="H151" s="510">
        <v>2470</v>
      </c>
      <c r="I151" s="511"/>
      <c r="J151" s="511"/>
      <c r="K151" s="510">
        <v>2470</v>
      </c>
      <c r="L151" s="511"/>
      <c r="M151" s="511"/>
      <c r="N151" s="510">
        <v>1862</v>
      </c>
      <c r="O151" s="945"/>
      <c r="P151" s="945"/>
      <c r="Q151" s="946">
        <v>3190</v>
      </c>
      <c r="R151" s="511"/>
      <c r="S151" s="511"/>
      <c r="T151" s="510">
        <f>T152</f>
        <v>3798</v>
      </c>
      <c r="U151" s="511"/>
      <c r="V151" s="511"/>
      <c r="W151" s="510">
        <f>W152</f>
        <v>3798</v>
      </c>
      <c r="X151" s="945"/>
      <c r="Y151" s="945"/>
      <c r="Z151" s="946">
        <f>Z152</f>
        <v>3798</v>
      </c>
    </row>
    <row r="152" spans="1:26" x14ac:dyDescent="0.25">
      <c r="A152" s="435"/>
      <c r="B152" s="418" t="s">
        <v>292</v>
      </c>
      <c r="C152" s="437"/>
      <c r="D152" s="437"/>
      <c r="E152" s="512">
        <v>2470</v>
      </c>
      <c r="F152" s="513"/>
      <c r="G152" s="513"/>
      <c r="H152" s="512">
        <v>2470</v>
      </c>
      <c r="I152" s="513"/>
      <c r="J152" s="513"/>
      <c r="K152" s="512">
        <v>2470</v>
      </c>
      <c r="L152" s="513"/>
      <c r="M152" s="513"/>
      <c r="N152" s="575">
        <v>1862</v>
      </c>
      <c r="O152" s="947"/>
      <c r="P152" s="947"/>
      <c r="Q152" s="948">
        <v>3190</v>
      </c>
      <c r="R152" s="513"/>
      <c r="S152" s="513"/>
      <c r="T152" s="512">
        <f>3190+608</f>
        <v>3798</v>
      </c>
      <c r="U152" s="513"/>
      <c r="V152" s="513"/>
      <c r="W152" s="512">
        <f>3190+608</f>
        <v>3798</v>
      </c>
      <c r="X152" s="947"/>
      <c r="Y152" s="947"/>
      <c r="Z152" s="948">
        <f>3190+608</f>
        <v>3798</v>
      </c>
    </row>
    <row r="153" spans="1:26" s="441" customFormat="1" x14ac:dyDescent="0.25">
      <c r="A153" s="431" t="s">
        <v>744</v>
      </c>
      <c r="B153" s="432" t="s">
        <v>752</v>
      </c>
      <c r="C153" s="434"/>
      <c r="D153" s="434"/>
      <c r="E153" s="510">
        <v>30000</v>
      </c>
      <c r="F153" s="511"/>
      <c r="G153" s="511"/>
      <c r="H153" s="510">
        <v>30823</v>
      </c>
      <c r="I153" s="511"/>
      <c r="J153" s="511"/>
      <c r="K153" s="510">
        <v>30823</v>
      </c>
      <c r="L153" s="511"/>
      <c r="M153" s="511"/>
      <c r="N153" s="510">
        <v>11767</v>
      </c>
      <c r="O153" s="945"/>
      <c r="P153" s="945"/>
      <c r="Q153" s="946">
        <v>16000</v>
      </c>
      <c r="R153" s="511"/>
      <c r="S153" s="511"/>
      <c r="T153" s="510">
        <v>16000</v>
      </c>
      <c r="U153" s="511"/>
      <c r="V153" s="511"/>
      <c r="W153" s="510">
        <f>SUM(W154:W155)</f>
        <v>15340</v>
      </c>
      <c r="X153" s="945"/>
      <c r="Y153" s="945"/>
      <c r="Z153" s="946">
        <f>SUM(Z154:Z155)</f>
        <v>15340</v>
      </c>
    </row>
    <row r="154" spans="1:26" x14ac:dyDescent="0.25">
      <c r="A154" s="435"/>
      <c r="B154" s="418" t="s">
        <v>1332</v>
      </c>
      <c r="C154" s="437"/>
      <c r="D154" s="437"/>
      <c r="E154" s="512"/>
      <c r="F154" s="513"/>
      <c r="G154" s="513"/>
      <c r="H154" s="512">
        <v>600</v>
      </c>
      <c r="I154" s="513"/>
      <c r="J154" s="513"/>
      <c r="K154" s="512">
        <v>600</v>
      </c>
      <c r="L154" s="513"/>
      <c r="M154" s="513"/>
      <c r="N154" s="512"/>
      <c r="O154" s="947"/>
      <c r="P154" s="947"/>
      <c r="Q154" s="948">
        <v>0</v>
      </c>
      <c r="R154" s="513"/>
      <c r="S154" s="513"/>
      <c r="T154" s="512">
        <v>0</v>
      </c>
      <c r="U154" s="513"/>
      <c r="V154" s="513"/>
      <c r="W154" s="512">
        <v>0</v>
      </c>
      <c r="X154" s="947"/>
      <c r="Y154" s="947"/>
      <c r="Z154" s="948">
        <v>0</v>
      </c>
    </row>
    <row r="155" spans="1:26" x14ac:dyDescent="0.25">
      <c r="A155" s="435"/>
      <c r="B155" s="418" t="s">
        <v>337</v>
      </c>
      <c r="C155" s="437"/>
      <c r="D155" s="437"/>
      <c r="E155" s="512">
        <v>30000</v>
      </c>
      <c r="F155" s="513"/>
      <c r="G155" s="513"/>
      <c r="H155" s="512">
        <v>30223</v>
      </c>
      <c r="I155" s="513"/>
      <c r="J155" s="513"/>
      <c r="K155" s="512">
        <v>30223</v>
      </c>
      <c r="L155" s="513"/>
      <c r="M155" s="513"/>
      <c r="N155" s="512">
        <v>11767</v>
      </c>
      <c r="O155" s="947"/>
      <c r="P155" s="947"/>
      <c r="Q155" s="948">
        <v>16000</v>
      </c>
      <c r="R155" s="513"/>
      <c r="S155" s="513"/>
      <c r="T155" s="512">
        <v>16000</v>
      </c>
      <c r="U155" s="513"/>
      <c r="V155" s="513"/>
      <c r="W155" s="512">
        <f>16000-660</f>
        <v>15340</v>
      </c>
      <c r="X155" s="947"/>
      <c r="Y155" s="947"/>
      <c r="Z155" s="948">
        <f>16000-660</f>
        <v>15340</v>
      </c>
    </row>
    <row r="156" spans="1:26" s="441" customFormat="1" x14ac:dyDescent="0.25">
      <c r="A156" s="431" t="s">
        <v>746</v>
      </c>
      <c r="B156" s="432" t="s">
        <v>754</v>
      </c>
      <c r="C156" s="434"/>
      <c r="D156" s="434"/>
      <c r="E156" s="510">
        <v>96502</v>
      </c>
      <c r="F156" s="511"/>
      <c r="G156" s="511"/>
      <c r="H156" s="510">
        <v>129188</v>
      </c>
      <c r="I156" s="511"/>
      <c r="J156" s="511"/>
      <c r="K156" s="510">
        <v>129188</v>
      </c>
      <c r="L156" s="511"/>
      <c r="M156" s="511"/>
      <c r="N156" s="510">
        <v>83360</v>
      </c>
      <c r="O156" s="945"/>
      <c r="P156" s="945"/>
      <c r="Q156" s="946">
        <v>96465</v>
      </c>
      <c r="R156" s="511"/>
      <c r="S156" s="511"/>
      <c r="T156" s="510">
        <f>SUM(T157:T162)</f>
        <v>107940</v>
      </c>
      <c r="U156" s="511"/>
      <c r="V156" s="511"/>
      <c r="W156" s="510">
        <f>SUM(W157:W162)</f>
        <v>118665</v>
      </c>
      <c r="X156" s="945"/>
      <c r="Y156" s="945"/>
      <c r="Z156" s="946">
        <f>SUM(Z157:Z162)</f>
        <v>118940</v>
      </c>
    </row>
    <row r="157" spans="1:26" x14ac:dyDescent="0.25">
      <c r="A157" s="435"/>
      <c r="B157" s="418" t="s">
        <v>286</v>
      </c>
      <c r="C157" s="437"/>
      <c r="D157" s="437"/>
      <c r="E157" s="512">
        <v>26153</v>
      </c>
      <c r="F157" s="513"/>
      <c r="G157" s="513"/>
      <c r="H157" s="512">
        <v>27649</v>
      </c>
      <c r="I157" s="513"/>
      <c r="J157" s="513"/>
      <c r="K157" s="512">
        <v>27649</v>
      </c>
      <c r="L157" s="513"/>
      <c r="M157" s="513"/>
      <c r="N157" s="512">
        <v>14948</v>
      </c>
      <c r="O157" s="947"/>
      <c r="P157" s="947"/>
      <c r="Q157" s="948">
        <v>30400</v>
      </c>
      <c r="R157" s="513"/>
      <c r="S157" s="513"/>
      <c r="T157" s="512">
        <f>30400+175+23-1</f>
        <v>30597</v>
      </c>
      <c r="U157" s="513"/>
      <c r="V157" s="513"/>
      <c r="W157" s="512">
        <f>30597+23+20</f>
        <v>30640</v>
      </c>
      <c r="X157" s="947"/>
      <c r="Y157" s="947"/>
      <c r="Z157" s="948">
        <f>30640+142</f>
        <v>30782</v>
      </c>
    </row>
    <row r="158" spans="1:26" x14ac:dyDescent="0.25">
      <c r="A158" s="435"/>
      <c r="B158" s="418" t="s">
        <v>287</v>
      </c>
      <c r="C158" s="437"/>
      <c r="D158" s="437"/>
      <c r="E158" s="512">
        <v>10473</v>
      </c>
      <c r="F158" s="513"/>
      <c r="G158" s="513"/>
      <c r="H158" s="512">
        <v>10701</v>
      </c>
      <c r="I158" s="513"/>
      <c r="J158" s="513"/>
      <c r="K158" s="512">
        <v>10701</v>
      </c>
      <c r="L158" s="513"/>
      <c r="M158" s="513"/>
      <c r="N158" s="512">
        <v>5299</v>
      </c>
      <c r="O158" s="947"/>
      <c r="P158" s="947"/>
      <c r="Q158" s="948">
        <v>5168</v>
      </c>
      <c r="R158" s="513"/>
      <c r="S158" s="513"/>
      <c r="T158" s="512">
        <f>5168+113+10</f>
        <v>5291</v>
      </c>
      <c r="U158" s="513"/>
      <c r="V158" s="513"/>
      <c r="W158" s="512">
        <f>5291+10+4-1</f>
        <v>5304</v>
      </c>
      <c r="X158" s="947"/>
      <c r="Y158" s="947"/>
      <c r="Z158" s="948">
        <f>5291+10+4-1</f>
        <v>5304</v>
      </c>
    </row>
    <row r="159" spans="1:26" x14ac:dyDescent="0.25">
      <c r="A159" s="435"/>
      <c r="B159" s="418" t="s">
        <v>292</v>
      </c>
      <c r="C159" s="437"/>
      <c r="D159" s="437"/>
      <c r="E159" s="512">
        <v>59876</v>
      </c>
      <c r="F159" s="513"/>
      <c r="G159" s="513"/>
      <c r="H159" s="512">
        <v>85838</v>
      </c>
      <c r="I159" s="513"/>
      <c r="J159" s="513"/>
      <c r="K159" s="512">
        <v>85838</v>
      </c>
      <c r="L159" s="513"/>
      <c r="M159" s="513"/>
      <c r="N159" s="575">
        <v>58013</v>
      </c>
      <c r="O159" s="947"/>
      <c r="P159" s="947"/>
      <c r="Q159" s="948">
        <v>60896.880000000005</v>
      </c>
      <c r="R159" s="513"/>
      <c r="S159" s="513"/>
      <c r="T159" s="512">
        <f>60897+47+6+50+5000+3440+1924+540+146+2</f>
        <v>72052</v>
      </c>
      <c r="U159" s="513"/>
      <c r="V159" s="513"/>
      <c r="W159" s="512">
        <f>72052+6+381+660+4407+4641+1080+650-500+237+237-1260-1130</f>
        <v>81461</v>
      </c>
      <c r="X159" s="947"/>
      <c r="Y159" s="947"/>
      <c r="Z159" s="948">
        <f>81461+50+38+64+300-4000+240-559</f>
        <v>77594</v>
      </c>
    </row>
    <row r="160" spans="1:26" x14ac:dyDescent="0.25">
      <c r="A160" s="435"/>
      <c r="B160" s="418" t="s">
        <v>339</v>
      </c>
      <c r="C160" s="437"/>
      <c r="D160" s="437"/>
      <c r="E160" s="512">
        <v>0</v>
      </c>
      <c r="F160" s="513"/>
      <c r="G160" s="513"/>
      <c r="H160" s="512">
        <v>4000</v>
      </c>
      <c r="I160" s="513"/>
      <c r="J160" s="513"/>
      <c r="K160" s="512">
        <v>4000</v>
      </c>
      <c r="L160" s="513"/>
      <c r="M160" s="513"/>
      <c r="N160" s="575">
        <v>4100</v>
      </c>
      <c r="O160" s="947"/>
      <c r="P160" s="947"/>
      <c r="Q160" s="948">
        <v>0</v>
      </c>
      <c r="R160" s="513"/>
      <c r="S160" s="513"/>
      <c r="T160" s="512">
        <v>0</v>
      </c>
      <c r="U160" s="513"/>
      <c r="V160" s="513"/>
      <c r="W160" s="512">
        <v>0</v>
      </c>
      <c r="X160" s="947"/>
      <c r="Y160" s="947"/>
      <c r="Z160" s="948">
        <v>4000</v>
      </c>
    </row>
    <row r="161" spans="1:26" x14ac:dyDescent="0.25">
      <c r="A161" s="435"/>
      <c r="B161" s="418" t="s">
        <v>1470</v>
      </c>
      <c r="C161" s="437"/>
      <c r="D161" s="437"/>
      <c r="E161" s="512"/>
      <c r="F161" s="513"/>
      <c r="G161" s="513"/>
      <c r="H161" s="512">
        <v>1000</v>
      </c>
      <c r="I161" s="513"/>
      <c r="J161" s="513"/>
      <c r="K161" s="512">
        <v>1000</v>
      </c>
      <c r="L161" s="513"/>
      <c r="M161" s="513"/>
      <c r="N161" s="575">
        <v>1000</v>
      </c>
      <c r="O161" s="947"/>
      <c r="P161" s="947"/>
      <c r="Q161" s="948"/>
      <c r="R161" s="513"/>
      <c r="S161" s="513"/>
      <c r="T161" s="512"/>
      <c r="U161" s="513"/>
      <c r="V161" s="513"/>
      <c r="W161" s="512"/>
      <c r="X161" s="947"/>
      <c r="Y161" s="947"/>
      <c r="Z161" s="948"/>
    </row>
    <row r="162" spans="1:26" x14ac:dyDescent="0.25">
      <c r="A162" s="435"/>
      <c r="B162" s="418" t="s">
        <v>351</v>
      </c>
      <c r="C162" s="437"/>
      <c r="D162" s="437"/>
      <c r="E162" s="512">
        <v>0</v>
      </c>
      <c r="F162" s="513"/>
      <c r="G162" s="513"/>
      <c r="H162" s="512">
        <v>0</v>
      </c>
      <c r="I162" s="513"/>
      <c r="J162" s="513"/>
      <c r="K162" s="512">
        <v>0</v>
      </c>
      <c r="L162" s="513"/>
      <c r="M162" s="513"/>
      <c r="N162" s="512">
        <v>0</v>
      </c>
      <c r="O162" s="947"/>
      <c r="P162" s="947"/>
      <c r="Q162" s="948">
        <v>0</v>
      </c>
      <c r="R162" s="513"/>
      <c r="S162" s="513"/>
      <c r="T162" s="512">
        <v>0</v>
      </c>
      <c r="U162" s="513"/>
      <c r="V162" s="513"/>
      <c r="W162" s="512">
        <v>1260</v>
      </c>
      <c r="X162" s="947"/>
      <c r="Y162" s="947"/>
      <c r="Z162" s="948">
        <v>1260</v>
      </c>
    </row>
    <row r="163" spans="1:26" s="441" customFormat="1" x14ac:dyDescent="0.25">
      <c r="A163" s="431" t="s">
        <v>748</v>
      </c>
      <c r="B163" s="432" t="s">
        <v>756</v>
      </c>
      <c r="C163" s="434"/>
      <c r="D163" s="434"/>
      <c r="E163" s="510">
        <v>631095.5</v>
      </c>
      <c r="F163" s="511"/>
      <c r="G163" s="511"/>
      <c r="H163" s="510">
        <v>540904.5</v>
      </c>
      <c r="I163" s="511"/>
      <c r="J163" s="511"/>
      <c r="K163" s="510">
        <v>607215</v>
      </c>
      <c r="L163" s="511"/>
      <c r="M163" s="511"/>
      <c r="N163" s="510">
        <v>199584</v>
      </c>
      <c r="O163" s="945"/>
      <c r="P163" s="945"/>
      <c r="Q163" s="946">
        <f>SUM(Q164:Q168)</f>
        <v>319700</v>
      </c>
      <c r="R163" s="511"/>
      <c r="S163" s="511"/>
      <c r="T163" s="510">
        <f>SUM(T164:T168)</f>
        <v>392313</v>
      </c>
      <c r="U163" s="511"/>
      <c r="V163" s="511"/>
      <c r="W163" s="510">
        <f>SUM(W164:W169)</f>
        <v>283593</v>
      </c>
      <c r="X163" s="945"/>
      <c r="Y163" s="945"/>
      <c r="Z163" s="946">
        <f>SUM(Z164:Z169)</f>
        <v>348599</v>
      </c>
    </row>
    <row r="164" spans="1:26" s="441" customFormat="1" x14ac:dyDescent="0.25">
      <c r="A164" s="431"/>
      <c r="B164" s="418" t="s">
        <v>286</v>
      </c>
      <c r="C164" s="434"/>
      <c r="D164" s="434"/>
      <c r="E164" s="510"/>
      <c r="F164" s="511"/>
      <c r="G164" s="511"/>
      <c r="H164" s="510"/>
      <c r="I164" s="511"/>
      <c r="J164" s="511"/>
      <c r="K164" s="510"/>
      <c r="L164" s="511"/>
      <c r="M164" s="511"/>
      <c r="N164" s="510"/>
      <c r="O164" s="945"/>
      <c r="P164" s="945"/>
      <c r="Q164" s="948">
        <v>0</v>
      </c>
      <c r="R164" s="511"/>
      <c r="S164" s="511"/>
      <c r="T164" s="512">
        <v>0</v>
      </c>
      <c r="U164" s="511"/>
      <c r="V164" s="511"/>
      <c r="W164" s="512">
        <v>0</v>
      </c>
      <c r="X164" s="945"/>
      <c r="Y164" s="945"/>
      <c r="Z164" s="948">
        <v>0</v>
      </c>
    </row>
    <row r="165" spans="1:26" s="441" customFormat="1" x14ac:dyDescent="0.25">
      <c r="A165" s="431"/>
      <c r="B165" s="418" t="s">
        <v>287</v>
      </c>
      <c r="C165" s="434"/>
      <c r="D165" s="434"/>
      <c r="E165" s="510"/>
      <c r="F165" s="511"/>
      <c r="G165" s="511"/>
      <c r="H165" s="510"/>
      <c r="I165" s="511"/>
      <c r="J165" s="511"/>
      <c r="K165" s="510"/>
      <c r="L165" s="511"/>
      <c r="M165" s="511"/>
      <c r="N165" s="510"/>
      <c r="O165" s="945"/>
      <c r="P165" s="945"/>
      <c r="Q165" s="948">
        <v>0</v>
      </c>
      <c r="R165" s="511"/>
      <c r="S165" s="511"/>
      <c r="T165" s="512">
        <v>0</v>
      </c>
      <c r="U165" s="511"/>
      <c r="V165" s="511"/>
      <c r="W165" s="512">
        <v>0</v>
      </c>
      <c r="X165" s="945"/>
      <c r="Y165" s="945"/>
      <c r="Z165" s="948">
        <v>0</v>
      </c>
    </row>
    <row r="166" spans="1:26" s="441" customFormat="1" x14ac:dyDescent="0.25">
      <c r="A166" s="431"/>
      <c r="B166" s="418" t="s">
        <v>292</v>
      </c>
      <c r="C166" s="434"/>
      <c r="D166" s="434"/>
      <c r="E166" s="510"/>
      <c r="F166" s="511"/>
      <c r="G166" s="511"/>
      <c r="H166" s="510"/>
      <c r="I166" s="511"/>
      <c r="J166" s="511"/>
      <c r="K166" s="510"/>
      <c r="L166" s="511"/>
      <c r="M166" s="511"/>
      <c r="N166" s="510"/>
      <c r="O166" s="945"/>
      <c r="P166" s="945"/>
      <c r="Q166" s="948">
        <v>0</v>
      </c>
      <c r="R166" s="511"/>
      <c r="S166" s="511"/>
      <c r="T166" s="512">
        <f>0+10385+444</f>
        <v>10829</v>
      </c>
      <c r="U166" s="511"/>
      <c r="V166" s="511"/>
      <c r="W166" s="512">
        <f>0+10385+444+1383-1</f>
        <v>12211</v>
      </c>
      <c r="X166" s="945"/>
      <c r="Y166" s="945"/>
      <c r="Z166" s="948">
        <f>12211+308+796-900+845+751+458+352</f>
        <v>14821</v>
      </c>
    </row>
    <row r="167" spans="1:26" x14ac:dyDescent="0.25">
      <c r="A167" s="435"/>
      <c r="B167" s="418" t="s">
        <v>351</v>
      </c>
      <c r="C167" s="437"/>
      <c r="D167" s="437"/>
      <c r="E167" s="512">
        <v>611095.5</v>
      </c>
      <c r="F167" s="513"/>
      <c r="G167" s="513"/>
      <c r="H167" s="512">
        <v>516165.5</v>
      </c>
      <c r="I167" s="513"/>
      <c r="J167" s="513"/>
      <c r="K167" s="512">
        <v>556148</v>
      </c>
      <c r="L167" s="513"/>
      <c r="M167" s="513"/>
      <c r="N167" s="512">
        <v>174781</v>
      </c>
      <c r="O167" s="947"/>
      <c r="P167" s="947"/>
      <c r="Q167" s="948">
        <v>250500</v>
      </c>
      <c r="R167" s="513"/>
      <c r="S167" s="513"/>
      <c r="T167" s="512">
        <f>250500+775+18520+28572</f>
        <v>298367</v>
      </c>
      <c r="U167" s="513"/>
      <c r="V167" s="513"/>
      <c r="W167" s="512">
        <f>298367+350-6679-10000-90000+3048-1383</f>
        <v>193703</v>
      </c>
      <c r="X167" s="947"/>
      <c r="Y167" s="947"/>
      <c r="Z167" s="948">
        <f>193703+85400+3239+254+991+696+12607-193+248-12643</f>
        <v>284302</v>
      </c>
    </row>
    <row r="168" spans="1:26" x14ac:dyDescent="0.25">
      <c r="A168" s="435"/>
      <c r="B168" s="418" t="s">
        <v>342</v>
      </c>
      <c r="C168" s="437"/>
      <c r="D168" s="437"/>
      <c r="E168" s="512">
        <v>20000</v>
      </c>
      <c r="F168" s="513"/>
      <c r="G168" s="513"/>
      <c r="H168" s="512">
        <v>24739</v>
      </c>
      <c r="I168" s="513"/>
      <c r="J168" s="513"/>
      <c r="K168" s="512">
        <v>51067</v>
      </c>
      <c r="L168" s="513"/>
      <c r="M168" s="513"/>
      <c r="N168" s="512">
        <v>24803</v>
      </c>
      <c r="O168" s="947"/>
      <c r="P168" s="947"/>
      <c r="Q168" s="948">
        <v>69200</v>
      </c>
      <c r="R168" s="513"/>
      <c r="S168" s="513"/>
      <c r="T168" s="512">
        <f>69200+10126+3791</f>
        <v>83117</v>
      </c>
      <c r="U168" s="513"/>
      <c r="V168" s="513"/>
      <c r="W168" s="512">
        <f>83117-5737+17-380-858+2271-751-2000</f>
        <v>75679</v>
      </c>
      <c r="X168" s="947"/>
      <c r="Y168" s="947"/>
      <c r="Z168" s="948">
        <f>75679-659-500-13915-3129-10000</f>
        <v>47476</v>
      </c>
    </row>
    <row r="169" spans="1:26" x14ac:dyDescent="0.25">
      <c r="A169" s="435"/>
      <c r="B169" s="418" t="s">
        <v>1720</v>
      </c>
      <c r="C169" s="437"/>
      <c r="D169" s="437"/>
      <c r="E169" s="512"/>
      <c r="F169" s="513"/>
      <c r="G169" s="513"/>
      <c r="H169" s="512"/>
      <c r="I169" s="513"/>
      <c r="J169" s="513"/>
      <c r="K169" s="512"/>
      <c r="L169" s="513"/>
      <c r="M169" s="513"/>
      <c r="N169" s="512"/>
      <c r="O169" s="947"/>
      <c r="P169" s="947"/>
      <c r="Q169" s="948"/>
      <c r="R169" s="513"/>
      <c r="S169" s="513"/>
      <c r="T169" s="512"/>
      <c r="U169" s="513"/>
      <c r="V169" s="513"/>
      <c r="W169" s="512">
        <v>2000</v>
      </c>
      <c r="X169" s="947"/>
      <c r="Y169" s="947"/>
      <c r="Z169" s="948">
        <v>2000</v>
      </c>
    </row>
    <row r="170" spans="1:26" s="441" customFormat="1" x14ac:dyDescent="0.25">
      <c r="A170" s="431" t="s">
        <v>1356</v>
      </c>
      <c r="B170" s="432" t="s">
        <v>1696</v>
      </c>
      <c r="C170" s="434"/>
      <c r="D170" s="434"/>
      <c r="E170" s="510">
        <v>3905</v>
      </c>
      <c r="F170" s="511"/>
      <c r="G170" s="511"/>
      <c r="H170" s="510">
        <v>3949</v>
      </c>
      <c r="I170" s="511"/>
      <c r="J170" s="511"/>
      <c r="K170" s="510">
        <v>3949</v>
      </c>
      <c r="L170" s="511"/>
      <c r="M170" s="511"/>
      <c r="N170" s="510">
        <v>3938</v>
      </c>
      <c r="O170" s="945"/>
      <c r="P170" s="945"/>
      <c r="Q170" s="946">
        <v>0</v>
      </c>
      <c r="R170" s="511"/>
      <c r="S170" s="511"/>
      <c r="T170" s="510">
        <f>SUM(T171:T176)</f>
        <v>14404</v>
      </c>
      <c r="U170" s="511"/>
      <c r="V170" s="511"/>
      <c r="W170" s="510">
        <f>SUM(W171:W176)</f>
        <v>15534</v>
      </c>
      <c r="X170" s="945"/>
      <c r="Y170" s="945"/>
      <c r="Z170" s="946">
        <f>SUM(Z171:Z176)</f>
        <v>2927</v>
      </c>
    </row>
    <row r="171" spans="1:26" x14ac:dyDescent="0.25">
      <c r="A171" s="435"/>
      <c r="B171" s="418" t="s">
        <v>286</v>
      </c>
      <c r="C171" s="437"/>
      <c r="D171" s="437"/>
      <c r="E171" s="512"/>
      <c r="F171" s="513"/>
      <c r="G171" s="513"/>
      <c r="H171" s="512">
        <v>0</v>
      </c>
      <c r="I171" s="513"/>
      <c r="J171" s="513"/>
      <c r="K171" s="512">
        <v>0</v>
      </c>
      <c r="L171" s="513"/>
      <c r="M171" s="513"/>
      <c r="N171" s="512"/>
      <c r="O171" s="947"/>
      <c r="P171" s="947"/>
      <c r="Q171" s="948">
        <v>0</v>
      </c>
      <c r="R171" s="513"/>
      <c r="S171" s="513"/>
      <c r="T171" s="512">
        <v>0</v>
      </c>
      <c r="U171" s="513"/>
      <c r="V171" s="513"/>
      <c r="W171" s="512">
        <v>0</v>
      </c>
      <c r="X171" s="947"/>
      <c r="Y171" s="947"/>
      <c r="Z171" s="948">
        <v>0</v>
      </c>
    </row>
    <row r="172" spans="1:26" x14ac:dyDescent="0.25">
      <c r="A172" s="435"/>
      <c r="B172" s="418" t="s">
        <v>287</v>
      </c>
      <c r="C172" s="437"/>
      <c r="D172" s="437"/>
      <c r="E172" s="512"/>
      <c r="F172" s="513"/>
      <c r="G172" s="513"/>
      <c r="H172" s="512">
        <v>0</v>
      </c>
      <c r="I172" s="513"/>
      <c r="J172" s="513"/>
      <c r="K172" s="512">
        <v>0</v>
      </c>
      <c r="L172" s="513"/>
      <c r="M172" s="513"/>
      <c r="N172" s="512"/>
      <c r="O172" s="947"/>
      <c r="P172" s="947"/>
      <c r="Q172" s="948">
        <v>0</v>
      </c>
      <c r="R172" s="513"/>
      <c r="S172" s="513"/>
      <c r="T172" s="512">
        <v>0</v>
      </c>
      <c r="U172" s="513"/>
      <c r="V172" s="513"/>
      <c r="W172" s="512">
        <v>0</v>
      </c>
      <c r="X172" s="947"/>
      <c r="Y172" s="947"/>
      <c r="Z172" s="948">
        <v>0</v>
      </c>
    </row>
    <row r="173" spans="1:26" x14ac:dyDescent="0.25">
      <c r="A173" s="435"/>
      <c r="B173" s="418" t="s">
        <v>1332</v>
      </c>
      <c r="C173" s="437"/>
      <c r="D173" s="437"/>
      <c r="E173" s="512">
        <v>3905</v>
      </c>
      <c r="F173" s="513"/>
      <c r="G173" s="513"/>
      <c r="H173" s="512">
        <v>55</v>
      </c>
      <c r="I173" s="513"/>
      <c r="J173" s="513"/>
      <c r="K173" s="512">
        <v>55</v>
      </c>
      <c r="L173" s="513"/>
      <c r="M173" s="513"/>
      <c r="N173" s="575">
        <v>44</v>
      </c>
      <c r="O173" s="947"/>
      <c r="P173" s="947"/>
      <c r="Q173" s="948"/>
      <c r="R173" s="513"/>
      <c r="S173" s="513"/>
      <c r="T173" s="512">
        <v>1797</v>
      </c>
      <c r="U173" s="513"/>
      <c r="V173" s="513"/>
      <c r="W173" s="512">
        <f>1797+1130</f>
        <v>2927</v>
      </c>
      <c r="X173" s="947"/>
      <c r="Y173" s="947"/>
      <c r="Z173" s="948">
        <f>1797+1130</f>
        <v>2927</v>
      </c>
    </row>
    <row r="174" spans="1:26" x14ac:dyDescent="0.25">
      <c r="A174" s="435"/>
      <c r="B174" s="418" t="s">
        <v>1720</v>
      </c>
      <c r="C174" s="437"/>
      <c r="D174" s="437"/>
      <c r="E174" s="512"/>
      <c r="F174" s="513"/>
      <c r="G174" s="513"/>
      <c r="H174" s="512">
        <v>3894</v>
      </c>
      <c r="I174" s="513"/>
      <c r="J174" s="513"/>
      <c r="K174" s="512">
        <v>3894</v>
      </c>
      <c r="L174" s="513"/>
      <c r="M174" s="513"/>
      <c r="N174" s="575">
        <v>3894</v>
      </c>
      <c r="O174" s="947"/>
      <c r="P174" s="947"/>
      <c r="Q174" s="948"/>
      <c r="R174" s="513"/>
      <c r="S174" s="513"/>
      <c r="T174" s="512">
        <v>12607</v>
      </c>
      <c r="U174" s="513"/>
      <c r="V174" s="513"/>
      <c r="W174" s="512">
        <f>12607</f>
        <v>12607</v>
      </c>
      <c r="X174" s="947"/>
      <c r="Y174" s="947"/>
      <c r="Z174" s="948">
        <f>12607-12607</f>
        <v>0</v>
      </c>
    </row>
    <row r="175" spans="1:26" x14ac:dyDescent="0.25">
      <c r="A175" s="435"/>
      <c r="B175" s="418" t="s">
        <v>351</v>
      </c>
      <c r="C175" s="437"/>
      <c r="D175" s="437"/>
      <c r="E175" s="512">
        <v>0</v>
      </c>
      <c r="F175" s="513"/>
      <c r="G175" s="513"/>
      <c r="H175" s="512">
        <v>0</v>
      </c>
      <c r="I175" s="513"/>
      <c r="J175" s="513"/>
      <c r="K175" s="512">
        <v>0</v>
      </c>
      <c r="L175" s="513"/>
      <c r="M175" s="513"/>
      <c r="N175" s="512"/>
      <c r="O175" s="947"/>
      <c r="P175" s="947"/>
      <c r="Q175" s="948">
        <v>0</v>
      </c>
      <c r="R175" s="513"/>
      <c r="S175" s="513"/>
      <c r="T175" s="512">
        <v>0</v>
      </c>
      <c r="U175" s="513"/>
      <c r="V175" s="513"/>
      <c r="W175" s="512">
        <v>0</v>
      </c>
      <c r="X175" s="947"/>
      <c r="Y175" s="947"/>
      <c r="Z175" s="948">
        <v>0</v>
      </c>
    </row>
    <row r="176" spans="1:26" x14ac:dyDescent="0.25">
      <c r="A176" s="435"/>
      <c r="B176" s="418" t="s">
        <v>342</v>
      </c>
      <c r="C176" s="437"/>
      <c r="D176" s="437"/>
      <c r="E176" s="512">
        <v>0</v>
      </c>
      <c r="F176" s="513"/>
      <c r="G176" s="513"/>
      <c r="H176" s="575">
        <v>0</v>
      </c>
      <c r="I176" s="576"/>
      <c r="J176" s="576"/>
      <c r="K176" s="575">
        <v>0</v>
      </c>
      <c r="L176" s="576"/>
      <c r="M176" s="576"/>
      <c r="N176" s="575"/>
      <c r="O176" s="947"/>
      <c r="P176" s="947"/>
      <c r="Q176" s="948">
        <v>0</v>
      </c>
      <c r="R176" s="576"/>
      <c r="S176" s="576"/>
      <c r="T176" s="575">
        <v>0</v>
      </c>
      <c r="U176" s="576"/>
      <c r="V176" s="576"/>
      <c r="W176" s="575">
        <v>0</v>
      </c>
      <c r="X176" s="947"/>
      <c r="Y176" s="947"/>
      <c r="Z176" s="948">
        <v>0</v>
      </c>
    </row>
    <row r="177" spans="1:26" s="441" customFormat="1" x14ac:dyDescent="0.25">
      <c r="A177" s="431" t="s">
        <v>751</v>
      </c>
      <c r="B177" s="432" t="s">
        <v>758</v>
      </c>
      <c r="C177" s="434"/>
      <c r="D177" s="434"/>
      <c r="E177" s="510">
        <v>23314</v>
      </c>
      <c r="F177" s="511"/>
      <c r="G177" s="511"/>
      <c r="H177" s="510">
        <v>23314</v>
      </c>
      <c r="I177" s="511"/>
      <c r="J177" s="511"/>
      <c r="K177" s="510">
        <v>23314</v>
      </c>
      <c r="L177" s="511"/>
      <c r="M177" s="511"/>
      <c r="N177" s="510">
        <v>19680</v>
      </c>
      <c r="O177" s="945"/>
      <c r="P177" s="945"/>
      <c r="Q177" s="946">
        <v>23314</v>
      </c>
      <c r="R177" s="511"/>
      <c r="S177" s="511"/>
      <c r="T177" s="510">
        <v>23314</v>
      </c>
      <c r="U177" s="511"/>
      <c r="V177" s="511"/>
      <c r="W177" s="510">
        <v>23314</v>
      </c>
      <c r="X177" s="945"/>
      <c r="Y177" s="945"/>
      <c r="Z177" s="946">
        <v>23314</v>
      </c>
    </row>
    <row r="178" spans="1:26" x14ac:dyDescent="0.25">
      <c r="A178" s="435"/>
      <c r="B178" s="418" t="s">
        <v>286</v>
      </c>
      <c r="C178" s="437"/>
      <c r="D178" s="437"/>
      <c r="E178" s="512">
        <v>23314</v>
      </c>
      <c r="F178" s="513"/>
      <c r="G178" s="513"/>
      <c r="H178" s="512">
        <v>23314</v>
      </c>
      <c r="I178" s="513"/>
      <c r="J178" s="513"/>
      <c r="K178" s="512">
        <v>23314</v>
      </c>
      <c r="L178" s="513"/>
      <c r="M178" s="513"/>
      <c r="N178" s="512">
        <v>19680</v>
      </c>
      <c r="O178" s="947"/>
      <c r="P178" s="947"/>
      <c r="Q178" s="948">
        <v>23314</v>
      </c>
      <c r="R178" s="513"/>
      <c r="S178" s="513"/>
      <c r="T178" s="512">
        <v>23314</v>
      </c>
      <c r="U178" s="513"/>
      <c r="V178" s="513"/>
      <c r="W178" s="512">
        <v>23314</v>
      </c>
      <c r="X178" s="947"/>
      <c r="Y178" s="947"/>
      <c r="Z178" s="948">
        <v>23314</v>
      </c>
    </row>
    <row r="179" spans="1:26" x14ac:dyDescent="0.25">
      <c r="A179" s="435"/>
      <c r="B179" s="418" t="s">
        <v>287</v>
      </c>
      <c r="C179" s="437"/>
      <c r="D179" s="437"/>
      <c r="E179" s="512">
        <v>0</v>
      </c>
      <c r="F179" s="513"/>
      <c r="G179" s="513"/>
      <c r="H179" s="512">
        <v>0</v>
      </c>
      <c r="I179" s="513"/>
      <c r="J179" s="513"/>
      <c r="K179" s="512">
        <v>0</v>
      </c>
      <c r="L179" s="513"/>
      <c r="M179" s="513"/>
      <c r="N179" s="512"/>
      <c r="O179" s="947"/>
      <c r="P179" s="947"/>
      <c r="Q179" s="948">
        <v>0</v>
      </c>
      <c r="R179" s="513"/>
      <c r="S179" s="513"/>
      <c r="T179" s="512">
        <v>0</v>
      </c>
      <c r="U179" s="513"/>
      <c r="V179" s="513"/>
      <c r="W179" s="512">
        <v>0</v>
      </c>
      <c r="X179" s="947"/>
      <c r="Y179" s="947"/>
      <c r="Z179" s="948">
        <v>0</v>
      </c>
    </row>
    <row r="180" spans="1:26" x14ac:dyDescent="0.25">
      <c r="A180" s="435"/>
      <c r="B180" s="418" t="s">
        <v>1389</v>
      </c>
      <c r="C180" s="437"/>
      <c r="D180" s="437"/>
      <c r="E180" s="512"/>
      <c r="F180" s="513"/>
      <c r="G180" s="513"/>
      <c r="H180" s="512"/>
      <c r="I180" s="513"/>
      <c r="J180" s="513"/>
      <c r="K180" s="512"/>
      <c r="L180" s="513"/>
      <c r="M180" s="513"/>
      <c r="N180" s="575"/>
      <c r="O180" s="947"/>
      <c r="P180" s="947"/>
      <c r="Q180" s="948">
        <v>0</v>
      </c>
      <c r="R180" s="513"/>
      <c r="S180" s="513"/>
      <c r="T180" s="512">
        <v>0</v>
      </c>
      <c r="U180" s="513"/>
      <c r="V180" s="513"/>
      <c r="W180" s="512">
        <v>0</v>
      </c>
      <c r="X180" s="947"/>
      <c r="Y180" s="947"/>
      <c r="Z180" s="948">
        <v>0</v>
      </c>
    </row>
    <row r="181" spans="1:26" s="441" customFormat="1" x14ac:dyDescent="0.25">
      <c r="A181" s="431" t="s">
        <v>753</v>
      </c>
      <c r="B181" s="432" t="s">
        <v>1160</v>
      </c>
      <c r="C181" s="434"/>
      <c r="D181" s="434"/>
      <c r="E181" s="510">
        <v>0</v>
      </c>
      <c r="F181" s="511"/>
      <c r="G181" s="511"/>
      <c r="H181" s="510">
        <v>5517</v>
      </c>
      <c r="I181" s="511"/>
      <c r="J181" s="511"/>
      <c r="K181" s="510">
        <v>5517</v>
      </c>
      <c r="L181" s="511"/>
      <c r="M181" s="511"/>
      <c r="N181" s="510">
        <v>5311</v>
      </c>
      <c r="O181" s="945"/>
      <c r="P181" s="945"/>
      <c r="Q181" s="946">
        <v>5300</v>
      </c>
      <c r="R181" s="511"/>
      <c r="S181" s="511"/>
      <c r="T181" s="510">
        <v>5300</v>
      </c>
      <c r="U181" s="511"/>
      <c r="V181" s="511"/>
      <c r="W181" s="510">
        <v>5300</v>
      </c>
      <c r="X181" s="945"/>
      <c r="Y181" s="945"/>
      <c r="Z181" s="946">
        <v>5300</v>
      </c>
    </row>
    <row r="182" spans="1:26" x14ac:dyDescent="0.25">
      <c r="A182" s="435"/>
      <c r="B182" s="418" t="s">
        <v>292</v>
      </c>
      <c r="C182" s="437"/>
      <c r="D182" s="437"/>
      <c r="E182" s="512">
        <v>0</v>
      </c>
      <c r="F182" s="513"/>
      <c r="G182" s="513"/>
      <c r="H182" s="512">
        <v>5517</v>
      </c>
      <c r="I182" s="513"/>
      <c r="J182" s="513"/>
      <c r="K182" s="512">
        <v>5517</v>
      </c>
      <c r="L182" s="513"/>
      <c r="M182" s="513"/>
      <c r="N182" s="575">
        <v>5311</v>
      </c>
      <c r="O182" s="947"/>
      <c r="P182" s="947"/>
      <c r="Q182" s="948">
        <v>5300</v>
      </c>
      <c r="R182" s="513"/>
      <c r="S182" s="513"/>
      <c r="T182" s="512">
        <v>5300</v>
      </c>
      <c r="U182" s="513"/>
      <c r="V182" s="513"/>
      <c r="W182" s="512">
        <v>5300</v>
      </c>
      <c r="X182" s="947"/>
      <c r="Y182" s="947"/>
      <c r="Z182" s="948">
        <v>5300</v>
      </c>
    </row>
    <row r="183" spans="1:26" s="660" customFormat="1" x14ac:dyDescent="0.25">
      <c r="A183" s="431" t="s">
        <v>755</v>
      </c>
      <c r="B183" s="432" t="s">
        <v>659</v>
      </c>
      <c r="C183" s="434"/>
      <c r="D183" s="434"/>
      <c r="E183" s="510">
        <v>10000</v>
      </c>
      <c r="F183" s="511"/>
      <c r="G183" s="511"/>
      <c r="H183" s="510">
        <v>10000</v>
      </c>
      <c r="I183" s="511"/>
      <c r="J183" s="511"/>
      <c r="K183" s="510">
        <v>15290</v>
      </c>
      <c r="L183" s="511"/>
      <c r="M183" s="511"/>
      <c r="N183" s="510">
        <v>120000</v>
      </c>
      <c r="O183" s="945"/>
      <c r="P183" s="945"/>
      <c r="Q183" s="946">
        <v>8650</v>
      </c>
      <c r="R183" s="511"/>
      <c r="S183" s="511"/>
      <c r="T183" s="510">
        <v>8650</v>
      </c>
      <c r="U183" s="511"/>
      <c r="V183" s="511"/>
      <c r="W183" s="510">
        <v>8650</v>
      </c>
      <c r="X183" s="945"/>
      <c r="Y183" s="945"/>
      <c r="Z183" s="946">
        <v>8650</v>
      </c>
    </row>
    <row r="184" spans="1:26" x14ac:dyDescent="0.25">
      <c r="A184" s="435"/>
      <c r="B184" s="418" t="s">
        <v>286</v>
      </c>
      <c r="C184" s="437"/>
      <c r="D184" s="437"/>
      <c r="E184" s="512">
        <v>7800</v>
      </c>
      <c r="F184" s="513"/>
      <c r="G184" s="513"/>
      <c r="H184" s="512">
        <v>7800</v>
      </c>
      <c r="I184" s="513"/>
      <c r="J184" s="513"/>
      <c r="K184" s="512">
        <v>12000</v>
      </c>
      <c r="L184" s="513"/>
      <c r="M184" s="513"/>
      <c r="N184" s="512">
        <v>120000</v>
      </c>
      <c r="O184" s="947"/>
      <c r="P184" s="947"/>
      <c r="Q184" s="948">
        <v>8000</v>
      </c>
      <c r="R184" s="513"/>
      <c r="S184" s="513"/>
      <c r="T184" s="512">
        <v>8000</v>
      </c>
      <c r="U184" s="513"/>
      <c r="V184" s="513"/>
      <c r="W184" s="512">
        <v>8000</v>
      </c>
      <c r="X184" s="947"/>
      <c r="Y184" s="947"/>
      <c r="Z184" s="948">
        <v>8000</v>
      </c>
    </row>
    <row r="185" spans="1:26" x14ac:dyDescent="0.25">
      <c r="A185" s="435"/>
      <c r="B185" s="418" t="s">
        <v>287</v>
      </c>
      <c r="C185" s="437"/>
      <c r="D185" s="437"/>
      <c r="E185" s="512">
        <v>1550</v>
      </c>
      <c r="F185" s="513"/>
      <c r="G185" s="513"/>
      <c r="H185" s="512">
        <v>1550</v>
      </c>
      <c r="I185" s="513"/>
      <c r="J185" s="513"/>
      <c r="K185" s="512">
        <v>2640</v>
      </c>
      <c r="L185" s="513"/>
      <c r="M185" s="513"/>
      <c r="N185" s="512"/>
      <c r="O185" s="947"/>
      <c r="P185" s="947"/>
      <c r="Q185" s="948">
        <v>0</v>
      </c>
      <c r="R185" s="513"/>
      <c r="S185" s="513"/>
      <c r="T185" s="512">
        <v>0</v>
      </c>
      <c r="U185" s="513"/>
      <c r="V185" s="513"/>
      <c r="W185" s="512">
        <v>0</v>
      </c>
      <c r="X185" s="947"/>
      <c r="Y185" s="947"/>
      <c r="Z185" s="948">
        <v>0</v>
      </c>
    </row>
    <row r="186" spans="1:26" x14ac:dyDescent="0.25">
      <c r="A186" s="435"/>
      <c r="B186" s="418" t="s">
        <v>292</v>
      </c>
      <c r="C186" s="437"/>
      <c r="D186" s="437"/>
      <c r="E186" s="512">
        <v>650</v>
      </c>
      <c r="F186" s="513"/>
      <c r="G186" s="513"/>
      <c r="H186" s="512">
        <v>650</v>
      </c>
      <c r="I186" s="513"/>
      <c r="J186" s="513"/>
      <c r="K186" s="512">
        <v>650</v>
      </c>
      <c r="L186" s="513"/>
      <c r="M186" s="513"/>
      <c r="N186" s="575"/>
      <c r="O186" s="947"/>
      <c r="P186" s="947"/>
      <c r="Q186" s="948">
        <v>650.24</v>
      </c>
      <c r="R186" s="513"/>
      <c r="S186" s="513"/>
      <c r="T186" s="512">
        <v>650</v>
      </c>
      <c r="U186" s="513"/>
      <c r="V186" s="513"/>
      <c r="W186" s="512">
        <v>650</v>
      </c>
      <c r="X186" s="947"/>
      <c r="Y186" s="947"/>
      <c r="Z186" s="948">
        <v>650</v>
      </c>
    </row>
    <row r="187" spans="1:26" s="441" customFormat="1" x14ac:dyDescent="0.25">
      <c r="A187" s="431" t="s">
        <v>757</v>
      </c>
      <c r="B187" s="432" t="s">
        <v>1423</v>
      </c>
      <c r="C187" s="434"/>
      <c r="D187" s="434"/>
      <c r="E187" s="510">
        <v>60000</v>
      </c>
      <c r="F187" s="511"/>
      <c r="G187" s="511"/>
      <c r="H187" s="510">
        <v>140000</v>
      </c>
      <c r="I187" s="511"/>
      <c r="J187" s="511"/>
      <c r="K187" s="510">
        <v>140000</v>
      </c>
      <c r="L187" s="511"/>
      <c r="M187" s="511"/>
      <c r="N187" s="510">
        <v>120000</v>
      </c>
      <c r="O187" s="945"/>
      <c r="P187" s="945"/>
      <c r="Q187" s="946">
        <v>80000</v>
      </c>
      <c r="R187" s="511"/>
      <c r="S187" s="511"/>
      <c r="T187" s="510">
        <f>SUM(T188:T190)</f>
        <v>93674</v>
      </c>
      <c r="U187" s="511"/>
      <c r="V187" s="511"/>
      <c r="W187" s="510">
        <f>SUM(W188:W190)</f>
        <v>153674</v>
      </c>
      <c r="X187" s="945"/>
      <c r="Y187" s="945"/>
      <c r="Z187" s="946">
        <f>SUM(Z188:Z190)</f>
        <v>154233</v>
      </c>
    </row>
    <row r="188" spans="1:26" x14ac:dyDescent="0.25">
      <c r="A188" s="435"/>
      <c r="B188" s="418" t="s">
        <v>1283</v>
      </c>
      <c r="C188" s="437"/>
      <c r="D188" s="437"/>
      <c r="E188" s="512">
        <v>60000</v>
      </c>
      <c r="F188" s="513"/>
      <c r="G188" s="513"/>
      <c r="H188" s="512">
        <v>120000</v>
      </c>
      <c r="I188" s="513"/>
      <c r="J188" s="513"/>
      <c r="K188" s="512">
        <v>120000</v>
      </c>
      <c r="L188" s="513"/>
      <c r="M188" s="513"/>
      <c r="N188" s="575">
        <v>120000</v>
      </c>
      <c r="O188" s="947"/>
      <c r="P188" s="947"/>
      <c r="Q188" s="948">
        <v>60000</v>
      </c>
      <c r="R188" s="513"/>
      <c r="S188" s="513"/>
      <c r="T188" s="512">
        <f>60000+11000</f>
        <v>71000</v>
      </c>
      <c r="U188" s="513"/>
      <c r="V188" s="513"/>
      <c r="W188" s="512">
        <f>60000+11000+60000</f>
        <v>131000</v>
      </c>
      <c r="X188" s="947"/>
      <c r="Y188" s="947"/>
      <c r="Z188" s="948">
        <f>60000+11000+60000</f>
        <v>131000</v>
      </c>
    </row>
    <row r="189" spans="1:26" x14ac:dyDescent="0.25">
      <c r="A189" s="435"/>
      <c r="B189" s="418" t="s">
        <v>1332</v>
      </c>
      <c r="C189" s="437"/>
      <c r="D189" s="437"/>
      <c r="E189" s="512"/>
      <c r="F189" s="513"/>
      <c r="G189" s="513"/>
      <c r="H189" s="512">
        <v>20000</v>
      </c>
      <c r="I189" s="513"/>
      <c r="J189" s="513"/>
      <c r="K189" s="512">
        <v>20000</v>
      </c>
      <c r="L189" s="513"/>
      <c r="M189" s="513"/>
      <c r="N189" s="575">
        <v>20000</v>
      </c>
      <c r="O189" s="947"/>
      <c r="P189" s="947"/>
      <c r="Q189" s="948">
        <v>20000</v>
      </c>
      <c r="R189" s="513"/>
      <c r="S189" s="513"/>
      <c r="T189" s="512">
        <f>20000+2674</f>
        <v>22674</v>
      </c>
      <c r="U189" s="513"/>
      <c r="V189" s="513"/>
      <c r="W189" s="512">
        <f>20000+2674</f>
        <v>22674</v>
      </c>
      <c r="X189" s="947"/>
      <c r="Y189" s="947"/>
      <c r="Z189" s="948">
        <f>20000+2674+559</f>
        <v>23233</v>
      </c>
    </row>
    <row r="190" spans="1:26" x14ac:dyDescent="0.25">
      <c r="A190" s="435"/>
      <c r="B190" s="418" t="s">
        <v>351</v>
      </c>
      <c r="C190" s="437"/>
      <c r="D190" s="437"/>
      <c r="E190" s="512">
        <v>0</v>
      </c>
      <c r="F190" s="513"/>
      <c r="G190" s="513"/>
      <c r="H190" s="512">
        <v>0</v>
      </c>
      <c r="I190" s="513"/>
      <c r="J190" s="513"/>
      <c r="K190" s="512">
        <v>0</v>
      </c>
      <c r="L190" s="513"/>
      <c r="M190" s="513"/>
      <c r="N190" s="512">
        <v>0</v>
      </c>
      <c r="O190" s="947"/>
      <c r="P190" s="947"/>
      <c r="Q190" s="948">
        <v>0</v>
      </c>
      <c r="R190" s="513"/>
      <c r="S190" s="513"/>
      <c r="T190" s="512">
        <v>0</v>
      </c>
      <c r="U190" s="513"/>
      <c r="V190" s="513"/>
      <c r="W190" s="512">
        <v>0</v>
      </c>
      <c r="X190" s="947"/>
      <c r="Y190" s="947"/>
      <c r="Z190" s="948">
        <v>0</v>
      </c>
    </row>
    <row r="191" spans="1:26" x14ac:dyDescent="0.25">
      <c r="A191" s="431" t="s">
        <v>1370</v>
      </c>
      <c r="B191" s="432" t="s">
        <v>1371</v>
      </c>
      <c r="C191" s="434"/>
      <c r="D191" s="434"/>
      <c r="E191" s="510">
        <v>113083</v>
      </c>
      <c r="F191" s="511"/>
      <c r="G191" s="511"/>
      <c r="H191" s="510">
        <v>89599</v>
      </c>
      <c r="I191" s="511"/>
      <c r="J191" s="511"/>
      <c r="K191" s="510">
        <v>158845</v>
      </c>
      <c r="L191" s="511"/>
      <c r="M191" s="511"/>
      <c r="N191" s="510">
        <v>88892</v>
      </c>
      <c r="O191" s="945"/>
      <c r="P191" s="945"/>
      <c r="Q191" s="946">
        <v>0</v>
      </c>
      <c r="R191" s="511"/>
      <c r="S191" s="511"/>
      <c r="T191" s="510">
        <v>0</v>
      </c>
      <c r="U191" s="511"/>
      <c r="V191" s="511"/>
      <c r="W191" s="510">
        <v>0</v>
      </c>
      <c r="X191" s="945"/>
      <c r="Y191" s="945"/>
      <c r="Z191" s="946">
        <v>0</v>
      </c>
    </row>
    <row r="192" spans="1:26" x14ac:dyDescent="0.25">
      <c r="A192" s="435"/>
      <c r="B192" s="418" t="s">
        <v>292</v>
      </c>
      <c r="C192" s="437"/>
      <c r="D192" s="437"/>
      <c r="E192" s="512"/>
      <c r="F192" s="513"/>
      <c r="G192" s="513"/>
      <c r="H192" s="512"/>
      <c r="I192" s="513"/>
      <c r="J192" s="513"/>
      <c r="K192" s="512">
        <v>17953</v>
      </c>
      <c r="L192" s="513"/>
      <c r="M192" s="513"/>
      <c r="N192" s="575">
        <v>3085</v>
      </c>
      <c r="O192" s="947"/>
      <c r="P192" s="947"/>
      <c r="Q192" s="948"/>
      <c r="R192" s="513"/>
      <c r="S192" s="513"/>
      <c r="T192" s="512"/>
      <c r="U192" s="513"/>
      <c r="V192" s="513"/>
      <c r="W192" s="512"/>
      <c r="X192" s="947"/>
      <c r="Y192" s="947"/>
      <c r="Z192" s="948"/>
    </row>
    <row r="193" spans="1:26" x14ac:dyDescent="0.25">
      <c r="A193" s="435"/>
      <c r="B193" s="418" t="s">
        <v>342</v>
      </c>
      <c r="C193" s="437"/>
      <c r="D193" s="437"/>
      <c r="E193" s="512">
        <v>113083</v>
      </c>
      <c r="F193" s="513"/>
      <c r="G193" s="513"/>
      <c r="H193" s="512">
        <v>89599</v>
      </c>
      <c r="I193" s="513"/>
      <c r="J193" s="513"/>
      <c r="K193" s="512">
        <v>140892</v>
      </c>
      <c r="L193" s="513"/>
      <c r="M193" s="513"/>
      <c r="N193" s="512">
        <v>85807</v>
      </c>
      <c r="O193" s="947"/>
      <c r="P193" s="947"/>
      <c r="Q193" s="948"/>
      <c r="R193" s="513"/>
      <c r="S193" s="513"/>
      <c r="T193" s="512"/>
      <c r="U193" s="513"/>
      <c r="V193" s="513"/>
      <c r="W193" s="512"/>
      <c r="X193" s="947"/>
      <c r="Y193" s="947"/>
      <c r="Z193" s="948"/>
    </row>
    <row r="194" spans="1:26" s="441" customFormat="1" x14ac:dyDescent="0.25">
      <c r="A194" s="431" t="s">
        <v>1413</v>
      </c>
      <c r="B194" s="432" t="s">
        <v>1414</v>
      </c>
      <c r="C194" s="434"/>
      <c r="D194" s="434"/>
      <c r="E194" s="510"/>
      <c r="F194" s="511"/>
      <c r="G194" s="511"/>
      <c r="H194" s="510">
        <v>71483</v>
      </c>
      <c r="I194" s="511"/>
      <c r="J194" s="511"/>
      <c r="K194" s="510">
        <v>19138</v>
      </c>
      <c r="L194" s="511"/>
      <c r="M194" s="511"/>
      <c r="N194" s="510">
        <v>19091</v>
      </c>
      <c r="O194" s="945"/>
      <c r="P194" s="945"/>
      <c r="Q194" s="946">
        <v>0</v>
      </c>
      <c r="R194" s="511"/>
      <c r="S194" s="511"/>
      <c r="T194" s="510">
        <v>0</v>
      </c>
      <c r="U194" s="511"/>
      <c r="V194" s="511"/>
      <c r="W194" s="510">
        <v>0</v>
      </c>
      <c r="X194" s="945"/>
      <c r="Y194" s="945"/>
      <c r="Z194" s="946">
        <v>0</v>
      </c>
    </row>
    <row r="195" spans="1:26" x14ac:dyDescent="0.25">
      <c r="A195" s="435"/>
      <c r="B195" s="418" t="s">
        <v>292</v>
      </c>
      <c r="C195" s="437"/>
      <c r="D195" s="437"/>
      <c r="E195" s="512"/>
      <c r="F195" s="513"/>
      <c r="G195" s="513"/>
      <c r="H195" s="512">
        <v>19138</v>
      </c>
      <c r="I195" s="513"/>
      <c r="J195" s="513"/>
      <c r="K195" s="512">
        <v>19138</v>
      </c>
      <c r="L195" s="513"/>
      <c r="M195" s="513"/>
      <c r="N195" s="512">
        <v>19091</v>
      </c>
      <c r="O195" s="947"/>
      <c r="P195" s="947"/>
      <c r="Q195" s="948"/>
      <c r="R195" s="513"/>
      <c r="S195" s="513"/>
      <c r="T195" s="512"/>
      <c r="U195" s="513"/>
      <c r="V195" s="513"/>
      <c r="W195" s="512"/>
      <c r="X195" s="947"/>
      <c r="Y195" s="947"/>
      <c r="Z195" s="948"/>
    </row>
    <row r="196" spans="1:26" x14ac:dyDescent="0.25">
      <c r="A196" s="435"/>
      <c r="B196" s="418" t="s">
        <v>351</v>
      </c>
      <c r="C196" s="437"/>
      <c r="D196" s="437"/>
      <c r="E196" s="512"/>
      <c r="F196" s="513"/>
      <c r="G196" s="513"/>
      <c r="H196" s="512">
        <v>52345</v>
      </c>
      <c r="I196" s="513"/>
      <c r="J196" s="513"/>
      <c r="K196" s="512">
        <v>0</v>
      </c>
      <c r="L196" s="513"/>
      <c r="M196" s="513"/>
      <c r="N196" s="512">
        <v>47899</v>
      </c>
      <c r="O196" s="947"/>
      <c r="P196" s="947"/>
      <c r="Q196" s="948"/>
      <c r="R196" s="513"/>
      <c r="S196" s="513"/>
      <c r="T196" s="512"/>
      <c r="U196" s="513"/>
      <c r="V196" s="513"/>
      <c r="W196" s="512"/>
      <c r="X196" s="947"/>
      <c r="Y196" s="947"/>
      <c r="Z196" s="948"/>
    </row>
    <row r="197" spans="1:26" x14ac:dyDescent="0.25">
      <c r="A197" s="435"/>
      <c r="B197" s="418" t="s">
        <v>342</v>
      </c>
      <c r="C197" s="437"/>
      <c r="D197" s="437"/>
      <c r="E197" s="512"/>
      <c r="F197" s="513"/>
      <c r="G197" s="513"/>
      <c r="H197" s="512"/>
      <c r="I197" s="513"/>
      <c r="J197" s="513"/>
      <c r="K197" s="512"/>
      <c r="L197" s="513"/>
      <c r="M197" s="513"/>
      <c r="N197" s="512"/>
      <c r="O197" s="947"/>
      <c r="P197" s="947"/>
      <c r="Q197" s="948"/>
      <c r="R197" s="513"/>
      <c r="S197" s="513"/>
      <c r="T197" s="512"/>
      <c r="U197" s="513"/>
      <c r="V197" s="513"/>
      <c r="W197" s="512"/>
      <c r="X197" s="947"/>
      <c r="Y197" s="947"/>
      <c r="Z197" s="948"/>
    </row>
    <row r="198" spans="1:26" x14ac:dyDescent="0.25">
      <c r="A198" s="431" t="s">
        <v>1370</v>
      </c>
      <c r="B198" s="432" t="s">
        <v>1480</v>
      </c>
      <c r="C198" s="434"/>
      <c r="D198" s="434"/>
      <c r="E198" s="510"/>
      <c r="F198" s="511"/>
      <c r="G198" s="511"/>
      <c r="H198" s="510">
        <v>8148</v>
      </c>
      <c r="I198" s="511"/>
      <c r="J198" s="511"/>
      <c r="K198" s="510">
        <v>8148</v>
      </c>
      <c r="L198" s="511"/>
      <c r="M198" s="511"/>
      <c r="N198" s="510">
        <v>8065</v>
      </c>
      <c r="O198" s="945"/>
      <c r="P198" s="945"/>
      <c r="Q198" s="946">
        <v>0</v>
      </c>
      <c r="R198" s="511"/>
      <c r="S198" s="511"/>
      <c r="T198" s="510">
        <v>0</v>
      </c>
      <c r="U198" s="511"/>
      <c r="V198" s="511"/>
      <c r="W198" s="510">
        <v>0</v>
      </c>
      <c r="X198" s="945"/>
      <c r="Y198" s="945"/>
      <c r="Z198" s="946">
        <v>0</v>
      </c>
    </row>
    <row r="199" spans="1:26" x14ac:dyDescent="0.25">
      <c r="A199" s="435"/>
      <c r="B199" s="418" t="s">
        <v>286</v>
      </c>
      <c r="C199" s="437"/>
      <c r="D199" s="437"/>
      <c r="E199" s="512"/>
      <c r="F199" s="513"/>
      <c r="G199" s="513"/>
      <c r="H199" s="512">
        <v>6416</v>
      </c>
      <c r="I199" s="513"/>
      <c r="J199" s="513"/>
      <c r="K199" s="512">
        <v>6416</v>
      </c>
      <c r="L199" s="513"/>
      <c r="M199" s="513"/>
      <c r="N199" s="512">
        <v>1115</v>
      </c>
      <c r="O199" s="947"/>
      <c r="P199" s="947"/>
      <c r="Q199" s="948"/>
      <c r="R199" s="513"/>
      <c r="S199" s="513"/>
      <c r="T199" s="512"/>
      <c r="U199" s="513"/>
      <c r="V199" s="513"/>
      <c r="W199" s="512"/>
      <c r="X199" s="947"/>
      <c r="Y199" s="947"/>
      <c r="Z199" s="948"/>
    </row>
    <row r="200" spans="1:26" x14ac:dyDescent="0.25">
      <c r="A200" s="435"/>
      <c r="B200" s="418" t="s">
        <v>287</v>
      </c>
      <c r="C200" s="437"/>
      <c r="D200" s="437"/>
      <c r="E200" s="512"/>
      <c r="F200" s="513"/>
      <c r="G200" s="513"/>
      <c r="H200" s="512"/>
      <c r="I200" s="513"/>
      <c r="J200" s="513"/>
      <c r="K200" s="512"/>
      <c r="L200" s="513"/>
      <c r="M200" s="513"/>
      <c r="N200" s="512">
        <v>505</v>
      </c>
      <c r="O200" s="947"/>
      <c r="P200" s="947"/>
      <c r="Q200" s="948"/>
      <c r="R200" s="513"/>
      <c r="S200" s="513"/>
      <c r="T200" s="512"/>
      <c r="U200" s="513"/>
      <c r="V200" s="513"/>
      <c r="W200" s="512"/>
      <c r="X200" s="947"/>
      <c r="Y200" s="947"/>
      <c r="Z200" s="948"/>
    </row>
    <row r="201" spans="1:26" x14ac:dyDescent="0.25">
      <c r="A201" s="435"/>
      <c r="B201" s="418" t="s">
        <v>1332</v>
      </c>
      <c r="C201" s="437"/>
      <c r="D201" s="437"/>
      <c r="E201" s="512"/>
      <c r="F201" s="513"/>
      <c r="G201" s="513"/>
      <c r="H201" s="512">
        <v>1732</v>
      </c>
      <c r="I201" s="513"/>
      <c r="J201" s="513"/>
      <c r="K201" s="512">
        <v>1732</v>
      </c>
      <c r="L201" s="513"/>
      <c r="M201" s="513"/>
      <c r="N201" s="512">
        <v>6445</v>
      </c>
      <c r="O201" s="947"/>
      <c r="P201" s="947"/>
      <c r="Q201" s="948"/>
      <c r="R201" s="513"/>
      <c r="S201" s="513"/>
      <c r="T201" s="512"/>
      <c r="U201" s="513"/>
      <c r="V201" s="513"/>
      <c r="W201" s="512"/>
      <c r="X201" s="947"/>
      <c r="Y201" s="947"/>
      <c r="Z201" s="948"/>
    </row>
    <row r="202" spans="1:26" x14ac:dyDescent="0.25">
      <c r="A202" s="537" t="s">
        <v>328</v>
      </c>
      <c r="B202" s="538" t="s">
        <v>660</v>
      </c>
      <c r="C202" s="430"/>
      <c r="D202" s="430"/>
      <c r="E202" s="430">
        <v>0</v>
      </c>
      <c r="F202" s="430">
        <v>0</v>
      </c>
      <c r="G202" s="430"/>
      <c r="H202" s="430">
        <v>0</v>
      </c>
      <c r="I202" s="513"/>
      <c r="J202" s="513"/>
      <c r="K202" s="512"/>
      <c r="L202" s="430"/>
      <c r="M202" s="430"/>
      <c r="N202" s="430">
        <v>0</v>
      </c>
      <c r="O202" s="430"/>
      <c r="P202" s="430"/>
      <c r="Q202" s="430">
        <v>0</v>
      </c>
      <c r="R202" s="430"/>
      <c r="S202" s="430"/>
      <c r="T202" s="430">
        <v>0</v>
      </c>
      <c r="U202" s="430"/>
      <c r="V202" s="430"/>
      <c r="W202" s="430">
        <v>0</v>
      </c>
      <c r="X202" s="430"/>
      <c r="Y202" s="430"/>
      <c r="Z202" s="430">
        <v>0</v>
      </c>
    </row>
    <row r="203" spans="1:26" s="441" customFormat="1" x14ac:dyDescent="0.25">
      <c r="A203" s="364" t="s">
        <v>1136</v>
      </c>
      <c r="B203" s="429" t="s">
        <v>596</v>
      </c>
      <c r="C203" s="430"/>
      <c r="D203" s="430"/>
      <c r="E203" s="508">
        <v>2822366.2</v>
      </c>
      <c r="F203" s="509"/>
      <c r="G203" s="509"/>
      <c r="H203" s="508">
        <v>3161860</v>
      </c>
      <c r="I203" s="509"/>
      <c r="J203" s="509"/>
      <c r="K203" s="508" t="e">
        <v>#REF!</v>
      </c>
      <c r="L203" s="509"/>
      <c r="M203" s="509"/>
      <c r="N203" s="508">
        <v>2553407</v>
      </c>
      <c r="O203" s="509"/>
      <c r="P203" s="509"/>
      <c r="Q203" s="508">
        <f>+Q204+Q205+Q206</f>
        <v>2758280.1093543307</v>
      </c>
      <c r="R203" s="509"/>
      <c r="S203" s="509"/>
      <c r="T203" s="508">
        <f>+T204+T205+T206</f>
        <v>2956287.33</v>
      </c>
      <c r="U203" s="509"/>
      <c r="V203" s="509"/>
      <c r="W203" s="508">
        <f>+W204+W205+W206</f>
        <v>3096604.33</v>
      </c>
      <c r="X203" s="509"/>
      <c r="Y203" s="509"/>
      <c r="Z203" s="508">
        <f>+Z204+Z205+Z206</f>
        <v>3323311.6799999997</v>
      </c>
    </row>
    <row r="204" spans="1:26" x14ac:dyDescent="0.25">
      <c r="A204" s="435"/>
      <c r="B204" s="418" t="s">
        <v>759</v>
      </c>
      <c r="C204" s="437"/>
      <c r="D204" s="437"/>
      <c r="E204" s="512">
        <v>2411936.2000000002</v>
      </c>
      <c r="F204" s="513"/>
      <c r="G204" s="513"/>
      <c r="H204" s="512">
        <v>2449987</v>
      </c>
      <c r="I204" s="513"/>
      <c r="J204" s="513"/>
      <c r="K204" s="512" t="e">
        <v>#REF!</v>
      </c>
      <c r="L204" s="513"/>
      <c r="M204" s="513"/>
      <c r="N204" s="512">
        <v>2241534</v>
      </c>
      <c r="O204" s="947"/>
      <c r="P204" s="947"/>
      <c r="Q204" s="948">
        <f>+'3A PH'!V37+'4A Walla'!Q34+'4B Nyitnikék'!Q34+'4C Bóbita'!Q34+'4D MMMH'!Q34+'4E Könyvtár'!Q34+'4F Segítő Kéz'!Q34+'4G Szérüskert'!Q34+'4H VG bev kiad'!Q34+1</f>
        <v>2560572.1093543307</v>
      </c>
      <c r="R204" s="513"/>
      <c r="S204" s="513"/>
      <c r="T204" s="512">
        <f>+'3A PH'!Z37+'4A Walla'!T34+'4B Nyitnikék'!T34+'4C Bóbita'!T34+'4D MMMH'!T34+'4E Könyvtár'!T34+'4F Segítő Kéz'!T34+'4G Szérüskert'!T34+'4H VG bev kiad'!T34</f>
        <v>2626281.33</v>
      </c>
      <c r="U204" s="513"/>
      <c r="V204" s="513"/>
      <c r="W204" s="512">
        <f>+'3A PH'!AD37+'4A Walla'!W34+'4B Nyitnikék'!W34+'4C Bóbita'!W34+'4D MMMH'!W34+'4E Könyvtár'!W34+'4F Segítő Kéz'!W34+'4G Szérüskert'!W34+'4H VG bev kiad'!W34+1</f>
        <v>2628569.33</v>
      </c>
      <c r="X204" s="947"/>
      <c r="Y204" s="947"/>
      <c r="Z204" s="948">
        <f>+'3A PH'!AH37+'4A Walla'!Z34+'4B Nyitnikék'!Z34+'4C Bóbita'!Z34+'4D MMMH'!Z34+'4E Könyvtár'!Z34+'4F Segítő Kéz'!Z34+'4G Szérüskert'!Z34+'4H VG bev kiad'!Z34</f>
        <v>2642650.6799999997</v>
      </c>
    </row>
    <row r="205" spans="1:26" x14ac:dyDescent="0.25">
      <c r="A205" s="435"/>
      <c r="B205" s="418" t="s">
        <v>760</v>
      </c>
      <c r="C205" s="437"/>
      <c r="D205" s="437"/>
      <c r="E205" s="512">
        <v>10430</v>
      </c>
      <c r="F205" s="513"/>
      <c r="G205" s="513"/>
      <c r="H205" s="512">
        <v>311873</v>
      </c>
      <c r="I205" s="513"/>
      <c r="J205" s="513"/>
      <c r="K205" s="512">
        <v>11619</v>
      </c>
      <c r="L205" s="513"/>
      <c r="M205" s="513"/>
      <c r="N205" s="512">
        <v>311873</v>
      </c>
      <c r="O205" s="947"/>
      <c r="P205" s="947"/>
      <c r="Q205" s="948">
        <v>17063</v>
      </c>
      <c r="R205" s="513"/>
      <c r="S205" s="513"/>
      <c r="T205" s="512">
        <f>17063+105077+27221</f>
        <v>149361</v>
      </c>
      <c r="U205" s="513"/>
      <c r="V205" s="513"/>
      <c r="W205" s="512">
        <f>149361+37567+38605+61857</f>
        <v>287390</v>
      </c>
      <c r="X205" s="947"/>
      <c r="Y205" s="947"/>
      <c r="Z205" s="948">
        <f>287390+27568+27741+29773+1+43374+84168+1</f>
        <v>500016</v>
      </c>
    </row>
    <row r="206" spans="1:26" x14ac:dyDescent="0.25">
      <c r="A206" s="435"/>
      <c r="B206" s="418" t="s">
        <v>761</v>
      </c>
      <c r="C206" s="437"/>
      <c r="D206" s="437"/>
      <c r="E206" s="512"/>
      <c r="F206" s="513"/>
      <c r="G206" s="513"/>
      <c r="H206" s="512"/>
      <c r="I206" s="513"/>
      <c r="J206" s="513"/>
      <c r="K206" s="512"/>
      <c r="L206" s="513"/>
      <c r="M206" s="513"/>
      <c r="N206" s="512"/>
      <c r="O206" s="947"/>
      <c r="P206" s="947"/>
      <c r="Q206" s="948">
        <v>180645</v>
      </c>
      <c r="R206" s="513"/>
      <c r="S206" s="513"/>
      <c r="T206" s="512">
        <v>180645</v>
      </c>
      <c r="U206" s="513"/>
      <c r="V206" s="513"/>
      <c r="W206" s="512">
        <v>180645</v>
      </c>
      <c r="X206" s="947"/>
      <c r="Y206" s="947"/>
      <c r="Z206" s="948">
        <v>180645</v>
      </c>
    </row>
    <row r="207" spans="1:26" x14ac:dyDescent="0.25">
      <c r="A207" s="435"/>
      <c r="B207" s="418" t="s">
        <v>762</v>
      </c>
      <c r="C207" s="437"/>
      <c r="D207" s="437"/>
      <c r="E207" s="512">
        <v>400000</v>
      </c>
      <c r="F207" s="513"/>
      <c r="G207" s="513"/>
      <c r="H207" s="512">
        <v>400000</v>
      </c>
      <c r="I207" s="513"/>
      <c r="J207" s="513"/>
      <c r="K207" s="512">
        <v>400000</v>
      </c>
      <c r="L207" s="513"/>
      <c r="M207" s="513"/>
      <c r="N207" s="512"/>
      <c r="O207" s="947"/>
      <c r="P207" s="947"/>
      <c r="Q207" s="948"/>
      <c r="R207" s="513"/>
      <c r="S207" s="513"/>
      <c r="T207" s="512"/>
      <c r="U207" s="513"/>
      <c r="V207" s="513"/>
      <c r="W207" s="512"/>
      <c r="X207" s="947"/>
      <c r="Y207" s="947"/>
      <c r="Z207" s="948"/>
    </row>
    <row r="209" spans="2:26" x14ac:dyDescent="0.25">
      <c r="B209" s="421" t="s">
        <v>286</v>
      </c>
      <c r="E209" s="422">
        <v>237227</v>
      </c>
      <c r="H209" s="422">
        <v>241968</v>
      </c>
      <c r="I209" s="422"/>
      <c r="K209" s="422">
        <v>246168</v>
      </c>
      <c r="N209" s="422">
        <v>161112</v>
      </c>
      <c r="Q209" s="422">
        <f>Q15+Q20+Q29+Q45+Q54+Q65+Q80+Q84+Q104+Q108+Q157+Q164+Q171+Q178+Q184+Q199</f>
        <v>238716</v>
      </c>
      <c r="T209" s="422">
        <f>T15+T20+T29+T45+T54+T65+T80+T84+T104+T108+T157+T164+T171+T178+T184+T199</f>
        <v>238913</v>
      </c>
      <c r="W209" s="422">
        <f>W15+W20+W29+W45+W54+W65+W80+W84+W104+W108+W157+W164+W171+W178+W184+W199</f>
        <v>238956</v>
      </c>
      <c r="Z209" s="422">
        <f>Z15+Z20+Z29+Z45+Z54+Z65+Z80+Z84+Z104+Z108+Z157+Z164+Z171+Z178+Z184+Z199</f>
        <v>231348</v>
      </c>
    </row>
    <row r="210" spans="2:26" x14ac:dyDescent="0.25">
      <c r="B210" s="421" t="s">
        <v>287</v>
      </c>
      <c r="E210" s="422">
        <v>47393</v>
      </c>
      <c r="H210" s="422">
        <v>46449</v>
      </c>
      <c r="K210" s="422">
        <v>47539</v>
      </c>
      <c r="N210" s="422">
        <v>6656</v>
      </c>
      <c r="Q210" s="422">
        <f>Q16+Q21+Q30+Q46+Q55+Q66+Q81+Q85+Q105+Q109+Q158+Q165+Q172+Q179+Q185+Q200</f>
        <v>38669</v>
      </c>
      <c r="T210" s="422">
        <f>T16+T21+T30+T46+T55+T66+T81+T85+T105+T109+T158+T165+T172+T179+T185+T200</f>
        <v>38792</v>
      </c>
      <c r="W210" s="422">
        <f>W16+W21+W30+W46+W55+W66+W81+W85+W105+W109+W158+W165+W172+W179+W185+W200</f>
        <v>38805</v>
      </c>
      <c r="Z210" s="422">
        <f>Z16+Z21+Z30+Z46+Z55+Z66+Z81+Z85+Z105+Z109+Z158+Z165+Z172+Z179+Z185+Z200</f>
        <v>41140</v>
      </c>
    </row>
    <row r="211" spans="2:26" x14ac:dyDescent="0.25">
      <c r="B211" s="421" t="s">
        <v>292</v>
      </c>
      <c r="E211" s="422">
        <v>479365</v>
      </c>
      <c r="H211" s="422">
        <v>1141174</v>
      </c>
      <c r="K211" s="422">
        <v>1159726</v>
      </c>
      <c r="N211" s="422">
        <v>921961</v>
      </c>
      <c r="Q211" s="422">
        <f>Q8+Q12+Q17+Q22+Q25+Q27+Q31+Q34+Q38+Q41+Q47+Q56+Q60+Q62+Q69+Q74+Q77+Q82+Q88+Q90+Q92+Q94+Q96+Q98+Q100+Q102+Q106+Q110+Q115+Q118+Q140+Q136+Q152+Q154+Q159+Q166+Q173+Q180+Q182+Q186+Q189+Q192+Q195+Q201</f>
        <v>389397.7349606299</v>
      </c>
      <c r="T211" s="422">
        <f>T8+T12+T17+T22+T25+T27+T31+T34+T38+T41+T47+T56+T60+T62+T69+T74+T77+T82+T88+T90+T92+T94+T96+T98+T100+T102+T106+T110+T115+T118+T140+T136+T152+T154+T159+T166+T173+T180+T182+T186+T189+T192+T195+T201</f>
        <v>550343</v>
      </c>
      <c r="W211" s="422">
        <f>W8+W12+W17+W22+W25+W27+W31+W34+W38+W41+W47+W56+W60+W62+W69+W74+W77+W82+W88+W90+W92+W94+W96+W98+W100+W102+W106+W110+W115+W118+W140+W136+W152+W154+W159+W166+W173+W180+W182+W186+W189+W192+W195+W201</f>
        <v>603790</v>
      </c>
      <c r="Z211" s="422">
        <f>Z8+Z12+Z17+Z22+Z25+Z27+Z31+Z34+Z38+Z41+Z47+Z56+Z60+Z62+Z69+Z74+Z77+Z82+Z88+Z90+Z92+Z94+Z96+Z98+Z100+Z102+Z106+Z110+Z115+Z118+Z140+Z136+Z152+Z154+Z159+Z166+Z173+Z180+Z182+Z186+Z189+Z192+Z195+Z201</f>
        <v>843704</v>
      </c>
    </row>
    <row r="212" spans="2:26" x14ac:dyDescent="0.25">
      <c r="B212" s="421" t="s">
        <v>337</v>
      </c>
      <c r="E212" s="422">
        <v>30000</v>
      </c>
      <c r="H212" s="422">
        <v>30223</v>
      </c>
      <c r="K212" s="422">
        <v>30223</v>
      </c>
      <c r="N212" s="422">
        <v>30094</v>
      </c>
      <c r="Q212" s="422">
        <f>Q63+Q155</f>
        <v>34000</v>
      </c>
      <c r="T212" s="422">
        <f>T63+T155</f>
        <v>36455</v>
      </c>
      <c r="W212" s="422">
        <f>W63+W155</f>
        <v>35795</v>
      </c>
      <c r="Z212" s="422">
        <f>Z63+Z155</f>
        <v>35795</v>
      </c>
    </row>
    <row r="213" spans="2:26" x14ac:dyDescent="0.25">
      <c r="B213" s="421" t="s">
        <v>1712</v>
      </c>
      <c r="E213" s="422">
        <v>807881</v>
      </c>
      <c r="H213" s="422">
        <v>702549</v>
      </c>
      <c r="K213" s="422">
        <v>805559</v>
      </c>
      <c r="N213" s="422">
        <v>644365</v>
      </c>
      <c r="Q213" s="422">
        <f>Q48+Q67+Q160+Q49</f>
        <v>510505</v>
      </c>
      <c r="T213" s="422">
        <f>T48+T67+T160+T49</f>
        <v>474348</v>
      </c>
      <c r="W213" s="422">
        <f>W48+W67+W160+W49</f>
        <v>394965</v>
      </c>
      <c r="Z213" s="422">
        <f>Z48+Z67+Z160+Z49</f>
        <v>366274</v>
      </c>
    </row>
    <row r="214" spans="2:26" x14ac:dyDescent="0.25">
      <c r="B214" s="421" t="s">
        <v>351</v>
      </c>
      <c r="E214" s="422">
        <v>1500084.24</v>
      </c>
      <c r="H214" s="422">
        <v>1707630.5</v>
      </c>
      <c r="K214" s="422">
        <v>1934807.4</v>
      </c>
      <c r="N214" s="422">
        <v>1603072</v>
      </c>
      <c r="Q214" s="422">
        <f>Q9+Q13+Q18+Q23+Q32+Q35+Q39+Q43+Q50+Q57+Q70+Q75+Q78+Q111+Q162+Q167+Q175+Q190+Q196</f>
        <v>904481</v>
      </c>
      <c r="T214" s="422">
        <f>T9+T13+T18+T23+T32+T35+T39+T43+T50+T57+T70+T75+T78+T111+T162+T167+T175+T190+T196</f>
        <v>1121947</v>
      </c>
      <c r="W214" s="422">
        <f>W9+W13+W18+W23+W32+W35+W39+W43+W50+W57+W70+W75+W78+W111+W162+W167+W175+W190+W196</f>
        <v>1091862</v>
      </c>
      <c r="Z214" s="422">
        <f>Z9+Z13+Z18+Z23+Z32+Z35+Z39+Z43+Z50+Z57+Z70+Z75+Z78+Z111+Z162+Z167+Z175+Z190+Z196</f>
        <v>1196994</v>
      </c>
    </row>
    <row r="215" spans="2:26" x14ac:dyDescent="0.25">
      <c r="B215" s="421" t="s">
        <v>1303</v>
      </c>
      <c r="E215" s="422">
        <v>294748</v>
      </c>
      <c r="H215" s="422">
        <v>247922</v>
      </c>
      <c r="K215" s="422">
        <v>320604</v>
      </c>
      <c r="N215" s="422">
        <v>197683</v>
      </c>
      <c r="Q215" s="422">
        <f>Q51+Q71+Q58+Q168+Q176+Q193+Q197</f>
        <v>433382</v>
      </c>
      <c r="T215" s="422">
        <f>T51+T71+T58+T168+T176+T193+T197</f>
        <v>408341</v>
      </c>
      <c r="W215" s="422">
        <f>W51+W71+W58+W168+W176+W193+W197</f>
        <v>399299</v>
      </c>
      <c r="Z215" s="422">
        <f>Z51+Z71+Z58+Z168+Z176+Z193+Z197</f>
        <v>412914</v>
      </c>
    </row>
    <row r="216" spans="2:26" ht="15.75" customHeight="1" x14ac:dyDescent="0.25">
      <c r="B216" s="421" t="s">
        <v>343</v>
      </c>
      <c r="E216" s="422">
        <v>700</v>
      </c>
      <c r="H216" s="422">
        <v>2272</v>
      </c>
      <c r="K216" s="422">
        <v>2272</v>
      </c>
      <c r="N216" s="422">
        <v>572</v>
      </c>
      <c r="Q216" s="422">
        <f>Q10</f>
        <v>700</v>
      </c>
      <c r="T216" s="422">
        <f>T10</f>
        <v>1419</v>
      </c>
      <c r="W216" s="422">
        <f>W10</f>
        <v>1419</v>
      </c>
      <c r="Z216" s="422">
        <f>Z10</f>
        <v>1419</v>
      </c>
    </row>
    <row r="217" spans="2:26" ht="15.75" customHeight="1" x14ac:dyDescent="0.25">
      <c r="B217" s="421" t="s">
        <v>1471</v>
      </c>
      <c r="E217" s="422">
        <v>0</v>
      </c>
      <c r="H217" s="422">
        <v>1000</v>
      </c>
      <c r="K217" s="422">
        <v>1000</v>
      </c>
      <c r="N217" s="422">
        <v>1000</v>
      </c>
      <c r="Q217" s="422">
        <f>Q161</f>
        <v>0</v>
      </c>
      <c r="T217" s="422">
        <f>T161</f>
        <v>0</v>
      </c>
      <c r="W217" s="422">
        <f>W161</f>
        <v>0</v>
      </c>
      <c r="Z217" s="422">
        <f>Z161</f>
        <v>0</v>
      </c>
    </row>
    <row r="218" spans="2:26" ht="15.75" customHeight="1" x14ac:dyDescent="0.25">
      <c r="B218" s="421" t="s">
        <v>1710</v>
      </c>
      <c r="E218" s="422"/>
      <c r="H218" s="422"/>
      <c r="K218" s="422"/>
      <c r="N218" s="422"/>
      <c r="Q218" s="422">
        <f>Q86+Q113+Q116+Q120+Q124+Q126+Q128</f>
        <v>45223</v>
      </c>
      <c r="T218" s="422">
        <f>T86+T113+T116+T120+T124+T126+T128</f>
        <v>45223</v>
      </c>
      <c r="W218" s="422">
        <f>W86+W113+W116+W120+W124+W126+W128</f>
        <v>45223</v>
      </c>
      <c r="Z218" s="422">
        <f>Z86+Z113+Z116+Z120+Z124+Z126+Z128</f>
        <v>45617</v>
      </c>
    </row>
    <row r="219" spans="2:26" ht="15.75" customHeight="1" x14ac:dyDescent="0.25">
      <c r="B219" s="421" t="s">
        <v>1711</v>
      </c>
      <c r="E219" s="422"/>
      <c r="H219" s="422"/>
      <c r="K219" s="422"/>
      <c r="N219" s="422"/>
      <c r="Q219" s="422">
        <f>Q42+Q130+Q132+Q134+Q137+Q139+Q142+Q145+Q147+Q150+Q174+Q188</f>
        <v>252132</v>
      </c>
      <c r="T219" s="422">
        <f>T42+T130+T132+T134+T137+T139+T142+T145+T147+T150+T174+T188</f>
        <v>276879</v>
      </c>
      <c r="W219" s="422">
        <f>W42+W130+W132+W134+W137+W139+W142+W145+W147+W150+W174+W188</f>
        <v>345028</v>
      </c>
      <c r="Z219" s="422">
        <f>Z42+Z130+Z132+Z134+Z137+Z139+Z142+Z145+Z147+Z150+Z174+Z188</f>
        <v>337853</v>
      </c>
    </row>
    <row r="220" spans="2:26" x14ac:dyDescent="0.25">
      <c r="B220" s="421" t="s">
        <v>982</v>
      </c>
      <c r="E220" s="422">
        <v>2822366.2</v>
      </c>
      <c r="H220" s="422">
        <v>3161860</v>
      </c>
      <c r="K220" s="422" t="e">
        <v>#REF!</v>
      </c>
      <c r="N220" s="422">
        <v>2553407</v>
      </c>
      <c r="Q220" s="422">
        <f>Q203</f>
        <v>2758280.1093543307</v>
      </c>
      <c r="T220" s="422">
        <f>T203</f>
        <v>2956287.33</v>
      </c>
      <c r="W220" s="422">
        <f>W203</f>
        <v>3096604.33</v>
      </c>
      <c r="Z220" s="422">
        <f>Z203</f>
        <v>3323311.6799999997</v>
      </c>
    </row>
    <row r="221" spans="2:26" x14ac:dyDescent="0.25">
      <c r="B221" s="421" t="s">
        <v>1302</v>
      </c>
      <c r="E221" s="422">
        <v>6219764.4400000004</v>
      </c>
      <c r="H221" s="422">
        <v>7283047.5</v>
      </c>
      <c r="K221" s="422" t="e">
        <v>#REF!</v>
      </c>
      <c r="N221" s="422">
        <v>6119922</v>
      </c>
      <c r="Q221" s="422">
        <f>SUM(Q209:Q220)</f>
        <v>5605485.8443149608</v>
      </c>
      <c r="T221" s="422">
        <f>SUBTOTAL(9,T209:T220)</f>
        <v>6148947.3300000001</v>
      </c>
      <c r="W221" s="422">
        <f>SUBTOTAL(9,W209:W220)</f>
        <v>6291746.3300000001</v>
      </c>
      <c r="Z221" s="422">
        <f>SUBTOTAL(9,Z209:Z220)</f>
        <v>6836369.6799999997</v>
      </c>
    </row>
    <row r="224" spans="2:26" x14ac:dyDescent="0.25">
      <c r="N224" s="422"/>
    </row>
    <row r="225" spans="14:14" x14ac:dyDescent="0.25">
      <c r="N225" s="422"/>
    </row>
    <row r="227" spans="14:14" x14ac:dyDescent="0.25">
      <c r="N227" s="422"/>
    </row>
    <row r="228" spans="14:14" x14ac:dyDescent="0.25">
      <c r="N228" s="422"/>
    </row>
    <row r="231" spans="14:14" x14ac:dyDescent="0.25">
      <c r="N231" s="422"/>
    </row>
  </sheetData>
  <mergeCells count="34">
    <mergeCell ref="X2:X3"/>
    <mergeCell ref="Y2:Y3"/>
    <mergeCell ref="Z2:Z3"/>
    <mergeCell ref="X4:Z4"/>
    <mergeCell ref="A2:A4"/>
    <mergeCell ref="B2:B4"/>
    <mergeCell ref="C2:C3"/>
    <mergeCell ref="D2:D3"/>
    <mergeCell ref="N2:N3"/>
    <mergeCell ref="L4:N4"/>
    <mergeCell ref="E2:E3"/>
    <mergeCell ref="C4:E4"/>
    <mergeCell ref="I2:I3"/>
    <mergeCell ref="J2:J3"/>
    <mergeCell ref="K2:K3"/>
    <mergeCell ref="I4:K4"/>
    <mergeCell ref="F2:F3"/>
    <mergeCell ref="H2:H3"/>
    <mergeCell ref="G2:G3"/>
    <mergeCell ref="F4:H4"/>
    <mergeCell ref="U2:U3"/>
    <mergeCell ref="V2:V3"/>
    <mergeCell ref="W2:W3"/>
    <mergeCell ref="U4:W4"/>
    <mergeCell ref="L2:L3"/>
    <mergeCell ref="M2:M3"/>
    <mergeCell ref="T2:T3"/>
    <mergeCell ref="R4:T4"/>
    <mergeCell ref="P2:P3"/>
    <mergeCell ref="Q2:Q3"/>
    <mergeCell ref="O4:Q4"/>
    <mergeCell ref="R2:R3"/>
    <mergeCell ref="S2:S3"/>
    <mergeCell ref="O2:O3"/>
  </mergeCells>
  <printOptions horizontalCentered="1"/>
  <pageMargins left="0.23622047244094491" right="0.23622047244094491" top="0.62992125984251968" bottom="0.31496062992125984" header="0.15748031496062992" footer="0.15748031496062992"/>
  <pageSetup paperSize="9" scale="52" fitToHeight="0" pageOrder="overThenDown" orientation="portrait" copies="4" r:id="rId1"/>
  <headerFooter>
    <oddHeader>&amp;L2/C.  melléklet a ...../2020. (.......) önkormányzati rendelethez&amp;C&amp;"-,Félkövér"&amp;16
Az Önkormányzat 2019. évi kiadásai feladatonként részletes bontásban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I170"/>
  <sheetViews>
    <sheetView showZeros="0" tabSelected="1" view="pageBreakPreview" zoomScale="75" zoomScaleNormal="100" zoomScaleSheetLayoutView="75" workbookViewId="0">
      <selection activeCell="A16" sqref="A16"/>
    </sheetView>
  </sheetViews>
  <sheetFormatPr defaultColWidth="11.85546875" defaultRowHeight="15" x14ac:dyDescent="0.25"/>
  <cols>
    <col min="1" max="1" width="73.140625" style="207" customWidth="1"/>
    <col min="2" max="5" width="13.140625" style="207" hidden="1" customWidth="1"/>
    <col min="6" max="6" width="13.140625" style="207" customWidth="1"/>
    <col min="7" max="7" width="0" style="207" hidden="1" customWidth="1"/>
    <col min="8" max="16384" width="11.85546875" style="207"/>
  </cols>
  <sheetData>
    <row r="1" spans="1:243" x14ac:dyDescent="0.25">
      <c r="B1" s="208"/>
      <c r="D1" s="208"/>
      <c r="E1" s="208"/>
      <c r="F1" s="208"/>
      <c r="G1" s="208"/>
      <c r="H1" s="208"/>
      <c r="I1" s="208" t="s">
        <v>302</v>
      </c>
    </row>
    <row r="2" spans="1:243" s="210" customFormat="1" ht="70.5" customHeight="1" x14ac:dyDescent="0.25">
      <c r="A2" s="43" t="s">
        <v>306</v>
      </c>
      <c r="B2" s="209" t="s">
        <v>1461</v>
      </c>
      <c r="C2" s="209" t="s">
        <v>1504</v>
      </c>
      <c r="D2" s="209" t="s">
        <v>1505</v>
      </c>
      <c r="E2" s="209" t="s">
        <v>1496</v>
      </c>
      <c r="F2" s="209" t="s">
        <v>1499</v>
      </c>
      <c r="G2" s="209" t="s">
        <v>1709</v>
      </c>
      <c r="H2" s="209" t="s">
        <v>1727</v>
      </c>
      <c r="I2" s="209" t="s">
        <v>1741</v>
      </c>
      <c r="HR2" s="211"/>
      <c r="HS2" s="211"/>
      <c r="HT2" s="211"/>
      <c r="HU2" s="211"/>
      <c r="HV2" s="211"/>
      <c r="HW2" s="211"/>
      <c r="HX2" s="211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</row>
    <row r="3" spans="1:243" s="210" customFormat="1" ht="27.75" customHeight="1" x14ac:dyDescent="0.25">
      <c r="A3" s="212" t="s">
        <v>1011</v>
      </c>
      <c r="B3" s="213">
        <v>50000</v>
      </c>
      <c r="C3" s="213">
        <f t="shared" ref="C3:D3" si="0">57021-4667+65+1384+428+160-7500-97-3810-12607-318-635-1905-5987-236-8893</f>
        <v>12403</v>
      </c>
      <c r="D3" s="213">
        <f t="shared" si="0"/>
        <v>12403</v>
      </c>
      <c r="E3" s="213">
        <v>0</v>
      </c>
      <c r="F3" s="213">
        <f>31790+18210</f>
        <v>50000</v>
      </c>
      <c r="G3" s="213">
        <f>50000-11000-1000-116-559-953-2984+4414+890+1953+6134-667-199-3000</f>
        <v>42913</v>
      </c>
      <c r="H3" s="213">
        <f>44851-483-444+1937-6609-2300-4891+411+1916+1</f>
        <v>34389</v>
      </c>
      <c r="I3" s="213">
        <f>34389+122+427+1409-1219+122+438+1284+1292-2441+6240+9284+577-3302-562+122+447+1269-1000-991-500-11000-7747+1790-120-1143-259-6000+1956+1302-936-200-500-200-3500-14144-762</f>
        <v>5944</v>
      </c>
      <c r="HR3" s="211"/>
      <c r="HS3" s="211"/>
      <c r="HT3" s="211"/>
      <c r="HU3" s="211"/>
      <c r="HV3" s="211"/>
      <c r="HW3" s="211"/>
      <c r="HX3" s="211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</row>
    <row r="4" spans="1:243" s="214" customFormat="1" ht="24" customHeight="1" x14ac:dyDescent="0.25">
      <c r="A4" s="212" t="s">
        <v>1012</v>
      </c>
      <c r="B4" s="213">
        <f>SUM(B5:B24)</f>
        <v>196034</v>
      </c>
      <c r="C4" s="213">
        <f>SUM(C5:C24)</f>
        <v>36251</v>
      </c>
      <c r="D4" s="213">
        <f>SUM(D5:D24)</f>
        <v>36251</v>
      </c>
      <c r="E4" s="213">
        <f>SUM(E5:E23)</f>
        <v>0</v>
      </c>
      <c r="F4" s="213">
        <f>SUM(F5:F24)</f>
        <v>118841</v>
      </c>
      <c r="G4" s="213">
        <f>SUM(G5:G25)</f>
        <v>89771</v>
      </c>
      <c r="H4" s="213">
        <f>SUM(H5:H25)</f>
        <v>18912</v>
      </c>
      <c r="I4" s="213">
        <f>SUM(I5:I25)</f>
        <v>14666</v>
      </c>
      <c r="HR4" s="215"/>
      <c r="HS4" s="215"/>
      <c r="HT4" s="215"/>
      <c r="HU4" s="215"/>
      <c r="HV4" s="215"/>
      <c r="HW4" s="215"/>
      <c r="HX4" s="215"/>
      <c r="HY4" s="216"/>
      <c r="HZ4" s="216"/>
      <c r="IA4" s="216"/>
      <c r="IB4" s="216"/>
      <c r="IC4" s="216"/>
      <c r="ID4" s="216"/>
      <c r="IE4" s="216"/>
      <c r="IF4" s="216"/>
      <c r="IG4" s="216"/>
      <c r="IH4" s="216"/>
      <c r="II4" s="207"/>
    </row>
    <row r="5" spans="1:243" s="220" customFormat="1" ht="24" customHeight="1" x14ac:dyDescent="0.25">
      <c r="A5" s="217" t="s">
        <v>1013</v>
      </c>
      <c r="B5" s="218">
        <f>28500-9966</f>
        <v>18534</v>
      </c>
      <c r="C5" s="218">
        <f t="shared" ref="C5:D5" si="1">18534-18534</f>
        <v>0</v>
      </c>
      <c r="D5" s="218">
        <f t="shared" si="1"/>
        <v>0</v>
      </c>
      <c r="E5" s="218"/>
      <c r="F5" s="944">
        <v>6841</v>
      </c>
      <c r="G5" s="218">
        <v>6841</v>
      </c>
      <c r="H5" s="218">
        <v>6841</v>
      </c>
      <c r="I5" s="944">
        <v>6841</v>
      </c>
      <c r="HN5" s="221"/>
      <c r="HO5" s="221"/>
      <c r="HP5" s="221"/>
      <c r="HQ5" s="221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</row>
    <row r="6" spans="1:243" s="220" customFormat="1" ht="24" customHeight="1" x14ac:dyDescent="0.25">
      <c r="A6" s="217" t="s">
        <v>1014</v>
      </c>
      <c r="B6" s="218">
        <v>4000</v>
      </c>
      <c r="C6" s="218">
        <f t="shared" ref="C6:D6" si="2">1792-150-248-200-750-28-178</f>
        <v>238</v>
      </c>
      <c r="D6" s="218">
        <f t="shared" si="2"/>
        <v>238</v>
      </c>
      <c r="E6" s="218"/>
      <c r="F6" s="944">
        <v>4000</v>
      </c>
      <c r="G6" s="218">
        <f>4000-335-110-400-100-200</f>
        <v>2855</v>
      </c>
      <c r="H6" s="218">
        <f>2855-100-350-190-100-500-100-39-100-24-381-200-237</f>
        <v>534</v>
      </c>
      <c r="I6" s="944">
        <f>534-100-100-200</f>
        <v>134</v>
      </c>
      <c r="HN6" s="221"/>
      <c r="HO6" s="221"/>
      <c r="HP6" s="221"/>
      <c r="HQ6" s="221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</row>
    <row r="7" spans="1:243" s="220" customFormat="1" ht="24" customHeight="1" x14ac:dyDescent="0.25">
      <c r="A7" s="217" t="s">
        <v>1015</v>
      </c>
      <c r="B7" s="218">
        <v>3500</v>
      </c>
      <c r="C7" s="218">
        <f t="shared" ref="C7:D7" si="3">1438-83-100-100-200-100</f>
        <v>855</v>
      </c>
      <c r="D7" s="218">
        <f t="shared" si="3"/>
        <v>855</v>
      </c>
      <c r="E7" s="218"/>
      <c r="F7" s="944">
        <v>3500</v>
      </c>
      <c r="G7" s="218">
        <f>3500-39-50-150-540-146</f>
        <v>2575</v>
      </c>
      <c r="H7" s="218">
        <f>2575-100-50-100-100-650-100-237</f>
        <v>1238</v>
      </c>
      <c r="I7" s="944">
        <f>1238-50-100-80-50-50-100-64-300-50-60-100+1</f>
        <v>235</v>
      </c>
      <c r="HN7" s="221"/>
      <c r="HO7" s="221"/>
      <c r="HP7" s="221"/>
      <c r="HQ7" s="221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</row>
    <row r="8" spans="1:243" s="220" customFormat="1" ht="24" hidden="1" customHeight="1" x14ac:dyDescent="0.25">
      <c r="A8" s="217" t="s">
        <v>1016</v>
      </c>
      <c r="B8" s="218"/>
      <c r="C8" s="218"/>
      <c r="D8" s="218"/>
      <c r="E8" s="218"/>
      <c r="F8" s="944"/>
      <c r="G8" s="218"/>
      <c r="H8" s="218"/>
      <c r="I8" s="944"/>
      <c r="HN8" s="221"/>
      <c r="HO8" s="221"/>
      <c r="HP8" s="221"/>
      <c r="HQ8" s="221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</row>
    <row r="9" spans="1:243" s="220" customFormat="1" ht="24" customHeight="1" x14ac:dyDescent="0.25">
      <c r="A9" s="217" t="s">
        <v>1242</v>
      </c>
      <c r="B9" s="218">
        <v>2000</v>
      </c>
      <c r="C9" s="218">
        <f t="shared" ref="C9:D9" si="4">550-400-100</f>
        <v>50</v>
      </c>
      <c r="D9" s="218">
        <f t="shared" si="4"/>
        <v>50</v>
      </c>
      <c r="E9" s="218"/>
      <c r="F9" s="944">
        <v>0</v>
      </c>
      <c r="G9" s="218">
        <v>0</v>
      </c>
      <c r="H9" s="218">
        <v>0</v>
      </c>
      <c r="I9" s="944">
        <v>0</v>
      </c>
      <c r="HN9" s="221"/>
      <c r="HO9" s="221"/>
      <c r="HP9" s="221"/>
      <c r="HQ9" s="221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</row>
    <row r="10" spans="1:243" s="220" customFormat="1" ht="24" customHeight="1" x14ac:dyDescent="0.25">
      <c r="A10" s="217" t="s">
        <v>1243</v>
      </c>
      <c r="B10" s="218">
        <v>2000</v>
      </c>
      <c r="C10" s="218">
        <f t="shared" ref="C10:D10" si="5">2000-430-570</f>
        <v>1000</v>
      </c>
      <c r="D10" s="218">
        <f t="shared" si="5"/>
        <v>1000</v>
      </c>
      <c r="E10" s="218"/>
      <c r="F10" s="944"/>
      <c r="G10" s="218"/>
      <c r="H10" s="218"/>
      <c r="I10" s="944"/>
      <c r="HN10" s="221"/>
      <c r="HO10" s="221"/>
      <c r="HP10" s="221"/>
      <c r="HQ10" s="221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</row>
    <row r="11" spans="1:243" s="220" customFormat="1" ht="24" customHeight="1" x14ac:dyDescent="0.25">
      <c r="A11" s="217" t="s">
        <v>1244</v>
      </c>
      <c r="B11" s="218">
        <v>2000</v>
      </c>
      <c r="C11" s="218">
        <f t="shared" ref="C11:D11" si="6">1450-120-730-600</f>
        <v>0</v>
      </c>
      <c r="D11" s="218">
        <f t="shared" si="6"/>
        <v>0</v>
      </c>
      <c r="E11" s="218"/>
      <c r="F11" s="944"/>
      <c r="G11" s="218"/>
      <c r="H11" s="218"/>
      <c r="I11" s="944"/>
      <c r="HN11" s="221"/>
      <c r="HO11" s="221"/>
      <c r="HP11" s="221"/>
      <c r="HQ11" s="221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</row>
    <row r="12" spans="1:243" s="220" customFormat="1" ht="24" customHeight="1" x14ac:dyDescent="0.25">
      <c r="A12" s="222" t="s">
        <v>1245</v>
      </c>
      <c r="B12" s="218">
        <v>30000</v>
      </c>
      <c r="C12" s="218">
        <f t="shared" ref="C12:D12" si="7">30000-30000</f>
        <v>0</v>
      </c>
      <c r="D12" s="218">
        <f t="shared" si="7"/>
        <v>0</v>
      </c>
      <c r="E12" s="218"/>
      <c r="F12" s="944">
        <v>30000</v>
      </c>
      <c r="G12" s="218">
        <f>30000-30000</f>
        <v>0</v>
      </c>
      <c r="H12" s="218">
        <f>30000-30000</f>
        <v>0</v>
      </c>
      <c r="I12" s="944">
        <f>30000-30000</f>
        <v>0</v>
      </c>
      <c r="HN12" s="221"/>
      <c r="HO12" s="221"/>
      <c r="HP12" s="221"/>
      <c r="HQ12" s="221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</row>
    <row r="13" spans="1:243" s="220" customFormat="1" ht="24" hidden="1" customHeight="1" x14ac:dyDescent="0.25">
      <c r="A13" s="222" t="s">
        <v>1017</v>
      </c>
      <c r="B13" s="218"/>
      <c r="C13" s="218"/>
      <c r="D13" s="218"/>
      <c r="E13" s="218"/>
      <c r="F13" s="944"/>
      <c r="G13" s="218"/>
      <c r="H13" s="218"/>
      <c r="I13" s="944"/>
      <c r="HN13" s="221"/>
      <c r="HO13" s="221"/>
      <c r="HP13" s="221"/>
      <c r="HQ13" s="221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</row>
    <row r="14" spans="1:243" s="220" customFormat="1" ht="24" hidden="1" customHeight="1" x14ac:dyDescent="0.25">
      <c r="A14" s="222" t="s">
        <v>1018</v>
      </c>
      <c r="B14" s="218"/>
      <c r="C14" s="218"/>
      <c r="D14" s="218"/>
      <c r="E14" s="218"/>
      <c r="F14" s="944"/>
      <c r="G14" s="218"/>
      <c r="H14" s="218"/>
      <c r="I14" s="944"/>
      <c r="HN14" s="221"/>
      <c r="HO14" s="221"/>
      <c r="HP14" s="221"/>
      <c r="HQ14" s="221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</row>
    <row r="15" spans="1:243" s="220" customFormat="1" ht="24" customHeight="1" x14ac:dyDescent="0.25">
      <c r="A15" s="222" t="s">
        <v>1246</v>
      </c>
      <c r="B15" s="218">
        <v>5000</v>
      </c>
      <c r="C15" s="218">
        <f t="shared" ref="C15:D15" si="8">5000-4918-82</f>
        <v>0</v>
      </c>
      <c r="D15" s="218">
        <f t="shared" si="8"/>
        <v>0</v>
      </c>
      <c r="E15" s="218"/>
      <c r="F15" s="944">
        <v>5500</v>
      </c>
      <c r="G15" s="218">
        <v>5500</v>
      </c>
      <c r="H15" s="218">
        <f>5500-600-4641+800-880</f>
        <v>179</v>
      </c>
      <c r="I15" s="944">
        <f>5500-600-4641+800-880</f>
        <v>179</v>
      </c>
      <c r="HN15" s="221"/>
      <c r="HO15" s="221"/>
      <c r="HP15" s="221"/>
      <c r="HQ15" s="221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</row>
    <row r="16" spans="1:243" s="220" customFormat="1" ht="24" customHeight="1" x14ac:dyDescent="0.25">
      <c r="A16" s="222" t="s">
        <v>1247</v>
      </c>
      <c r="B16" s="218">
        <v>3000</v>
      </c>
      <c r="C16" s="218">
        <f t="shared" ref="C16:D16" si="9">2142-650-900-42-500-50</f>
        <v>0</v>
      </c>
      <c r="D16" s="218">
        <f t="shared" si="9"/>
        <v>0</v>
      </c>
      <c r="E16" s="218"/>
      <c r="F16" s="944">
        <v>3000</v>
      </c>
      <c r="G16" s="218">
        <v>3000</v>
      </c>
      <c r="H16" s="218">
        <f>3000-800-1080</f>
        <v>1120</v>
      </c>
      <c r="I16" s="944">
        <f>1120-180-240</f>
        <v>700</v>
      </c>
      <c r="HN16" s="221"/>
      <c r="HO16" s="221"/>
      <c r="HP16" s="221"/>
      <c r="HQ16" s="221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</row>
    <row r="17" spans="1:243" s="220" customFormat="1" ht="24" customHeight="1" x14ac:dyDescent="0.25">
      <c r="A17" s="222" t="s">
        <v>1248</v>
      </c>
      <c r="B17" s="218">
        <v>1000</v>
      </c>
      <c r="C17" s="218">
        <v>1000</v>
      </c>
      <c r="D17" s="218">
        <v>1000</v>
      </c>
      <c r="E17" s="218"/>
      <c r="F17" s="944">
        <v>1000</v>
      </c>
      <c r="G17" s="218">
        <v>1000</v>
      </c>
      <c r="H17" s="218">
        <v>1000</v>
      </c>
      <c r="I17" s="944">
        <v>1000</v>
      </c>
      <c r="HN17" s="221"/>
      <c r="HO17" s="221"/>
      <c r="HP17" s="221"/>
      <c r="HQ17" s="221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</row>
    <row r="18" spans="1:243" s="220" customFormat="1" ht="24" customHeight="1" x14ac:dyDescent="0.25">
      <c r="A18" s="223" t="s">
        <v>1417</v>
      </c>
      <c r="B18" s="218">
        <f>20000-10000</f>
        <v>10000</v>
      </c>
      <c r="C18" s="218">
        <f t="shared" ref="C18:D18" si="10">10000-5975</f>
        <v>4025</v>
      </c>
      <c r="D18" s="218">
        <f t="shared" si="10"/>
        <v>4025</v>
      </c>
      <c r="E18" s="218"/>
      <c r="F18" s="944">
        <v>5000</v>
      </c>
      <c r="G18" s="218">
        <v>5000</v>
      </c>
      <c r="H18" s="218">
        <v>5000</v>
      </c>
      <c r="I18" s="944">
        <f>5000-775</f>
        <v>4225</v>
      </c>
      <c r="HN18" s="221"/>
      <c r="HO18" s="221"/>
      <c r="HP18" s="221"/>
      <c r="HQ18" s="221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</row>
    <row r="19" spans="1:243" s="220" customFormat="1" ht="24" customHeight="1" x14ac:dyDescent="0.25">
      <c r="A19" s="223" t="s">
        <v>1308</v>
      </c>
      <c r="B19" s="218">
        <f>2000-2000</f>
        <v>0</v>
      </c>
      <c r="C19" s="218">
        <f t="shared" ref="C19:D19" si="11">2000-2000</f>
        <v>0</v>
      </c>
      <c r="D19" s="218">
        <f t="shared" si="11"/>
        <v>0</v>
      </c>
      <c r="E19" s="218"/>
      <c r="F19" s="944"/>
      <c r="G19" s="218"/>
      <c r="H19" s="218"/>
      <c r="I19" s="944"/>
      <c r="HN19" s="221"/>
      <c r="HO19" s="221"/>
      <c r="HP19" s="221"/>
      <c r="HQ19" s="221"/>
      <c r="HR19" s="207"/>
      <c r="HS19" s="207"/>
      <c r="HT19" s="207"/>
      <c r="HU19" s="207"/>
      <c r="HV19" s="207"/>
      <c r="HW19" s="207"/>
      <c r="HX19" s="207"/>
      <c r="HY19" s="207"/>
      <c r="HZ19" s="207"/>
      <c r="IA19" s="207"/>
      <c r="IB19" s="207"/>
      <c r="IC19" s="207"/>
      <c r="ID19" s="207"/>
      <c r="IE19" s="207"/>
      <c r="IF19" s="207"/>
      <c r="IG19" s="207"/>
      <c r="IH19" s="207"/>
      <c r="II19" s="207"/>
    </row>
    <row r="20" spans="1:243" s="220" customFormat="1" ht="24" customHeight="1" x14ac:dyDescent="0.25">
      <c r="A20" s="223" t="s">
        <v>1309</v>
      </c>
      <c r="B20" s="218">
        <v>5000</v>
      </c>
      <c r="C20" s="218">
        <f t="shared" ref="C20:D20" si="12">5000-5000</f>
        <v>0</v>
      </c>
      <c r="D20" s="218">
        <f t="shared" si="12"/>
        <v>0</v>
      </c>
      <c r="E20" s="218"/>
      <c r="F20" s="944"/>
      <c r="G20" s="218"/>
      <c r="H20" s="218"/>
      <c r="I20" s="944"/>
      <c r="HN20" s="221"/>
      <c r="HO20" s="221"/>
      <c r="HP20" s="221"/>
      <c r="HQ20" s="221"/>
      <c r="HR20" s="207"/>
      <c r="HS20" s="207"/>
      <c r="HT20" s="207"/>
      <c r="HU20" s="207"/>
      <c r="HV20" s="207"/>
      <c r="HW20" s="207"/>
      <c r="HX20" s="207"/>
      <c r="HY20" s="207"/>
      <c r="HZ20" s="207"/>
      <c r="IA20" s="207"/>
      <c r="IB20" s="207"/>
      <c r="IC20" s="207"/>
      <c r="ID20" s="207"/>
      <c r="IE20" s="207"/>
      <c r="IF20" s="207"/>
      <c r="IG20" s="207"/>
      <c r="IH20" s="207"/>
      <c r="II20" s="207"/>
    </row>
    <row r="21" spans="1:243" s="220" customFormat="1" ht="24" customHeight="1" x14ac:dyDescent="0.25">
      <c r="A21" s="223" t="s">
        <v>1311</v>
      </c>
      <c r="B21" s="218">
        <f t="shared" ref="B21" si="13">52490-1294-51196</f>
        <v>0</v>
      </c>
      <c r="C21" s="218">
        <f t="shared" ref="C21:D21" si="14">52490-1294-51196</f>
        <v>0</v>
      </c>
      <c r="D21" s="218">
        <f t="shared" si="14"/>
        <v>0</v>
      </c>
      <c r="E21" s="218"/>
      <c r="F21" s="944"/>
      <c r="G21" s="218"/>
      <c r="H21" s="218"/>
      <c r="I21" s="944"/>
      <c r="HN21" s="221"/>
      <c r="HO21" s="221"/>
      <c r="HP21" s="221"/>
      <c r="HQ21" s="221"/>
      <c r="HR21" s="207"/>
      <c r="HS21" s="207"/>
      <c r="HT21" s="207"/>
      <c r="HU21" s="207"/>
      <c r="HV21" s="207"/>
      <c r="HW21" s="207"/>
      <c r="HX21" s="207"/>
      <c r="HY21" s="207"/>
      <c r="HZ21" s="207"/>
      <c r="IA21" s="207"/>
      <c r="IB21" s="207"/>
      <c r="IC21" s="207"/>
      <c r="ID21" s="207"/>
      <c r="IE21" s="207"/>
      <c r="IF21" s="207"/>
      <c r="IG21" s="207"/>
      <c r="IH21" s="207"/>
      <c r="II21" s="207"/>
    </row>
    <row r="22" spans="1:243" s="220" customFormat="1" ht="24" customHeight="1" x14ac:dyDescent="0.25">
      <c r="A22" s="223" t="s">
        <v>1312</v>
      </c>
      <c r="B22" s="218">
        <v>60000</v>
      </c>
      <c r="C22" s="218">
        <f t="shared" ref="C22:D22" si="15">30000-30000</f>
        <v>0</v>
      </c>
      <c r="D22" s="218">
        <f t="shared" si="15"/>
        <v>0</v>
      </c>
      <c r="E22" s="218"/>
      <c r="F22" s="944">
        <v>60000</v>
      </c>
      <c r="G22" s="218">
        <v>60000</v>
      </c>
      <c r="H22" s="218">
        <f>60000-60000</f>
        <v>0</v>
      </c>
      <c r="I22" s="944">
        <f>60000-60000</f>
        <v>0</v>
      </c>
      <c r="HN22" s="221"/>
      <c r="HO22" s="221"/>
      <c r="HP22" s="221"/>
      <c r="HQ22" s="221"/>
      <c r="HR22" s="207"/>
      <c r="HS22" s="207"/>
      <c r="HT22" s="207"/>
      <c r="HU22" s="207"/>
      <c r="HV22" s="207"/>
      <c r="HW22" s="207"/>
      <c r="HX22" s="207"/>
      <c r="HY22" s="207"/>
      <c r="HZ22" s="207"/>
      <c r="IA22" s="207"/>
      <c r="IB22" s="207"/>
      <c r="IC22" s="207"/>
      <c r="ID22" s="207"/>
      <c r="IE22" s="207"/>
      <c r="IF22" s="207"/>
      <c r="IG22" s="207"/>
      <c r="IH22" s="207"/>
      <c r="II22" s="207"/>
    </row>
    <row r="23" spans="1:243" s="220" customFormat="1" ht="24" customHeight="1" x14ac:dyDescent="0.25">
      <c r="A23" s="223" t="s">
        <v>1411</v>
      </c>
      <c r="B23" s="218">
        <f>100000-50000-20000</f>
        <v>30000</v>
      </c>
      <c r="C23" s="218">
        <f t="shared" ref="C23:D23" si="16">17114-8031</f>
        <v>9083</v>
      </c>
      <c r="D23" s="218">
        <f t="shared" si="16"/>
        <v>9083</v>
      </c>
      <c r="E23" s="218"/>
      <c r="F23" s="944"/>
      <c r="G23" s="218"/>
      <c r="H23" s="218"/>
      <c r="I23" s="944"/>
      <c r="HN23" s="221"/>
      <c r="HO23" s="221"/>
      <c r="HP23" s="221"/>
      <c r="HQ23" s="221"/>
      <c r="HR23" s="207"/>
      <c r="HS23" s="207"/>
      <c r="HT23" s="207"/>
      <c r="HU23" s="207"/>
      <c r="HV23" s="207"/>
      <c r="HW23" s="207"/>
      <c r="HX23" s="207"/>
      <c r="HY23" s="207"/>
      <c r="HZ23" s="207"/>
      <c r="IA23" s="207"/>
      <c r="IB23" s="207"/>
      <c r="IC23" s="207"/>
      <c r="ID23" s="207"/>
      <c r="IE23" s="207"/>
      <c r="IF23" s="207"/>
      <c r="IG23" s="207"/>
      <c r="IH23" s="207"/>
      <c r="II23" s="207"/>
    </row>
    <row r="24" spans="1:243" s="220" customFormat="1" ht="24" customHeight="1" x14ac:dyDescent="0.25">
      <c r="A24" s="223" t="s">
        <v>1412</v>
      </c>
      <c r="B24" s="218">
        <v>20000</v>
      </c>
      <c r="C24" s="218">
        <v>20000</v>
      </c>
      <c r="D24" s="218">
        <v>20000</v>
      </c>
      <c r="E24" s="218"/>
      <c r="F24" s="944"/>
      <c r="G24" s="218"/>
      <c r="H24" s="218"/>
      <c r="I24" s="944"/>
      <c r="HN24" s="221"/>
      <c r="HO24" s="221"/>
      <c r="HP24" s="221"/>
      <c r="HQ24" s="221"/>
      <c r="HR24" s="207"/>
      <c r="HS24" s="207"/>
      <c r="HT24" s="207"/>
      <c r="HU24" s="207"/>
      <c r="HV24" s="207"/>
      <c r="HW24" s="207"/>
      <c r="HX24" s="207"/>
      <c r="HY24" s="207"/>
      <c r="HZ24" s="207"/>
      <c r="IA24" s="207"/>
      <c r="IB24" s="207"/>
      <c r="IC24" s="207"/>
      <c r="ID24" s="207"/>
      <c r="IE24" s="207"/>
      <c r="IF24" s="207"/>
      <c r="IG24" s="207"/>
      <c r="IH24" s="207"/>
      <c r="II24" s="207"/>
    </row>
    <row r="25" spans="1:243" s="220" customFormat="1" ht="24" customHeight="1" x14ac:dyDescent="0.25">
      <c r="A25" s="223" t="s">
        <v>1718</v>
      </c>
      <c r="B25" s="218"/>
      <c r="C25" s="218"/>
      <c r="D25" s="218"/>
      <c r="E25" s="218"/>
      <c r="F25" s="944"/>
      <c r="G25" s="218">
        <v>3000</v>
      </c>
      <c r="H25" s="218">
        <v>3000</v>
      </c>
      <c r="I25" s="944">
        <f>3000-1648</f>
        <v>1352</v>
      </c>
      <c r="HN25" s="221"/>
      <c r="HO25" s="221"/>
      <c r="HP25" s="221"/>
      <c r="HQ25" s="221"/>
      <c r="HR25" s="207"/>
      <c r="HS25" s="207"/>
      <c r="HT25" s="207"/>
      <c r="HU25" s="207"/>
      <c r="HV25" s="207"/>
      <c r="HW25" s="207"/>
      <c r="HX25" s="207"/>
      <c r="HY25" s="207"/>
      <c r="HZ25" s="207"/>
      <c r="IA25" s="207"/>
      <c r="IB25" s="207"/>
      <c r="IC25" s="207"/>
      <c r="ID25" s="207"/>
      <c r="IE25" s="207"/>
      <c r="IF25" s="207"/>
      <c r="IG25" s="207"/>
      <c r="IH25" s="207"/>
      <c r="II25" s="207"/>
    </row>
    <row r="26" spans="1:243" s="224" customFormat="1" ht="24" customHeight="1" x14ac:dyDescent="0.25">
      <c r="A26" s="212" t="s">
        <v>1019</v>
      </c>
      <c r="B26" s="213">
        <f t="shared" ref="B26:F26" si="17">SUM(B27:B33)</f>
        <v>3000</v>
      </c>
      <c r="C26" s="213">
        <f t="shared" si="17"/>
        <v>1428</v>
      </c>
      <c r="D26" s="213">
        <f t="shared" si="17"/>
        <v>1428</v>
      </c>
      <c r="E26" s="213">
        <f t="shared" si="17"/>
        <v>0</v>
      </c>
      <c r="F26" s="213">
        <f t="shared" si="17"/>
        <v>3000</v>
      </c>
      <c r="G26" s="213">
        <f t="shared" ref="G26:H26" si="18">SUM(G27:G33)</f>
        <v>3000</v>
      </c>
      <c r="H26" s="213">
        <f t="shared" si="18"/>
        <v>3000</v>
      </c>
      <c r="I26" s="213">
        <f t="shared" ref="I26" si="19">SUM(I27:I33)</f>
        <v>3000</v>
      </c>
      <c r="HN26" s="225"/>
      <c r="HO26" s="225"/>
      <c r="HP26" s="225"/>
      <c r="HQ26" s="225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07"/>
    </row>
    <row r="27" spans="1:243" s="220" customFormat="1" ht="24" hidden="1" customHeight="1" x14ac:dyDescent="0.25">
      <c r="A27" s="217" t="s">
        <v>1020</v>
      </c>
      <c r="B27" s="218"/>
      <c r="C27" s="218"/>
      <c r="D27" s="218"/>
      <c r="E27" s="218"/>
      <c r="F27" s="218"/>
      <c r="G27" s="218"/>
      <c r="H27" s="218"/>
      <c r="I27" s="218"/>
      <c r="HN27" s="221"/>
      <c r="HO27" s="221"/>
      <c r="HP27" s="221"/>
      <c r="HQ27" s="221"/>
      <c r="HR27" s="207"/>
      <c r="HS27" s="207"/>
      <c r="HT27" s="207"/>
      <c r="HU27" s="207"/>
      <c r="HV27" s="207"/>
      <c r="HW27" s="207"/>
      <c r="HX27" s="207"/>
      <c r="HY27" s="207"/>
      <c r="HZ27" s="207"/>
      <c r="IA27" s="207"/>
      <c r="IB27" s="207"/>
      <c r="IC27" s="207"/>
      <c r="ID27" s="207"/>
      <c r="IE27" s="207"/>
      <c r="IF27" s="207"/>
      <c r="IG27" s="207"/>
      <c r="IH27" s="207"/>
      <c r="II27" s="207"/>
    </row>
    <row r="28" spans="1:243" s="220" customFormat="1" ht="24" hidden="1" customHeight="1" x14ac:dyDescent="0.25">
      <c r="A28" s="222" t="s">
        <v>1021</v>
      </c>
      <c r="B28" s="218"/>
      <c r="C28" s="218"/>
      <c r="D28" s="218"/>
      <c r="E28" s="218"/>
      <c r="F28" s="218"/>
      <c r="G28" s="218"/>
      <c r="H28" s="218"/>
      <c r="I28" s="218"/>
      <c r="HN28" s="221"/>
      <c r="HO28" s="221"/>
      <c r="HP28" s="221"/>
      <c r="HQ28" s="221"/>
      <c r="HR28" s="207"/>
      <c r="HS28" s="207"/>
      <c r="HT28" s="207"/>
      <c r="HU28" s="207"/>
      <c r="HV28" s="207"/>
      <c r="HW28" s="207"/>
      <c r="HX28" s="207"/>
      <c r="HY28" s="207"/>
      <c r="HZ28" s="207"/>
      <c r="IA28" s="207"/>
      <c r="IB28" s="207"/>
      <c r="IC28" s="207"/>
      <c r="ID28" s="207"/>
      <c r="IE28" s="207"/>
      <c r="IF28" s="207"/>
      <c r="IG28" s="207"/>
      <c r="IH28" s="207"/>
      <c r="II28" s="207"/>
    </row>
    <row r="29" spans="1:243" s="220" customFormat="1" ht="24" hidden="1" customHeight="1" x14ac:dyDescent="0.25">
      <c r="A29" s="222" t="s">
        <v>1022</v>
      </c>
      <c r="B29" s="218"/>
      <c r="C29" s="218"/>
      <c r="D29" s="218"/>
      <c r="E29" s="218"/>
      <c r="F29" s="218"/>
      <c r="G29" s="218"/>
      <c r="H29" s="218"/>
      <c r="I29" s="218"/>
      <c r="HN29" s="221"/>
      <c r="HO29" s="221"/>
      <c r="HP29" s="221"/>
      <c r="HQ29" s="221"/>
      <c r="HR29" s="207"/>
      <c r="HS29" s="207"/>
      <c r="HT29" s="207"/>
      <c r="HU29" s="207"/>
      <c r="HV29" s="207"/>
      <c r="HW29" s="207"/>
      <c r="HX29" s="207"/>
      <c r="HY29" s="207"/>
      <c r="HZ29" s="207"/>
      <c r="IA29" s="207"/>
      <c r="IB29" s="207"/>
      <c r="IC29" s="207"/>
      <c r="ID29" s="207"/>
      <c r="IE29" s="207"/>
      <c r="IF29" s="207"/>
      <c r="IG29" s="207"/>
      <c r="IH29" s="207"/>
      <c r="II29" s="207"/>
    </row>
    <row r="30" spans="1:243" s="220" customFormat="1" ht="24" hidden="1" customHeight="1" x14ac:dyDescent="0.25">
      <c r="A30" s="222" t="s">
        <v>1023</v>
      </c>
      <c r="B30" s="218"/>
      <c r="C30" s="218"/>
      <c r="D30" s="218"/>
      <c r="E30" s="218"/>
      <c r="F30" s="218"/>
      <c r="G30" s="218"/>
      <c r="H30" s="218"/>
      <c r="I30" s="218"/>
      <c r="HN30" s="221"/>
      <c r="HO30" s="221"/>
      <c r="HP30" s="221"/>
      <c r="HQ30" s="221"/>
      <c r="HR30" s="207"/>
      <c r="HS30" s="207"/>
      <c r="HT30" s="207"/>
      <c r="HU30" s="207"/>
      <c r="HV30" s="207"/>
      <c r="HW30" s="207"/>
      <c r="HX30" s="207"/>
      <c r="HY30" s="207"/>
      <c r="HZ30" s="207"/>
      <c r="IA30" s="207"/>
      <c r="IB30" s="207"/>
      <c r="IC30" s="207"/>
      <c r="ID30" s="207"/>
      <c r="IE30" s="207"/>
      <c r="IF30" s="207"/>
      <c r="IG30" s="207"/>
      <c r="IH30" s="207"/>
      <c r="II30" s="207"/>
    </row>
    <row r="31" spans="1:243" s="220" customFormat="1" ht="24" hidden="1" customHeight="1" x14ac:dyDescent="0.25">
      <c r="A31" s="222" t="s">
        <v>1024</v>
      </c>
      <c r="B31" s="218"/>
      <c r="C31" s="218"/>
      <c r="D31" s="218"/>
      <c r="E31" s="218"/>
      <c r="F31" s="218"/>
      <c r="G31" s="218"/>
      <c r="H31" s="218"/>
      <c r="I31" s="218"/>
      <c r="HN31" s="221"/>
      <c r="HO31" s="221"/>
      <c r="HP31" s="221"/>
      <c r="HQ31" s="221"/>
      <c r="HR31" s="207"/>
      <c r="HS31" s="207"/>
      <c r="HT31" s="207"/>
      <c r="HU31" s="207"/>
      <c r="HV31" s="207"/>
      <c r="HW31" s="207"/>
      <c r="HX31" s="207"/>
      <c r="HY31" s="207"/>
      <c r="HZ31" s="207"/>
      <c r="IA31" s="207"/>
      <c r="IB31" s="207"/>
      <c r="IC31" s="207"/>
      <c r="ID31" s="207"/>
      <c r="IE31" s="207"/>
      <c r="IF31" s="207"/>
      <c r="IG31" s="207"/>
      <c r="IH31" s="207"/>
      <c r="II31" s="207"/>
    </row>
    <row r="32" spans="1:243" s="220" customFormat="1" ht="24" hidden="1" customHeight="1" x14ac:dyDescent="0.25">
      <c r="A32" s="222" t="s">
        <v>1025</v>
      </c>
      <c r="B32" s="218"/>
      <c r="C32" s="218"/>
      <c r="D32" s="218"/>
      <c r="E32" s="218"/>
      <c r="F32" s="218"/>
      <c r="G32" s="218"/>
      <c r="H32" s="218"/>
      <c r="I32" s="218"/>
      <c r="HN32" s="221"/>
      <c r="HO32" s="221"/>
      <c r="HP32" s="221"/>
      <c r="HQ32" s="221"/>
      <c r="HR32" s="207"/>
      <c r="HS32" s="207"/>
      <c r="HT32" s="207"/>
      <c r="HU32" s="207"/>
      <c r="HV32" s="207"/>
      <c r="HW32" s="207"/>
      <c r="HX32" s="207"/>
      <c r="HY32" s="207"/>
      <c r="HZ32" s="207"/>
      <c r="IA32" s="207"/>
      <c r="IB32" s="207"/>
      <c r="IC32" s="207"/>
      <c r="ID32" s="207"/>
      <c r="IE32" s="207"/>
      <c r="IF32" s="207"/>
      <c r="IG32" s="207"/>
      <c r="IH32" s="207"/>
      <c r="II32" s="207"/>
    </row>
    <row r="33" spans="1:243" s="220" customFormat="1" ht="24" customHeight="1" x14ac:dyDescent="0.25">
      <c r="A33" s="222" t="s">
        <v>1280</v>
      </c>
      <c r="B33" s="218">
        <v>3000</v>
      </c>
      <c r="C33" s="218">
        <f t="shared" ref="C33:D33" si="20">2428-1000</f>
        <v>1428</v>
      </c>
      <c r="D33" s="218">
        <f t="shared" si="20"/>
        <v>1428</v>
      </c>
      <c r="E33" s="218"/>
      <c r="F33" s="944">
        <v>3000</v>
      </c>
      <c r="G33" s="218">
        <v>3000</v>
      </c>
      <c r="H33" s="218">
        <v>3000</v>
      </c>
      <c r="I33" s="944">
        <v>3000</v>
      </c>
      <c r="HN33" s="221"/>
      <c r="HO33" s="221"/>
      <c r="HP33" s="221"/>
      <c r="HQ33" s="221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</row>
    <row r="34" spans="1:243" s="228" customFormat="1" ht="24" customHeight="1" x14ac:dyDescent="0.25">
      <c r="A34" s="226" t="s">
        <v>1026</v>
      </c>
      <c r="B34" s="227">
        <f t="shared" ref="B34:G34" si="21">B4+B26+B3</f>
        <v>249034</v>
      </c>
      <c r="C34" s="227">
        <f t="shared" si="21"/>
        <v>50082</v>
      </c>
      <c r="D34" s="227">
        <f t="shared" si="21"/>
        <v>50082</v>
      </c>
      <c r="E34" s="227">
        <f t="shared" si="21"/>
        <v>0</v>
      </c>
      <c r="F34" s="227">
        <f t="shared" si="21"/>
        <v>171841</v>
      </c>
      <c r="G34" s="227">
        <f t="shared" si="21"/>
        <v>135684</v>
      </c>
      <c r="H34" s="227">
        <f t="shared" ref="H34:I34" si="22">H4+H26+H3</f>
        <v>56301</v>
      </c>
      <c r="I34" s="227">
        <f t="shared" si="22"/>
        <v>23610</v>
      </c>
      <c r="HN34" s="229"/>
      <c r="HO34" s="229"/>
      <c r="HP34" s="229"/>
      <c r="HQ34" s="229"/>
      <c r="HR34" s="230"/>
      <c r="HS34" s="230"/>
      <c r="HT34" s="230"/>
      <c r="HU34" s="230"/>
      <c r="HV34" s="230"/>
      <c r="HW34" s="230"/>
      <c r="HX34" s="230"/>
      <c r="HY34" s="230"/>
      <c r="HZ34" s="230"/>
      <c r="IA34" s="230"/>
      <c r="IB34" s="230"/>
      <c r="IC34" s="230"/>
      <c r="ID34" s="231"/>
      <c r="IE34" s="207"/>
      <c r="IF34" s="207"/>
      <c r="IG34" s="207"/>
      <c r="IH34" s="207"/>
      <c r="II34" s="207"/>
    </row>
    <row r="35" spans="1:243" s="220" customFormat="1" x14ac:dyDescent="0.25">
      <c r="A35" s="232"/>
      <c r="C35" s="219"/>
      <c r="HN35" s="221"/>
      <c r="HO35" s="221"/>
      <c r="HP35" s="221"/>
      <c r="HQ35" s="221"/>
      <c r="HR35" s="207"/>
      <c r="HS35" s="207"/>
      <c r="HT35" s="207"/>
      <c r="HU35" s="207"/>
      <c r="HV35" s="207"/>
      <c r="HW35" s="207"/>
      <c r="HX35" s="207"/>
      <c r="HY35" s="207"/>
      <c r="HZ35" s="207"/>
      <c r="IA35" s="207"/>
      <c r="IB35" s="207"/>
      <c r="IC35" s="207"/>
      <c r="ID35" s="207"/>
      <c r="IE35" s="207"/>
      <c r="IF35" s="207"/>
      <c r="IG35" s="207"/>
      <c r="IH35" s="207"/>
      <c r="II35" s="207"/>
    </row>
    <row r="36" spans="1:243" s="220" customFormat="1" x14ac:dyDescent="0.25">
      <c r="A36" s="232"/>
      <c r="E36" s="219"/>
      <c r="HN36" s="221"/>
      <c r="HO36" s="221"/>
      <c r="HP36" s="221"/>
      <c r="HQ36" s="221"/>
      <c r="HR36" s="207"/>
      <c r="HS36" s="207"/>
      <c r="HT36" s="207"/>
      <c r="HU36" s="207"/>
      <c r="HV36" s="207"/>
      <c r="HW36" s="207"/>
      <c r="HX36" s="207"/>
      <c r="HY36" s="207"/>
      <c r="HZ36" s="207"/>
      <c r="IA36" s="207"/>
      <c r="IB36" s="207"/>
      <c r="IC36" s="207"/>
      <c r="ID36" s="207"/>
      <c r="IE36" s="207"/>
      <c r="IF36" s="207"/>
      <c r="IG36" s="207"/>
      <c r="IH36" s="207"/>
      <c r="II36" s="207"/>
    </row>
    <row r="37" spans="1:243" s="220" customFormat="1" x14ac:dyDescent="0.25">
      <c r="A37" s="232"/>
      <c r="HN37" s="221"/>
      <c r="HO37" s="221"/>
      <c r="HP37" s="221"/>
      <c r="HQ37" s="221"/>
      <c r="HR37" s="207"/>
      <c r="HS37" s="207"/>
      <c r="HT37" s="207"/>
      <c r="HU37" s="207"/>
      <c r="HV37" s="207"/>
      <c r="HW37" s="207"/>
      <c r="HX37" s="207"/>
      <c r="HY37" s="207"/>
      <c r="HZ37" s="207"/>
      <c r="IA37" s="207"/>
      <c r="IB37" s="207"/>
      <c r="IC37" s="207"/>
      <c r="ID37" s="207"/>
      <c r="IE37" s="207"/>
      <c r="IF37" s="207"/>
      <c r="IG37" s="207"/>
      <c r="IH37" s="207"/>
      <c r="II37" s="207"/>
    </row>
    <row r="38" spans="1:243" s="220" customFormat="1" x14ac:dyDescent="0.25">
      <c r="A38" s="232"/>
      <c r="HN38" s="221"/>
      <c r="HO38" s="221"/>
      <c r="HP38" s="221"/>
      <c r="HQ38" s="221"/>
      <c r="HR38" s="207"/>
      <c r="HS38" s="207"/>
      <c r="HT38" s="207"/>
      <c r="HU38" s="207"/>
      <c r="HV38" s="207"/>
      <c r="HW38" s="207"/>
      <c r="HX38" s="207"/>
      <c r="HY38" s="207"/>
      <c r="HZ38" s="207"/>
      <c r="IA38" s="207"/>
      <c r="IB38" s="207"/>
      <c r="IC38" s="207"/>
      <c r="ID38" s="207"/>
      <c r="IE38" s="207"/>
      <c r="IF38" s="207"/>
      <c r="IG38" s="207"/>
      <c r="IH38" s="207"/>
      <c r="II38" s="207"/>
    </row>
    <row r="39" spans="1:243" s="220" customFormat="1" x14ac:dyDescent="0.25">
      <c r="A39" s="232"/>
      <c r="HN39" s="221"/>
      <c r="HO39" s="221"/>
      <c r="HP39" s="221"/>
      <c r="HQ39" s="221"/>
      <c r="HR39" s="207"/>
      <c r="HS39" s="207"/>
      <c r="HT39" s="207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07"/>
      <c r="IH39" s="207"/>
      <c r="II39" s="207"/>
    </row>
    <row r="40" spans="1:243" s="220" customFormat="1" x14ac:dyDescent="0.25">
      <c r="A40" s="232"/>
      <c r="X40" s="233"/>
      <c r="HN40" s="221"/>
      <c r="HO40" s="221"/>
      <c r="HP40" s="221"/>
      <c r="HQ40" s="221"/>
      <c r="HR40" s="207"/>
      <c r="HS40" s="207"/>
      <c r="HT40" s="207"/>
      <c r="HU40" s="207"/>
      <c r="HV40" s="207"/>
      <c r="HW40" s="207"/>
      <c r="HX40" s="207"/>
      <c r="HY40" s="207"/>
      <c r="HZ40" s="207"/>
      <c r="IA40" s="207"/>
      <c r="IB40" s="207"/>
      <c r="IC40" s="207"/>
      <c r="ID40" s="207"/>
      <c r="IE40" s="207"/>
      <c r="IF40" s="207"/>
      <c r="IG40" s="207"/>
      <c r="IH40" s="207"/>
      <c r="II40" s="207"/>
    </row>
    <row r="41" spans="1:243" s="220" customFormat="1" x14ac:dyDescent="0.25">
      <c r="A41" s="232"/>
      <c r="X41" s="234"/>
      <c r="HN41" s="221"/>
      <c r="HO41" s="221"/>
      <c r="HP41" s="221"/>
      <c r="HQ41" s="221"/>
      <c r="HR41" s="207"/>
      <c r="HS41" s="207"/>
      <c r="HT41" s="207"/>
      <c r="HU41" s="207"/>
      <c r="HV41" s="207"/>
      <c r="HW41" s="207"/>
      <c r="HX41" s="207"/>
      <c r="HY41" s="207"/>
      <c r="HZ41" s="207"/>
      <c r="IA41" s="207"/>
      <c r="IB41" s="207"/>
      <c r="IC41" s="207"/>
      <c r="ID41" s="207"/>
      <c r="IE41" s="207"/>
      <c r="IF41" s="207"/>
      <c r="IG41" s="207"/>
      <c r="IH41" s="207"/>
      <c r="II41" s="207"/>
    </row>
    <row r="42" spans="1:243" s="220" customFormat="1" x14ac:dyDescent="0.25">
      <c r="A42" s="232"/>
      <c r="X42" s="234"/>
      <c r="HN42" s="221"/>
      <c r="HO42" s="221"/>
      <c r="HP42" s="221"/>
      <c r="HQ42" s="221"/>
      <c r="HR42" s="207"/>
      <c r="HS42" s="207"/>
      <c r="HT42" s="207"/>
      <c r="HU42" s="207"/>
      <c r="HV42" s="207"/>
      <c r="HW42" s="207"/>
      <c r="HX42" s="207"/>
      <c r="HY42" s="207"/>
      <c r="HZ42" s="207"/>
      <c r="IA42" s="207"/>
      <c r="IB42" s="207"/>
      <c r="IC42" s="207"/>
      <c r="ID42" s="207"/>
      <c r="IE42" s="207"/>
      <c r="IF42" s="207"/>
      <c r="IG42" s="207"/>
      <c r="IH42" s="207"/>
      <c r="II42" s="207"/>
    </row>
    <row r="43" spans="1:243" s="220" customFormat="1" x14ac:dyDescent="0.25">
      <c r="A43" s="232"/>
      <c r="HN43" s="221"/>
      <c r="HO43" s="221"/>
      <c r="HP43" s="221"/>
      <c r="HQ43" s="221"/>
      <c r="HR43" s="207"/>
      <c r="HS43" s="207"/>
      <c r="HT43" s="207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07"/>
      <c r="IH43" s="207"/>
      <c r="II43" s="207"/>
    </row>
    <row r="44" spans="1:243" s="220" customFormat="1" x14ac:dyDescent="0.25">
      <c r="A44" s="232"/>
      <c r="HN44" s="221"/>
      <c r="HO44" s="221"/>
      <c r="HP44" s="221"/>
      <c r="HQ44" s="221"/>
      <c r="HR44" s="207"/>
      <c r="HS44" s="207"/>
      <c r="HT44" s="207"/>
      <c r="HU44" s="207"/>
      <c r="HV44" s="207"/>
      <c r="HW44" s="207"/>
      <c r="HX44" s="207"/>
      <c r="HY44" s="207"/>
      <c r="HZ44" s="207"/>
      <c r="IA44" s="207"/>
      <c r="IB44" s="207"/>
      <c r="IC44" s="207"/>
      <c r="ID44" s="207"/>
      <c r="IE44" s="207"/>
      <c r="IF44" s="207"/>
      <c r="IG44" s="207"/>
      <c r="IH44" s="207"/>
      <c r="II44" s="207"/>
    </row>
    <row r="45" spans="1:243" s="220" customFormat="1" x14ac:dyDescent="0.25">
      <c r="A45" s="232"/>
      <c r="HN45" s="221"/>
      <c r="HO45" s="221"/>
      <c r="HP45" s="221"/>
      <c r="HQ45" s="221"/>
      <c r="HR45" s="207"/>
      <c r="HS45" s="207"/>
      <c r="HT45" s="207"/>
      <c r="HU45" s="207"/>
      <c r="HV45" s="207"/>
      <c r="HW45" s="207"/>
      <c r="HX45" s="207"/>
      <c r="HY45" s="207"/>
      <c r="HZ45" s="207"/>
      <c r="IA45" s="207"/>
      <c r="IB45" s="207"/>
      <c r="IC45" s="207"/>
      <c r="ID45" s="207"/>
      <c r="IE45" s="207"/>
      <c r="IF45" s="207"/>
      <c r="IG45" s="207"/>
      <c r="IH45" s="207"/>
      <c r="II45" s="207"/>
    </row>
    <row r="46" spans="1:243" s="220" customFormat="1" x14ac:dyDescent="0.25">
      <c r="A46" s="232"/>
      <c r="HN46" s="221"/>
      <c r="HO46" s="221"/>
      <c r="HP46" s="221"/>
      <c r="HQ46" s="221"/>
      <c r="HR46" s="207"/>
      <c r="HS46" s="207"/>
      <c r="HT46" s="207"/>
      <c r="HU46" s="207"/>
      <c r="HV46" s="207"/>
      <c r="HW46" s="207"/>
      <c r="HX46" s="207"/>
      <c r="HY46" s="207"/>
      <c r="HZ46" s="207"/>
      <c r="IA46" s="207"/>
      <c r="IB46" s="207"/>
      <c r="IC46" s="207"/>
      <c r="ID46" s="207"/>
      <c r="IE46" s="207"/>
      <c r="IF46" s="207"/>
      <c r="IG46" s="207"/>
      <c r="IH46" s="207"/>
      <c r="II46" s="207"/>
    </row>
    <row r="47" spans="1:243" s="220" customFormat="1" x14ac:dyDescent="0.25">
      <c r="A47" s="232"/>
      <c r="HN47" s="221"/>
      <c r="HO47" s="221"/>
      <c r="HP47" s="221"/>
      <c r="HQ47" s="221"/>
      <c r="HR47" s="207"/>
      <c r="HS47" s="207"/>
      <c r="HT47" s="207"/>
      <c r="HU47" s="207"/>
      <c r="HV47" s="207"/>
      <c r="HW47" s="207"/>
      <c r="HX47" s="207"/>
      <c r="HY47" s="207"/>
      <c r="HZ47" s="207"/>
      <c r="IA47" s="207"/>
      <c r="IB47" s="207"/>
      <c r="IC47" s="207"/>
      <c r="ID47" s="207"/>
      <c r="IE47" s="207"/>
      <c r="IF47" s="207"/>
      <c r="IG47" s="207"/>
      <c r="IH47" s="207"/>
      <c r="II47" s="207"/>
    </row>
    <row r="48" spans="1:243" s="220" customFormat="1" x14ac:dyDescent="0.25">
      <c r="A48" s="232"/>
      <c r="HN48" s="221"/>
      <c r="HO48" s="221"/>
      <c r="HP48" s="221"/>
      <c r="HQ48" s="221"/>
      <c r="HR48" s="207"/>
      <c r="HS48" s="207"/>
      <c r="HT48" s="207"/>
      <c r="HU48" s="207"/>
      <c r="HV48" s="207"/>
      <c r="HW48" s="207"/>
      <c r="HX48" s="207"/>
      <c r="HY48" s="207"/>
      <c r="HZ48" s="207"/>
      <c r="IA48" s="207"/>
      <c r="IB48" s="207"/>
      <c r="IC48" s="207"/>
      <c r="ID48" s="207"/>
      <c r="IE48" s="207"/>
      <c r="IF48" s="207"/>
      <c r="IG48" s="207"/>
      <c r="IH48" s="207"/>
      <c r="II48" s="207"/>
    </row>
    <row r="49" spans="1:243" s="220" customFormat="1" x14ac:dyDescent="0.25">
      <c r="A49" s="232"/>
      <c r="HN49" s="221"/>
      <c r="HO49" s="221"/>
      <c r="HP49" s="221"/>
      <c r="HQ49" s="221"/>
      <c r="HR49" s="207"/>
      <c r="HS49" s="207"/>
      <c r="HT49" s="207"/>
      <c r="HU49" s="207"/>
      <c r="HV49" s="207"/>
      <c r="HW49" s="207"/>
      <c r="HX49" s="207"/>
      <c r="HY49" s="207"/>
      <c r="HZ49" s="207"/>
      <c r="IA49" s="207"/>
      <c r="IB49" s="207"/>
      <c r="IC49" s="207"/>
      <c r="ID49" s="207"/>
      <c r="IE49" s="207"/>
      <c r="IF49" s="207"/>
      <c r="IG49" s="207"/>
      <c r="IH49" s="207"/>
      <c r="II49" s="207"/>
    </row>
    <row r="50" spans="1:243" s="220" customFormat="1" x14ac:dyDescent="0.25">
      <c r="A50" s="232"/>
      <c r="HN50" s="221"/>
      <c r="HO50" s="221"/>
      <c r="HP50" s="221"/>
      <c r="HQ50" s="221"/>
      <c r="HR50" s="207"/>
      <c r="HS50" s="207"/>
      <c r="HT50" s="207"/>
      <c r="HU50" s="207"/>
      <c r="HV50" s="207"/>
      <c r="HW50" s="207"/>
      <c r="HX50" s="207"/>
      <c r="HY50" s="207"/>
      <c r="HZ50" s="207"/>
      <c r="IA50" s="207"/>
      <c r="IB50" s="207"/>
      <c r="IC50" s="207"/>
      <c r="ID50" s="207"/>
      <c r="IE50" s="207"/>
      <c r="IF50" s="207"/>
      <c r="IG50" s="207"/>
      <c r="IH50" s="207"/>
      <c r="II50" s="207"/>
    </row>
    <row r="51" spans="1:243" s="220" customFormat="1" x14ac:dyDescent="0.25">
      <c r="A51" s="232"/>
      <c r="HN51" s="221"/>
      <c r="HO51" s="221"/>
      <c r="HP51" s="221"/>
      <c r="HQ51" s="221"/>
      <c r="HR51" s="207"/>
      <c r="HS51" s="207"/>
      <c r="HT51" s="207"/>
      <c r="HU51" s="207"/>
      <c r="HV51" s="207"/>
      <c r="HW51" s="207"/>
      <c r="HX51" s="207"/>
      <c r="HY51" s="207"/>
      <c r="HZ51" s="207"/>
      <c r="IA51" s="207"/>
      <c r="IB51" s="207"/>
      <c r="IC51" s="207"/>
      <c r="ID51" s="207"/>
      <c r="IE51" s="207"/>
      <c r="IF51" s="207"/>
      <c r="IG51" s="207"/>
      <c r="IH51" s="207"/>
      <c r="II51" s="207"/>
    </row>
    <row r="52" spans="1:243" s="220" customFormat="1" x14ac:dyDescent="0.25">
      <c r="A52" s="232"/>
      <c r="HN52" s="221"/>
      <c r="HO52" s="221"/>
      <c r="HP52" s="221"/>
      <c r="HQ52" s="221"/>
      <c r="HR52" s="207"/>
      <c r="HS52" s="207"/>
      <c r="HT52" s="207"/>
      <c r="HU52" s="207"/>
      <c r="HV52" s="207"/>
      <c r="HW52" s="207"/>
      <c r="HX52" s="207"/>
      <c r="HY52" s="207"/>
      <c r="HZ52" s="207"/>
      <c r="IA52" s="207"/>
      <c r="IB52" s="207"/>
      <c r="IC52" s="207"/>
      <c r="ID52" s="207"/>
      <c r="IE52" s="207"/>
      <c r="IF52" s="207"/>
      <c r="IG52" s="207"/>
      <c r="IH52" s="207"/>
      <c r="II52" s="207"/>
    </row>
    <row r="53" spans="1:243" s="220" customFormat="1" x14ac:dyDescent="0.25">
      <c r="A53" s="232"/>
      <c r="HN53" s="221"/>
      <c r="HO53" s="221"/>
      <c r="HP53" s="221"/>
      <c r="HQ53" s="221"/>
      <c r="HR53" s="207"/>
      <c r="HS53" s="207"/>
      <c r="HT53" s="207"/>
      <c r="HU53" s="207"/>
      <c r="HV53" s="207"/>
      <c r="HW53" s="207"/>
      <c r="HX53" s="207"/>
      <c r="HY53" s="207"/>
      <c r="HZ53" s="207"/>
      <c r="IA53" s="207"/>
      <c r="IB53" s="207"/>
      <c r="IC53" s="207"/>
      <c r="ID53" s="207"/>
      <c r="IE53" s="207"/>
      <c r="IF53" s="207"/>
      <c r="IG53" s="207"/>
      <c r="IH53" s="207"/>
      <c r="II53" s="207"/>
    </row>
    <row r="54" spans="1:243" s="220" customFormat="1" x14ac:dyDescent="0.25">
      <c r="A54" s="232"/>
      <c r="HN54" s="221"/>
      <c r="HO54" s="221"/>
      <c r="HP54" s="221"/>
      <c r="HQ54" s="221"/>
      <c r="HR54" s="207"/>
      <c r="HS54" s="207"/>
      <c r="HT54" s="207"/>
      <c r="HU54" s="207"/>
      <c r="HV54" s="207"/>
      <c r="HW54" s="207"/>
      <c r="HX54" s="207"/>
      <c r="HY54" s="207"/>
      <c r="HZ54" s="207"/>
      <c r="IA54" s="207"/>
      <c r="IB54" s="207"/>
      <c r="IC54" s="207"/>
      <c r="ID54" s="207"/>
      <c r="IE54" s="207"/>
      <c r="IF54" s="207"/>
      <c r="IG54" s="207"/>
      <c r="IH54" s="207"/>
      <c r="II54" s="207"/>
    </row>
    <row r="55" spans="1:243" s="220" customFormat="1" x14ac:dyDescent="0.25">
      <c r="A55" s="232"/>
      <c r="HN55" s="221"/>
      <c r="HO55" s="221"/>
      <c r="HP55" s="221"/>
      <c r="HQ55" s="221"/>
      <c r="HR55" s="207"/>
      <c r="HS55" s="207"/>
      <c r="HT55" s="207"/>
      <c r="HU55" s="207"/>
      <c r="HV55" s="207"/>
      <c r="HW55" s="207"/>
      <c r="HX55" s="207"/>
      <c r="HY55" s="207"/>
      <c r="HZ55" s="207"/>
      <c r="IA55" s="207"/>
      <c r="IB55" s="207"/>
      <c r="IC55" s="207"/>
      <c r="ID55" s="207"/>
      <c r="IE55" s="207"/>
      <c r="IF55" s="207"/>
      <c r="IG55" s="207"/>
      <c r="IH55" s="207"/>
      <c r="II55" s="207"/>
    </row>
    <row r="56" spans="1:243" s="220" customFormat="1" x14ac:dyDescent="0.25">
      <c r="A56" s="232"/>
      <c r="HN56" s="221"/>
      <c r="HO56" s="221"/>
      <c r="HP56" s="221"/>
      <c r="HQ56" s="221"/>
      <c r="HR56" s="207"/>
      <c r="HS56" s="207"/>
      <c r="HT56" s="207"/>
      <c r="HU56" s="207"/>
      <c r="HV56" s="207"/>
      <c r="HW56" s="207"/>
      <c r="HX56" s="207"/>
      <c r="HY56" s="207"/>
      <c r="HZ56" s="207"/>
      <c r="IA56" s="207"/>
      <c r="IB56" s="207"/>
      <c r="IC56" s="207"/>
      <c r="ID56" s="207"/>
      <c r="IE56" s="207"/>
      <c r="IF56" s="207"/>
      <c r="IG56" s="207"/>
      <c r="IH56" s="207"/>
      <c r="II56" s="207"/>
    </row>
    <row r="57" spans="1:243" s="220" customFormat="1" x14ac:dyDescent="0.25">
      <c r="A57" s="232"/>
      <c r="HN57" s="221"/>
      <c r="HO57" s="221"/>
      <c r="HP57" s="221"/>
      <c r="HQ57" s="221"/>
      <c r="HR57" s="207"/>
      <c r="HS57" s="207"/>
      <c r="HT57" s="207"/>
      <c r="HU57" s="207"/>
      <c r="HV57" s="207"/>
      <c r="HW57" s="207"/>
      <c r="HX57" s="207"/>
      <c r="HY57" s="207"/>
      <c r="HZ57" s="207"/>
      <c r="IA57" s="207"/>
      <c r="IB57" s="207"/>
      <c r="IC57" s="207"/>
      <c r="ID57" s="207"/>
      <c r="IE57" s="207"/>
      <c r="IF57" s="207"/>
      <c r="IG57" s="207"/>
      <c r="IH57" s="207"/>
      <c r="II57" s="207"/>
    </row>
    <row r="58" spans="1:243" s="220" customFormat="1" x14ac:dyDescent="0.25">
      <c r="A58" s="232"/>
      <c r="HN58" s="221"/>
      <c r="HO58" s="221"/>
      <c r="HP58" s="221"/>
      <c r="HQ58" s="221"/>
      <c r="HR58" s="207"/>
      <c r="HS58" s="207"/>
      <c r="HT58" s="207"/>
      <c r="HU58" s="207"/>
      <c r="HV58" s="207"/>
      <c r="HW58" s="207"/>
      <c r="HX58" s="207"/>
      <c r="HY58" s="207"/>
      <c r="HZ58" s="207"/>
      <c r="IA58" s="207"/>
      <c r="IB58" s="207"/>
      <c r="IC58" s="207"/>
      <c r="ID58" s="207"/>
      <c r="IE58" s="207"/>
      <c r="IF58" s="207"/>
      <c r="IG58" s="207"/>
      <c r="IH58" s="207"/>
      <c r="II58" s="207"/>
    </row>
    <row r="59" spans="1:243" s="220" customFormat="1" x14ac:dyDescent="0.25">
      <c r="A59" s="232"/>
      <c r="HN59" s="221"/>
      <c r="HO59" s="221"/>
      <c r="HP59" s="221"/>
      <c r="HQ59" s="221"/>
      <c r="HR59" s="207"/>
      <c r="HS59" s="207"/>
      <c r="HT59" s="207"/>
      <c r="HU59" s="207"/>
      <c r="HV59" s="207"/>
      <c r="HW59" s="207"/>
      <c r="HX59" s="207"/>
      <c r="HY59" s="207"/>
      <c r="HZ59" s="207"/>
      <c r="IA59" s="207"/>
      <c r="IB59" s="207"/>
      <c r="IC59" s="207"/>
      <c r="ID59" s="207"/>
      <c r="IE59" s="207"/>
      <c r="IF59" s="207"/>
      <c r="IG59" s="207"/>
      <c r="IH59" s="207"/>
      <c r="II59" s="207"/>
    </row>
    <row r="60" spans="1:243" s="220" customFormat="1" x14ac:dyDescent="0.25">
      <c r="A60" s="232"/>
      <c r="HN60" s="221"/>
      <c r="HO60" s="221"/>
      <c r="HP60" s="221"/>
      <c r="HQ60" s="221"/>
      <c r="HR60" s="207"/>
      <c r="HS60" s="207"/>
      <c r="HT60" s="207"/>
      <c r="HU60" s="207"/>
      <c r="HV60" s="207"/>
      <c r="HW60" s="207"/>
      <c r="HX60" s="207"/>
      <c r="HY60" s="207"/>
      <c r="HZ60" s="207"/>
      <c r="IA60" s="207"/>
      <c r="IB60" s="207"/>
      <c r="IC60" s="207"/>
      <c r="ID60" s="207"/>
      <c r="IE60" s="207"/>
      <c r="IF60" s="207"/>
      <c r="IG60" s="207"/>
      <c r="IH60" s="207"/>
      <c r="II60" s="207"/>
    </row>
    <row r="61" spans="1:243" s="220" customFormat="1" x14ac:dyDescent="0.25">
      <c r="A61" s="232"/>
      <c r="HN61" s="221"/>
      <c r="HO61" s="221"/>
      <c r="HP61" s="221"/>
      <c r="HQ61" s="221"/>
      <c r="HR61" s="207"/>
      <c r="HS61" s="207"/>
      <c r="HT61" s="207"/>
      <c r="HU61" s="207"/>
      <c r="HV61" s="207"/>
      <c r="HW61" s="207"/>
      <c r="HX61" s="207"/>
      <c r="HY61" s="207"/>
      <c r="HZ61" s="207"/>
      <c r="IA61" s="207"/>
      <c r="IB61" s="207"/>
      <c r="IC61" s="207"/>
      <c r="ID61" s="207"/>
      <c r="IE61" s="207"/>
      <c r="IF61" s="207"/>
      <c r="IG61" s="207"/>
      <c r="IH61" s="207"/>
      <c r="II61" s="207"/>
    </row>
    <row r="62" spans="1:243" s="220" customFormat="1" x14ac:dyDescent="0.25">
      <c r="A62" s="232"/>
      <c r="HN62" s="221"/>
      <c r="HO62" s="221"/>
      <c r="HP62" s="221"/>
      <c r="HQ62" s="221"/>
      <c r="HR62" s="207"/>
      <c r="HS62" s="207"/>
      <c r="HT62" s="207"/>
      <c r="HU62" s="207"/>
      <c r="HV62" s="207"/>
      <c r="HW62" s="207"/>
      <c r="HX62" s="207"/>
      <c r="HY62" s="207"/>
      <c r="HZ62" s="207"/>
      <c r="IA62" s="207"/>
      <c r="IB62" s="207"/>
      <c r="IC62" s="207"/>
      <c r="ID62" s="207"/>
      <c r="IE62" s="207"/>
      <c r="IF62" s="207"/>
      <c r="IG62" s="207"/>
      <c r="IH62" s="207"/>
      <c r="II62" s="207"/>
    </row>
    <row r="63" spans="1:243" s="220" customFormat="1" x14ac:dyDescent="0.25">
      <c r="A63" s="232"/>
      <c r="HN63" s="221"/>
      <c r="HO63" s="221"/>
      <c r="HP63" s="221"/>
      <c r="HQ63" s="221"/>
      <c r="HR63" s="207"/>
      <c r="HS63" s="207"/>
      <c r="HT63" s="207"/>
      <c r="HU63" s="207"/>
      <c r="HV63" s="207"/>
      <c r="HW63" s="207"/>
      <c r="HX63" s="207"/>
      <c r="HY63" s="207"/>
      <c r="HZ63" s="207"/>
      <c r="IA63" s="207"/>
      <c r="IB63" s="207"/>
      <c r="IC63" s="207"/>
      <c r="ID63" s="207"/>
      <c r="IE63" s="207"/>
      <c r="IF63" s="207"/>
      <c r="IG63" s="207"/>
      <c r="IH63" s="207"/>
      <c r="II63" s="207"/>
    </row>
    <row r="64" spans="1:243" s="220" customFormat="1" x14ac:dyDescent="0.25">
      <c r="A64" s="232"/>
      <c r="HN64" s="221"/>
      <c r="HO64" s="221"/>
      <c r="HP64" s="221"/>
      <c r="HQ64" s="221"/>
      <c r="HR64" s="207"/>
      <c r="HS64" s="207"/>
      <c r="HT64" s="207"/>
      <c r="HU64" s="207"/>
      <c r="HV64" s="207"/>
      <c r="HW64" s="207"/>
      <c r="HX64" s="207"/>
      <c r="HY64" s="207"/>
      <c r="HZ64" s="207"/>
      <c r="IA64" s="207"/>
      <c r="IB64" s="207"/>
      <c r="IC64" s="207"/>
      <c r="ID64" s="207"/>
      <c r="IE64" s="207"/>
      <c r="IF64" s="207"/>
      <c r="IG64" s="207"/>
      <c r="IH64" s="207"/>
      <c r="II64" s="207"/>
    </row>
    <row r="65" spans="1:243" s="220" customFormat="1" x14ac:dyDescent="0.25">
      <c r="A65" s="232"/>
      <c r="HN65" s="221"/>
      <c r="HO65" s="221"/>
      <c r="HP65" s="221"/>
      <c r="HQ65" s="221"/>
      <c r="HR65" s="207"/>
      <c r="HS65" s="207"/>
      <c r="HT65" s="207"/>
      <c r="HU65" s="207"/>
      <c r="HV65" s="207"/>
      <c r="HW65" s="207"/>
      <c r="HX65" s="207"/>
      <c r="HY65" s="207"/>
      <c r="HZ65" s="207"/>
      <c r="IA65" s="207"/>
      <c r="IB65" s="207"/>
      <c r="IC65" s="207"/>
      <c r="ID65" s="207"/>
      <c r="IE65" s="207"/>
      <c r="IF65" s="207"/>
      <c r="IG65" s="207"/>
      <c r="IH65" s="207"/>
      <c r="II65" s="207"/>
    </row>
    <row r="66" spans="1:243" s="220" customFormat="1" x14ac:dyDescent="0.25">
      <c r="A66" s="232"/>
      <c r="HN66" s="221"/>
      <c r="HO66" s="221"/>
      <c r="HP66" s="221"/>
      <c r="HQ66" s="221"/>
      <c r="HR66" s="207"/>
      <c r="HS66" s="207"/>
      <c r="HT66" s="207"/>
      <c r="HU66" s="207"/>
      <c r="HV66" s="207"/>
      <c r="HW66" s="207"/>
      <c r="HX66" s="207"/>
      <c r="HY66" s="207"/>
      <c r="HZ66" s="207"/>
      <c r="IA66" s="207"/>
      <c r="IB66" s="207"/>
      <c r="IC66" s="207"/>
      <c r="ID66" s="207"/>
      <c r="IE66" s="207"/>
      <c r="IF66" s="207"/>
      <c r="IG66" s="207"/>
      <c r="IH66" s="207"/>
      <c r="II66" s="207"/>
    </row>
    <row r="67" spans="1:243" s="220" customFormat="1" x14ac:dyDescent="0.25">
      <c r="A67" s="232"/>
      <c r="HN67" s="221"/>
      <c r="HO67" s="221"/>
      <c r="HP67" s="221"/>
      <c r="HQ67" s="221"/>
      <c r="HR67" s="207"/>
      <c r="HS67" s="207"/>
      <c r="HT67" s="207"/>
      <c r="HU67" s="207"/>
      <c r="HV67" s="207"/>
      <c r="HW67" s="207"/>
      <c r="HX67" s="207"/>
      <c r="HY67" s="207"/>
      <c r="HZ67" s="207"/>
      <c r="IA67" s="207"/>
      <c r="IB67" s="207"/>
      <c r="IC67" s="207"/>
      <c r="ID67" s="207"/>
      <c r="IE67" s="207"/>
      <c r="IF67" s="207"/>
      <c r="IG67" s="207"/>
      <c r="IH67" s="207"/>
      <c r="II67" s="207"/>
    </row>
    <row r="68" spans="1:243" s="220" customFormat="1" x14ac:dyDescent="0.25">
      <c r="A68" s="232"/>
      <c r="HN68" s="221"/>
      <c r="HO68" s="221"/>
      <c r="HP68" s="221"/>
      <c r="HQ68" s="221"/>
      <c r="HR68" s="207"/>
      <c r="HS68" s="207"/>
      <c r="HT68" s="207"/>
      <c r="HU68" s="207"/>
      <c r="HV68" s="207"/>
      <c r="HW68" s="207"/>
      <c r="HX68" s="207"/>
      <c r="HY68" s="207"/>
      <c r="HZ68" s="207"/>
      <c r="IA68" s="207"/>
      <c r="IB68" s="207"/>
      <c r="IC68" s="207"/>
      <c r="ID68" s="207"/>
      <c r="IE68" s="207"/>
      <c r="IF68" s="207"/>
      <c r="IG68" s="207"/>
      <c r="IH68" s="207"/>
      <c r="II68" s="207"/>
    </row>
    <row r="69" spans="1:243" s="220" customFormat="1" x14ac:dyDescent="0.25">
      <c r="A69" s="232"/>
      <c r="HN69" s="221"/>
      <c r="HO69" s="221"/>
      <c r="HP69" s="221"/>
      <c r="HQ69" s="221"/>
      <c r="HR69" s="207"/>
      <c r="HS69" s="207"/>
      <c r="HT69" s="207"/>
      <c r="HU69" s="207"/>
      <c r="HV69" s="207"/>
      <c r="HW69" s="207"/>
      <c r="HX69" s="207"/>
      <c r="HY69" s="207"/>
      <c r="HZ69" s="207"/>
      <c r="IA69" s="207"/>
      <c r="IB69" s="207"/>
      <c r="IC69" s="207"/>
      <c r="ID69" s="207"/>
      <c r="IE69" s="207"/>
      <c r="IF69" s="207"/>
      <c r="IG69" s="207"/>
      <c r="IH69" s="207"/>
      <c r="II69" s="207"/>
    </row>
    <row r="70" spans="1:243" s="220" customFormat="1" x14ac:dyDescent="0.25">
      <c r="A70" s="232"/>
      <c r="HN70" s="221"/>
      <c r="HO70" s="221"/>
      <c r="HP70" s="221"/>
      <c r="HQ70" s="221"/>
      <c r="HR70" s="207"/>
      <c r="HS70" s="207"/>
      <c r="HT70" s="207"/>
      <c r="HU70" s="207"/>
      <c r="HV70" s="207"/>
      <c r="HW70" s="207"/>
      <c r="HX70" s="207"/>
      <c r="HY70" s="207"/>
      <c r="HZ70" s="207"/>
      <c r="IA70" s="207"/>
      <c r="IB70" s="207"/>
      <c r="IC70" s="207"/>
      <c r="ID70" s="207"/>
      <c r="IE70" s="207"/>
      <c r="IF70" s="207"/>
      <c r="IG70" s="207"/>
      <c r="IH70" s="207"/>
      <c r="II70" s="207"/>
    </row>
    <row r="71" spans="1:243" s="220" customFormat="1" x14ac:dyDescent="0.25">
      <c r="A71" s="232"/>
      <c r="HN71" s="221"/>
      <c r="HO71" s="221"/>
      <c r="HP71" s="221"/>
      <c r="HQ71" s="221"/>
      <c r="HR71" s="207"/>
      <c r="HS71" s="207"/>
      <c r="HT71" s="207"/>
      <c r="HU71" s="207"/>
      <c r="HV71" s="207"/>
      <c r="HW71" s="207"/>
      <c r="HX71" s="207"/>
      <c r="HY71" s="207"/>
      <c r="HZ71" s="207"/>
      <c r="IA71" s="207"/>
      <c r="IB71" s="207"/>
      <c r="IC71" s="207"/>
      <c r="ID71" s="207"/>
      <c r="IE71" s="207"/>
      <c r="IF71" s="207"/>
      <c r="IG71" s="207"/>
      <c r="IH71" s="207"/>
      <c r="II71" s="207"/>
    </row>
    <row r="72" spans="1:243" s="220" customFormat="1" x14ac:dyDescent="0.25">
      <c r="A72" s="232"/>
      <c r="HN72" s="221"/>
      <c r="HO72" s="221"/>
      <c r="HP72" s="221"/>
      <c r="HQ72" s="221"/>
      <c r="HR72" s="207"/>
      <c r="HS72" s="207"/>
      <c r="HT72" s="207"/>
      <c r="HU72" s="207"/>
      <c r="HV72" s="207"/>
      <c r="HW72" s="207"/>
      <c r="HX72" s="207"/>
      <c r="HY72" s="207"/>
      <c r="HZ72" s="207"/>
      <c r="IA72" s="207"/>
      <c r="IB72" s="207"/>
      <c r="IC72" s="207"/>
      <c r="ID72" s="207"/>
      <c r="IE72" s="207"/>
      <c r="IF72" s="207"/>
      <c r="IG72" s="207"/>
      <c r="IH72" s="207"/>
      <c r="II72" s="207"/>
    </row>
    <row r="73" spans="1:243" s="220" customFormat="1" x14ac:dyDescent="0.25">
      <c r="A73" s="232"/>
      <c r="HN73" s="221"/>
      <c r="HO73" s="221"/>
      <c r="HP73" s="221"/>
      <c r="HQ73" s="221"/>
      <c r="HR73" s="207"/>
      <c r="HS73" s="207"/>
      <c r="HT73" s="207"/>
      <c r="HU73" s="207"/>
      <c r="HV73" s="207"/>
      <c r="HW73" s="207"/>
      <c r="HX73" s="207"/>
      <c r="HY73" s="207"/>
      <c r="HZ73" s="207"/>
      <c r="IA73" s="207"/>
      <c r="IB73" s="207"/>
      <c r="IC73" s="207"/>
      <c r="ID73" s="207"/>
      <c r="IE73" s="207"/>
      <c r="IF73" s="207"/>
      <c r="IG73" s="207"/>
      <c r="IH73" s="207"/>
      <c r="II73" s="207"/>
    </row>
    <row r="74" spans="1:243" s="220" customFormat="1" x14ac:dyDescent="0.25">
      <c r="A74" s="232"/>
      <c r="HN74" s="221"/>
      <c r="HO74" s="221"/>
      <c r="HP74" s="221"/>
      <c r="HQ74" s="221"/>
      <c r="HR74" s="207"/>
      <c r="HS74" s="207"/>
      <c r="HT74" s="207"/>
      <c r="HU74" s="207"/>
      <c r="HV74" s="207"/>
      <c r="HW74" s="207"/>
      <c r="HX74" s="207"/>
      <c r="HY74" s="207"/>
      <c r="HZ74" s="207"/>
      <c r="IA74" s="207"/>
      <c r="IB74" s="207"/>
      <c r="IC74" s="207"/>
      <c r="ID74" s="207"/>
      <c r="IE74" s="207"/>
      <c r="IF74" s="207"/>
      <c r="IG74" s="207"/>
      <c r="IH74" s="207"/>
      <c r="II74" s="207"/>
    </row>
    <row r="75" spans="1:243" s="220" customFormat="1" x14ac:dyDescent="0.25">
      <c r="A75" s="232"/>
      <c r="HN75" s="221"/>
      <c r="HO75" s="221"/>
      <c r="HP75" s="221"/>
      <c r="HQ75" s="221"/>
      <c r="HR75" s="207"/>
      <c r="HS75" s="207"/>
      <c r="HT75" s="207"/>
      <c r="HU75" s="207"/>
      <c r="HV75" s="207"/>
      <c r="HW75" s="207"/>
      <c r="HX75" s="207"/>
      <c r="HY75" s="207"/>
      <c r="HZ75" s="207"/>
      <c r="IA75" s="207"/>
      <c r="IB75" s="207"/>
      <c r="IC75" s="207"/>
      <c r="ID75" s="207"/>
      <c r="IE75" s="207"/>
      <c r="IF75" s="207"/>
      <c r="IG75" s="207"/>
      <c r="IH75" s="207"/>
      <c r="II75" s="207"/>
    </row>
    <row r="76" spans="1:243" s="220" customFormat="1" x14ac:dyDescent="0.25">
      <c r="A76" s="232"/>
      <c r="HN76" s="221"/>
      <c r="HO76" s="221"/>
      <c r="HP76" s="221"/>
      <c r="HQ76" s="221"/>
      <c r="HR76" s="207"/>
      <c r="HS76" s="207"/>
      <c r="HT76" s="207"/>
      <c r="HU76" s="207"/>
      <c r="HV76" s="207"/>
      <c r="HW76" s="207"/>
      <c r="HX76" s="207"/>
      <c r="HY76" s="207"/>
      <c r="HZ76" s="207"/>
      <c r="IA76" s="207"/>
      <c r="IB76" s="207"/>
      <c r="IC76" s="207"/>
      <c r="ID76" s="207"/>
      <c r="IE76" s="207"/>
      <c r="IF76" s="207"/>
      <c r="IG76" s="207"/>
      <c r="IH76" s="207"/>
      <c r="II76" s="207"/>
    </row>
    <row r="77" spans="1:243" s="220" customFormat="1" x14ac:dyDescent="0.25">
      <c r="A77" s="232"/>
      <c r="HN77" s="221"/>
      <c r="HO77" s="221"/>
      <c r="HP77" s="221"/>
      <c r="HQ77" s="221"/>
      <c r="HR77" s="207"/>
      <c r="HS77" s="207"/>
      <c r="HT77" s="207"/>
      <c r="HU77" s="207"/>
      <c r="HV77" s="207"/>
      <c r="HW77" s="207"/>
      <c r="HX77" s="207"/>
      <c r="HY77" s="207"/>
      <c r="HZ77" s="207"/>
      <c r="IA77" s="207"/>
      <c r="IB77" s="207"/>
      <c r="IC77" s="207"/>
      <c r="ID77" s="207"/>
      <c r="IE77" s="207"/>
      <c r="IF77" s="207"/>
      <c r="IG77" s="207"/>
      <c r="IH77" s="207"/>
      <c r="II77" s="207"/>
    </row>
    <row r="78" spans="1:243" s="220" customFormat="1" x14ac:dyDescent="0.25">
      <c r="A78" s="232"/>
      <c r="HN78" s="221"/>
      <c r="HO78" s="221"/>
      <c r="HP78" s="221"/>
      <c r="HQ78" s="221"/>
      <c r="HR78" s="207"/>
      <c r="HS78" s="207"/>
      <c r="HT78" s="207"/>
      <c r="HU78" s="207"/>
      <c r="HV78" s="207"/>
      <c r="HW78" s="207"/>
      <c r="HX78" s="207"/>
      <c r="HY78" s="207"/>
      <c r="HZ78" s="207"/>
      <c r="IA78" s="207"/>
      <c r="IB78" s="207"/>
      <c r="IC78" s="207"/>
      <c r="ID78" s="207"/>
      <c r="IE78" s="207"/>
      <c r="IF78" s="207"/>
      <c r="IG78" s="207"/>
      <c r="IH78" s="207"/>
      <c r="II78" s="207"/>
    </row>
    <row r="79" spans="1:243" s="220" customFormat="1" x14ac:dyDescent="0.25">
      <c r="A79" s="232"/>
      <c r="HN79" s="221"/>
      <c r="HO79" s="221"/>
      <c r="HP79" s="221"/>
      <c r="HQ79" s="221"/>
      <c r="HR79" s="207"/>
      <c r="HS79" s="207"/>
      <c r="HT79" s="207"/>
      <c r="HU79" s="207"/>
      <c r="HV79" s="207"/>
      <c r="HW79" s="207"/>
      <c r="HX79" s="207"/>
      <c r="HY79" s="207"/>
      <c r="HZ79" s="207"/>
      <c r="IA79" s="207"/>
      <c r="IB79" s="207"/>
      <c r="IC79" s="207"/>
      <c r="ID79" s="207"/>
      <c r="IE79" s="207"/>
      <c r="IF79" s="207"/>
      <c r="IG79" s="207"/>
      <c r="IH79" s="207"/>
      <c r="II79" s="207"/>
    </row>
    <row r="80" spans="1:243" s="220" customFormat="1" x14ac:dyDescent="0.25">
      <c r="A80" s="232"/>
      <c r="HN80" s="221"/>
      <c r="HO80" s="221"/>
      <c r="HP80" s="221"/>
      <c r="HQ80" s="221"/>
      <c r="HR80" s="207"/>
      <c r="HS80" s="207"/>
      <c r="HT80" s="207"/>
      <c r="HU80" s="207"/>
      <c r="HV80" s="207"/>
      <c r="HW80" s="207"/>
      <c r="HX80" s="207"/>
      <c r="HY80" s="207"/>
      <c r="HZ80" s="207"/>
      <c r="IA80" s="207"/>
      <c r="IB80" s="207"/>
      <c r="IC80" s="207"/>
      <c r="ID80" s="207"/>
      <c r="IE80" s="207"/>
      <c r="IF80" s="207"/>
      <c r="IG80" s="207"/>
      <c r="IH80" s="207"/>
      <c r="II80" s="207"/>
    </row>
    <row r="81" spans="1:243" s="220" customFormat="1" x14ac:dyDescent="0.25">
      <c r="A81" s="232"/>
      <c r="HN81" s="221"/>
      <c r="HO81" s="221"/>
      <c r="HP81" s="221"/>
      <c r="HQ81" s="221"/>
      <c r="HR81" s="207"/>
      <c r="HS81" s="207"/>
      <c r="HT81" s="207"/>
      <c r="HU81" s="207"/>
      <c r="HV81" s="207"/>
      <c r="HW81" s="207"/>
      <c r="HX81" s="207"/>
      <c r="HY81" s="207"/>
      <c r="HZ81" s="207"/>
      <c r="IA81" s="207"/>
      <c r="IB81" s="207"/>
      <c r="IC81" s="207"/>
      <c r="ID81" s="207"/>
      <c r="IE81" s="207"/>
      <c r="IF81" s="207"/>
      <c r="IG81" s="207"/>
      <c r="IH81" s="207"/>
      <c r="II81" s="207"/>
    </row>
    <row r="82" spans="1:243" s="220" customFormat="1" x14ac:dyDescent="0.25">
      <c r="A82" s="232"/>
      <c r="HN82" s="221"/>
      <c r="HO82" s="221"/>
      <c r="HP82" s="221"/>
      <c r="HQ82" s="221"/>
      <c r="HR82" s="207"/>
      <c r="HS82" s="207"/>
      <c r="HT82" s="207"/>
      <c r="HU82" s="207"/>
      <c r="HV82" s="207"/>
      <c r="HW82" s="207"/>
      <c r="HX82" s="207"/>
      <c r="HY82" s="207"/>
      <c r="HZ82" s="207"/>
      <c r="IA82" s="207"/>
      <c r="IB82" s="207"/>
      <c r="IC82" s="207"/>
      <c r="ID82" s="207"/>
      <c r="IE82" s="207"/>
      <c r="IF82" s="207"/>
      <c r="IG82" s="207"/>
      <c r="IH82" s="207"/>
      <c r="II82" s="207"/>
    </row>
    <row r="83" spans="1:243" s="220" customFormat="1" x14ac:dyDescent="0.25">
      <c r="A83" s="232"/>
      <c r="HN83" s="221"/>
      <c r="HO83" s="221"/>
      <c r="HP83" s="221"/>
      <c r="HQ83" s="221"/>
      <c r="HR83" s="207"/>
      <c r="HS83" s="207"/>
      <c r="HT83" s="207"/>
      <c r="HU83" s="207"/>
      <c r="HV83" s="207"/>
      <c r="HW83" s="207"/>
      <c r="HX83" s="207"/>
      <c r="HY83" s="207"/>
      <c r="HZ83" s="207"/>
      <c r="IA83" s="207"/>
      <c r="IB83" s="207"/>
      <c r="IC83" s="207"/>
      <c r="ID83" s="207"/>
      <c r="IE83" s="207"/>
      <c r="IF83" s="207"/>
      <c r="IG83" s="207"/>
      <c r="IH83" s="207"/>
      <c r="II83" s="207"/>
    </row>
    <row r="84" spans="1:243" s="220" customFormat="1" x14ac:dyDescent="0.25">
      <c r="A84" s="232"/>
      <c r="HN84" s="221"/>
      <c r="HO84" s="221"/>
      <c r="HP84" s="221"/>
      <c r="HQ84" s="221"/>
      <c r="HR84" s="207"/>
      <c r="HS84" s="207"/>
      <c r="HT84" s="207"/>
      <c r="HU84" s="207"/>
      <c r="HV84" s="207"/>
      <c r="HW84" s="207"/>
      <c r="HX84" s="207"/>
      <c r="HY84" s="207"/>
      <c r="HZ84" s="207"/>
      <c r="IA84" s="207"/>
      <c r="IB84" s="207"/>
      <c r="IC84" s="207"/>
      <c r="ID84" s="207"/>
      <c r="IE84" s="207"/>
      <c r="IF84" s="207"/>
      <c r="IG84" s="207"/>
      <c r="IH84" s="207"/>
      <c r="II84" s="207"/>
    </row>
    <row r="85" spans="1:243" s="220" customFormat="1" x14ac:dyDescent="0.25">
      <c r="A85" s="232"/>
      <c r="HN85" s="221"/>
      <c r="HO85" s="221"/>
      <c r="HP85" s="221"/>
      <c r="HQ85" s="221"/>
      <c r="HR85" s="207"/>
      <c r="HS85" s="207"/>
      <c r="HT85" s="207"/>
      <c r="HU85" s="207"/>
      <c r="HV85" s="207"/>
      <c r="HW85" s="207"/>
      <c r="HX85" s="207"/>
      <c r="HY85" s="207"/>
      <c r="HZ85" s="207"/>
      <c r="IA85" s="207"/>
      <c r="IB85" s="207"/>
      <c r="IC85" s="207"/>
      <c r="ID85" s="207"/>
      <c r="IE85" s="207"/>
      <c r="IF85" s="207"/>
      <c r="IG85" s="207"/>
      <c r="IH85" s="207"/>
      <c r="II85" s="207"/>
    </row>
    <row r="86" spans="1:243" s="220" customFormat="1" x14ac:dyDescent="0.25">
      <c r="A86" s="232"/>
      <c r="HN86" s="221"/>
      <c r="HO86" s="221"/>
      <c r="HP86" s="221"/>
      <c r="HQ86" s="221"/>
      <c r="HR86" s="207"/>
      <c r="HS86" s="207"/>
      <c r="HT86" s="207"/>
      <c r="HU86" s="207"/>
      <c r="HV86" s="207"/>
      <c r="HW86" s="207"/>
      <c r="HX86" s="207"/>
      <c r="HY86" s="207"/>
      <c r="HZ86" s="207"/>
      <c r="IA86" s="207"/>
      <c r="IB86" s="207"/>
      <c r="IC86" s="207"/>
      <c r="ID86" s="207"/>
      <c r="IE86" s="207"/>
      <c r="IF86" s="207"/>
      <c r="IG86" s="207"/>
      <c r="IH86" s="207"/>
      <c r="II86" s="207"/>
    </row>
    <row r="87" spans="1:243" s="220" customFormat="1" x14ac:dyDescent="0.25">
      <c r="A87" s="232"/>
      <c r="HN87" s="221"/>
      <c r="HO87" s="221"/>
      <c r="HP87" s="221"/>
      <c r="HQ87" s="221"/>
      <c r="HR87" s="207"/>
      <c r="HS87" s="207"/>
      <c r="HT87" s="207"/>
      <c r="HU87" s="207"/>
      <c r="HV87" s="207"/>
      <c r="HW87" s="207"/>
      <c r="HX87" s="207"/>
      <c r="HY87" s="207"/>
      <c r="HZ87" s="207"/>
      <c r="IA87" s="207"/>
      <c r="IB87" s="207"/>
      <c r="IC87" s="207"/>
      <c r="ID87" s="207"/>
      <c r="IE87" s="207"/>
      <c r="IF87" s="207"/>
      <c r="IG87" s="207"/>
      <c r="IH87" s="207"/>
      <c r="II87" s="207"/>
    </row>
    <row r="88" spans="1:243" s="220" customFormat="1" x14ac:dyDescent="0.25">
      <c r="A88" s="232"/>
      <c r="HN88" s="221"/>
      <c r="HO88" s="221"/>
      <c r="HP88" s="221"/>
      <c r="HQ88" s="221"/>
      <c r="HR88" s="207"/>
      <c r="HS88" s="207"/>
      <c r="HT88" s="207"/>
      <c r="HU88" s="207"/>
      <c r="HV88" s="207"/>
      <c r="HW88" s="207"/>
      <c r="HX88" s="207"/>
      <c r="HY88" s="207"/>
      <c r="HZ88" s="207"/>
      <c r="IA88" s="207"/>
      <c r="IB88" s="207"/>
      <c r="IC88" s="207"/>
      <c r="ID88" s="207"/>
      <c r="IE88" s="207"/>
      <c r="IF88" s="207"/>
      <c r="IG88" s="207"/>
      <c r="IH88" s="207"/>
      <c r="II88" s="207"/>
    </row>
    <row r="89" spans="1:243" s="220" customFormat="1" x14ac:dyDescent="0.25">
      <c r="A89" s="232"/>
      <c r="HN89" s="221"/>
      <c r="HO89" s="221"/>
      <c r="HP89" s="221"/>
      <c r="HQ89" s="221"/>
      <c r="HR89" s="207"/>
      <c r="HS89" s="207"/>
      <c r="HT89" s="207"/>
      <c r="HU89" s="207"/>
      <c r="HV89" s="207"/>
      <c r="HW89" s="207"/>
      <c r="HX89" s="207"/>
      <c r="HY89" s="207"/>
      <c r="HZ89" s="207"/>
      <c r="IA89" s="207"/>
      <c r="IB89" s="207"/>
      <c r="IC89" s="207"/>
      <c r="ID89" s="207"/>
      <c r="IE89" s="207"/>
      <c r="IF89" s="207"/>
      <c r="IG89" s="207"/>
      <c r="IH89" s="207"/>
      <c r="II89" s="207"/>
    </row>
    <row r="90" spans="1:243" s="220" customFormat="1" x14ac:dyDescent="0.25">
      <c r="A90" s="232"/>
      <c r="HN90" s="221"/>
      <c r="HO90" s="221"/>
      <c r="HP90" s="221"/>
      <c r="HQ90" s="221"/>
      <c r="HR90" s="207"/>
      <c r="HS90" s="207"/>
      <c r="HT90" s="207"/>
      <c r="HU90" s="207"/>
      <c r="HV90" s="207"/>
      <c r="HW90" s="207"/>
      <c r="HX90" s="207"/>
      <c r="HY90" s="207"/>
      <c r="HZ90" s="207"/>
      <c r="IA90" s="207"/>
      <c r="IB90" s="207"/>
      <c r="IC90" s="207"/>
      <c r="ID90" s="207"/>
      <c r="IE90" s="207"/>
      <c r="IF90" s="207"/>
      <c r="IG90" s="207"/>
      <c r="IH90" s="207"/>
      <c r="II90" s="207"/>
    </row>
    <row r="91" spans="1:243" s="220" customFormat="1" x14ac:dyDescent="0.25">
      <c r="A91" s="232"/>
      <c r="HN91" s="221"/>
      <c r="HO91" s="221"/>
      <c r="HP91" s="221"/>
      <c r="HQ91" s="221"/>
      <c r="HR91" s="207"/>
      <c r="HS91" s="207"/>
      <c r="HT91" s="207"/>
      <c r="HU91" s="207"/>
      <c r="HV91" s="207"/>
      <c r="HW91" s="207"/>
      <c r="HX91" s="207"/>
      <c r="HY91" s="207"/>
      <c r="HZ91" s="207"/>
      <c r="IA91" s="207"/>
      <c r="IB91" s="207"/>
      <c r="IC91" s="207"/>
      <c r="ID91" s="207"/>
      <c r="IE91" s="207"/>
      <c r="IF91" s="207"/>
      <c r="IG91" s="207"/>
      <c r="IH91" s="207"/>
      <c r="II91" s="207"/>
    </row>
    <row r="92" spans="1:243" s="220" customFormat="1" x14ac:dyDescent="0.25">
      <c r="A92" s="232"/>
      <c r="HN92" s="221"/>
      <c r="HO92" s="221"/>
      <c r="HP92" s="221"/>
      <c r="HQ92" s="221"/>
      <c r="HR92" s="207"/>
      <c r="HS92" s="207"/>
      <c r="HT92" s="207"/>
      <c r="HU92" s="207"/>
      <c r="HV92" s="207"/>
      <c r="HW92" s="207"/>
      <c r="HX92" s="207"/>
      <c r="HY92" s="207"/>
      <c r="HZ92" s="207"/>
      <c r="IA92" s="207"/>
      <c r="IB92" s="207"/>
      <c r="IC92" s="207"/>
      <c r="ID92" s="207"/>
      <c r="IE92" s="207"/>
      <c r="IF92" s="207"/>
      <c r="IG92" s="207"/>
      <c r="IH92" s="207"/>
      <c r="II92" s="207"/>
    </row>
    <row r="93" spans="1:243" s="220" customFormat="1" x14ac:dyDescent="0.25">
      <c r="A93" s="232"/>
      <c r="HN93" s="221"/>
      <c r="HO93" s="221"/>
      <c r="HP93" s="221"/>
      <c r="HQ93" s="221"/>
      <c r="HR93" s="207"/>
      <c r="HS93" s="207"/>
      <c r="HT93" s="207"/>
      <c r="HU93" s="207"/>
      <c r="HV93" s="207"/>
      <c r="HW93" s="207"/>
      <c r="HX93" s="207"/>
      <c r="HY93" s="207"/>
      <c r="HZ93" s="207"/>
      <c r="IA93" s="207"/>
      <c r="IB93" s="207"/>
      <c r="IC93" s="207"/>
      <c r="ID93" s="207"/>
      <c r="IE93" s="207"/>
      <c r="IF93" s="207"/>
      <c r="IG93" s="207"/>
      <c r="IH93" s="207"/>
      <c r="II93" s="207"/>
    </row>
    <row r="94" spans="1:243" s="220" customFormat="1" x14ac:dyDescent="0.25">
      <c r="A94" s="232"/>
      <c r="HN94" s="221"/>
      <c r="HO94" s="221"/>
      <c r="HP94" s="221"/>
      <c r="HQ94" s="221"/>
      <c r="HR94" s="207"/>
      <c r="HS94" s="207"/>
      <c r="HT94" s="207"/>
      <c r="HU94" s="207"/>
      <c r="HV94" s="207"/>
      <c r="HW94" s="207"/>
      <c r="HX94" s="207"/>
      <c r="HY94" s="207"/>
      <c r="HZ94" s="207"/>
      <c r="IA94" s="207"/>
      <c r="IB94" s="207"/>
      <c r="IC94" s="207"/>
      <c r="ID94" s="207"/>
      <c r="IE94" s="207"/>
      <c r="IF94" s="207"/>
      <c r="IG94" s="207"/>
      <c r="IH94" s="207"/>
      <c r="II94" s="207"/>
    </row>
    <row r="95" spans="1:243" s="220" customFormat="1" x14ac:dyDescent="0.25">
      <c r="A95" s="232"/>
      <c r="HN95" s="221"/>
      <c r="HO95" s="221"/>
      <c r="HP95" s="221"/>
      <c r="HQ95" s="221"/>
      <c r="HR95" s="207"/>
      <c r="HS95" s="207"/>
      <c r="HT95" s="207"/>
      <c r="HU95" s="207"/>
      <c r="HV95" s="207"/>
      <c r="HW95" s="207"/>
      <c r="HX95" s="207"/>
      <c r="HY95" s="207"/>
      <c r="HZ95" s="207"/>
      <c r="IA95" s="207"/>
      <c r="IB95" s="207"/>
      <c r="IC95" s="207"/>
      <c r="ID95" s="207"/>
      <c r="IE95" s="207"/>
      <c r="IF95" s="207"/>
      <c r="IG95" s="207"/>
      <c r="IH95" s="207"/>
      <c r="II95" s="207"/>
    </row>
    <row r="96" spans="1:243" s="220" customFormat="1" x14ac:dyDescent="0.25">
      <c r="A96" s="232"/>
      <c r="HN96" s="221"/>
      <c r="HO96" s="221"/>
      <c r="HP96" s="221"/>
      <c r="HQ96" s="221"/>
      <c r="HR96" s="207"/>
      <c r="HS96" s="207"/>
      <c r="HT96" s="207"/>
      <c r="HU96" s="207"/>
      <c r="HV96" s="207"/>
      <c r="HW96" s="207"/>
      <c r="HX96" s="207"/>
      <c r="HY96" s="207"/>
      <c r="HZ96" s="207"/>
      <c r="IA96" s="207"/>
      <c r="IB96" s="207"/>
      <c r="IC96" s="207"/>
      <c r="ID96" s="207"/>
      <c r="IE96" s="207"/>
      <c r="IF96" s="207"/>
      <c r="IG96" s="207"/>
      <c r="IH96" s="207"/>
      <c r="II96" s="207"/>
    </row>
    <row r="97" spans="1:243" s="220" customFormat="1" x14ac:dyDescent="0.25">
      <c r="A97" s="232"/>
      <c r="HN97" s="221"/>
      <c r="HO97" s="221"/>
      <c r="HP97" s="221"/>
      <c r="HQ97" s="221"/>
      <c r="HR97" s="207"/>
      <c r="HS97" s="207"/>
      <c r="HT97" s="207"/>
      <c r="HU97" s="207"/>
      <c r="HV97" s="207"/>
      <c r="HW97" s="207"/>
      <c r="HX97" s="207"/>
      <c r="HY97" s="207"/>
      <c r="HZ97" s="207"/>
      <c r="IA97" s="207"/>
      <c r="IB97" s="207"/>
      <c r="IC97" s="207"/>
      <c r="ID97" s="207"/>
      <c r="IE97" s="207"/>
      <c r="IF97" s="207"/>
      <c r="IG97" s="207"/>
      <c r="IH97" s="207"/>
      <c r="II97" s="207"/>
    </row>
    <row r="98" spans="1:243" s="220" customFormat="1" x14ac:dyDescent="0.25">
      <c r="A98" s="232"/>
      <c r="HN98" s="221"/>
      <c r="HO98" s="221"/>
      <c r="HP98" s="221"/>
      <c r="HQ98" s="221"/>
      <c r="HR98" s="207"/>
      <c r="HS98" s="207"/>
      <c r="HT98" s="207"/>
      <c r="HU98" s="207"/>
      <c r="HV98" s="207"/>
      <c r="HW98" s="207"/>
      <c r="HX98" s="207"/>
      <c r="HY98" s="207"/>
      <c r="HZ98" s="207"/>
      <c r="IA98" s="207"/>
      <c r="IB98" s="207"/>
      <c r="IC98" s="207"/>
      <c r="ID98" s="207"/>
      <c r="IE98" s="207"/>
      <c r="IF98" s="207"/>
      <c r="IG98" s="207"/>
      <c r="IH98" s="207"/>
      <c r="II98" s="207"/>
    </row>
    <row r="99" spans="1:243" s="220" customFormat="1" x14ac:dyDescent="0.25">
      <c r="A99" s="232"/>
      <c r="HN99" s="221"/>
      <c r="HO99" s="221"/>
      <c r="HP99" s="221"/>
      <c r="HQ99" s="221"/>
      <c r="HR99" s="207"/>
      <c r="HS99" s="207"/>
      <c r="HT99" s="207"/>
      <c r="HU99" s="207"/>
      <c r="HV99" s="207"/>
      <c r="HW99" s="207"/>
      <c r="HX99" s="207"/>
      <c r="HY99" s="207"/>
      <c r="HZ99" s="207"/>
      <c r="IA99" s="207"/>
      <c r="IB99" s="207"/>
      <c r="IC99" s="207"/>
      <c r="ID99" s="207"/>
      <c r="IE99" s="207"/>
      <c r="IF99" s="207"/>
      <c r="IG99" s="207"/>
      <c r="IH99" s="207"/>
      <c r="II99" s="207"/>
    </row>
    <row r="100" spans="1:243" s="220" customFormat="1" x14ac:dyDescent="0.25">
      <c r="A100" s="232"/>
      <c r="HN100" s="221"/>
      <c r="HO100" s="221"/>
      <c r="HP100" s="221"/>
      <c r="HQ100" s="221"/>
      <c r="HR100" s="207"/>
      <c r="HS100" s="207"/>
      <c r="HT100" s="207"/>
      <c r="HU100" s="207"/>
      <c r="HV100" s="207"/>
      <c r="HW100" s="207"/>
      <c r="HX100" s="207"/>
      <c r="HY100" s="207"/>
      <c r="HZ100" s="207"/>
      <c r="IA100" s="207"/>
      <c r="IB100" s="207"/>
      <c r="IC100" s="207"/>
      <c r="ID100" s="207"/>
      <c r="IE100" s="207"/>
      <c r="IF100" s="207"/>
      <c r="IG100" s="207"/>
      <c r="IH100" s="207"/>
      <c r="II100" s="207"/>
    </row>
    <row r="101" spans="1:243" s="220" customFormat="1" x14ac:dyDescent="0.25">
      <c r="A101" s="232"/>
      <c r="HN101" s="221"/>
      <c r="HO101" s="221"/>
      <c r="HP101" s="221"/>
      <c r="HQ101" s="221"/>
      <c r="HR101" s="207"/>
      <c r="HS101" s="207"/>
      <c r="HT101" s="207"/>
      <c r="HU101" s="207"/>
      <c r="HV101" s="207"/>
      <c r="HW101" s="207"/>
      <c r="HX101" s="207"/>
      <c r="HY101" s="207"/>
      <c r="HZ101" s="207"/>
      <c r="IA101" s="207"/>
      <c r="IB101" s="207"/>
      <c r="IC101" s="207"/>
      <c r="ID101" s="207"/>
      <c r="IE101" s="207"/>
      <c r="IF101" s="207"/>
      <c r="IG101" s="207"/>
      <c r="IH101" s="207"/>
      <c r="II101" s="207"/>
    </row>
    <row r="102" spans="1:243" s="220" customFormat="1" x14ac:dyDescent="0.25">
      <c r="A102" s="232"/>
      <c r="HN102" s="221"/>
      <c r="HO102" s="221"/>
      <c r="HP102" s="221"/>
      <c r="HQ102" s="221"/>
      <c r="HR102" s="207"/>
      <c r="HS102" s="207"/>
      <c r="HT102" s="207"/>
      <c r="HU102" s="207"/>
      <c r="HV102" s="207"/>
      <c r="HW102" s="207"/>
      <c r="HX102" s="207"/>
      <c r="HY102" s="207"/>
      <c r="HZ102" s="207"/>
      <c r="IA102" s="207"/>
      <c r="IB102" s="207"/>
      <c r="IC102" s="207"/>
      <c r="ID102" s="207"/>
      <c r="IE102" s="207"/>
      <c r="IF102" s="207"/>
      <c r="IG102" s="207"/>
      <c r="IH102" s="207"/>
      <c r="II102" s="207"/>
    </row>
    <row r="103" spans="1:243" s="220" customFormat="1" x14ac:dyDescent="0.25">
      <c r="A103" s="232"/>
      <c r="HN103" s="221"/>
      <c r="HO103" s="221"/>
      <c r="HP103" s="221"/>
      <c r="HQ103" s="221"/>
      <c r="HR103" s="207"/>
      <c r="HS103" s="207"/>
      <c r="HT103" s="207"/>
      <c r="HU103" s="207"/>
      <c r="HV103" s="207"/>
      <c r="HW103" s="207"/>
      <c r="HX103" s="207"/>
      <c r="HY103" s="207"/>
      <c r="HZ103" s="207"/>
      <c r="IA103" s="207"/>
      <c r="IB103" s="207"/>
      <c r="IC103" s="207"/>
      <c r="ID103" s="207"/>
      <c r="IE103" s="207"/>
      <c r="IF103" s="207"/>
      <c r="IG103" s="207"/>
      <c r="IH103" s="207"/>
      <c r="II103" s="207"/>
    </row>
    <row r="104" spans="1:243" s="220" customFormat="1" x14ac:dyDescent="0.25">
      <c r="A104" s="232"/>
      <c r="HN104" s="221"/>
      <c r="HO104" s="221"/>
      <c r="HP104" s="221"/>
      <c r="HQ104" s="221"/>
      <c r="HR104" s="207"/>
      <c r="HS104" s="207"/>
      <c r="HT104" s="207"/>
      <c r="HU104" s="207"/>
      <c r="HV104" s="207"/>
      <c r="HW104" s="207"/>
      <c r="HX104" s="207"/>
      <c r="HY104" s="207"/>
      <c r="HZ104" s="207"/>
      <c r="IA104" s="207"/>
      <c r="IB104" s="207"/>
      <c r="IC104" s="207"/>
      <c r="ID104" s="207"/>
      <c r="IE104" s="207"/>
      <c r="IF104" s="207"/>
      <c r="IG104" s="207"/>
      <c r="IH104" s="207"/>
      <c r="II104" s="207"/>
    </row>
    <row r="105" spans="1:243" s="220" customFormat="1" x14ac:dyDescent="0.25">
      <c r="A105" s="232"/>
      <c r="HN105" s="221"/>
      <c r="HO105" s="221"/>
      <c r="HP105" s="221"/>
      <c r="HQ105" s="221"/>
      <c r="HR105" s="207"/>
      <c r="HS105" s="207"/>
      <c r="HT105" s="207"/>
      <c r="HU105" s="207"/>
      <c r="HV105" s="207"/>
      <c r="HW105" s="207"/>
      <c r="HX105" s="207"/>
      <c r="HY105" s="207"/>
      <c r="HZ105" s="207"/>
      <c r="IA105" s="207"/>
      <c r="IB105" s="207"/>
      <c r="IC105" s="207"/>
      <c r="ID105" s="207"/>
      <c r="IE105" s="207"/>
      <c r="IF105" s="207"/>
      <c r="IG105" s="207"/>
      <c r="IH105" s="207"/>
      <c r="II105" s="207"/>
    </row>
    <row r="106" spans="1:243" s="220" customFormat="1" x14ac:dyDescent="0.25">
      <c r="A106" s="232"/>
      <c r="HN106" s="221"/>
      <c r="HO106" s="221"/>
      <c r="HP106" s="221"/>
      <c r="HQ106" s="221"/>
      <c r="HR106" s="207"/>
      <c r="HS106" s="207"/>
      <c r="HT106" s="207"/>
      <c r="HU106" s="207"/>
      <c r="HV106" s="207"/>
      <c r="HW106" s="207"/>
      <c r="HX106" s="207"/>
      <c r="HY106" s="207"/>
      <c r="HZ106" s="207"/>
      <c r="IA106" s="207"/>
      <c r="IB106" s="207"/>
      <c r="IC106" s="207"/>
      <c r="ID106" s="207"/>
      <c r="IE106" s="207"/>
      <c r="IF106" s="207"/>
      <c r="IG106" s="207"/>
      <c r="IH106" s="207"/>
      <c r="II106" s="207"/>
    </row>
    <row r="107" spans="1:243" s="220" customFormat="1" x14ac:dyDescent="0.25">
      <c r="A107" s="232"/>
      <c r="HN107" s="221"/>
      <c r="HO107" s="221"/>
      <c r="HP107" s="221"/>
      <c r="HQ107" s="221"/>
      <c r="HR107" s="207"/>
      <c r="HS107" s="207"/>
      <c r="HT107" s="207"/>
      <c r="HU107" s="207"/>
      <c r="HV107" s="207"/>
      <c r="HW107" s="207"/>
      <c r="HX107" s="207"/>
      <c r="HY107" s="207"/>
      <c r="HZ107" s="207"/>
      <c r="IA107" s="207"/>
      <c r="IB107" s="207"/>
      <c r="IC107" s="207"/>
      <c r="ID107" s="207"/>
      <c r="IE107" s="207"/>
      <c r="IF107" s="207"/>
      <c r="IG107" s="207"/>
      <c r="IH107" s="207"/>
      <c r="II107" s="207"/>
    </row>
    <row r="108" spans="1:243" s="220" customFormat="1" x14ac:dyDescent="0.25">
      <c r="A108" s="232"/>
      <c r="HN108" s="221"/>
      <c r="HO108" s="221"/>
      <c r="HP108" s="221"/>
      <c r="HQ108" s="221"/>
      <c r="HR108" s="207"/>
      <c r="HS108" s="207"/>
      <c r="HT108" s="207"/>
      <c r="HU108" s="207"/>
      <c r="HV108" s="207"/>
      <c r="HW108" s="207"/>
      <c r="HX108" s="207"/>
      <c r="HY108" s="207"/>
      <c r="HZ108" s="207"/>
      <c r="IA108" s="207"/>
      <c r="IB108" s="207"/>
      <c r="IC108" s="207"/>
      <c r="ID108" s="207"/>
      <c r="IE108" s="207"/>
      <c r="IF108" s="207"/>
      <c r="IG108" s="207"/>
      <c r="IH108" s="207"/>
      <c r="II108" s="207"/>
    </row>
    <row r="109" spans="1:243" s="220" customFormat="1" x14ac:dyDescent="0.25">
      <c r="A109" s="232"/>
      <c r="HN109" s="221"/>
      <c r="HO109" s="221"/>
      <c r="HP109" s="221"/>
      <c r="HQ109" s="221"/>
      <c r="HR109" s="207"/>
      <c r="HS109" s="207"/>
      <c r="HT109" s="207"/>
      <c r="HU109" s="207"/>
      <c r="HV109" s="207"/>
      <c r="HW109" s="207"/>
      <c r="HX109" s="207"/>
      <c r="HY109" s="207"/>
      <c r="HZ109" s="207"/>
      <c r="IA109" s="207"/>
      <c r="IB109" s="207"/>
      <c r="IC109" s="207"/>
      <c r="ID109" s="207"/>
      <c r="IE109" s="207"/>
      <c r="IF109" s="207"/>
      <c r="IG109" s="207"/>
      <c r="IH109" s="207"/>
      <c r="II109" s="207"/>
    </row>
    <row r="110" spans="1:243" s="220" customFormat="1" x14ac:dyDescent="0.25">
      <c r="A110" s="232"/>
      <c r="HN110" s="221"/>
      <c r="HO110" s="221"/>
      <c r="HP110" s="221"/>
      <c r="HQ110" s="221"/>
      <c r="HR110" s="207"/>
      <c r="HS110" s="207"/>
      <c r="HT110" s="207"/>
      <c r="HU110" s="207"/>
      <c r="HV110" s="207"/>
      <c r="HW110" s="207"/>
      <c r="HX110" s="207"/>
      <c r="HY110" s="207"/>
      <c r="HZ110" s="207"/>
      <c r="IA110" s="207"/>
      <c r="IB110" s="207"/>
      <c r="IC110" s="207"/>
      <c r="ID110" s="207"/>
      <c r="IE110" s="207"/>
      <c r="IF110" s="207"/>
      <c r="IG110" s="207"/>
      <c r="IH110" s="207"/>
      <c r="II110" s="207"/>
    </row>
    <row r="111" spans="1:243" s="220" customFormat="1" x14ac:dyDescent="0.25">
      <c r="A111" s="232"/>
      <c r="HN111" s="221"/>
      <c r="HO111" s="221"/>
      <c r="HP111" s="221"/>
      <c r="HQ111" s="221"/>
      <c r="HR111" s="207"/>
      <c r="HS111" s="207"/>
      <c r="HT111" s="207"/>
      <c r="HU111" s="207"/>
      <c r="HV111" s="207"/>
      <c r="HW111" s="207"/>
      <c r="HX111" s="207"/>
      <c r="HY111" s="207"/>
      <c r="HZ111" s="207"/>
      <c r="IA111" s="207"/>
      <c r="IB111" s="207"/>
      <c r="IC111" s="207"/>
      <c r="ID111" s="207"/>
      <c r="IE111" s="207"/>
      <c r="IF111" s="207"/>
      <c r="IG111" s="207"/>
      <c r="IH111" s="207"/>
      <c r="II111" s="207"/>
    </row>
    <row r="112" spans="1:243" s="220" customFormat="1" x14ac:dyDescent="0.25">
      <c r="A112" s="232"/>
      <c r="HN112" s="221"/>
      <c r="HO112" s="221"/>
      <c r="HP112" s="221"/>
      <c r="HQ112" s="221"/>
      <c r="HR112" s="207"/>
      <c r="HS112" s="207"/>
      <c r="HT112" s="207"/>
      <c r="HU112" s="207"/>
      <c r="HV112" s="207"/>
      <c r="HW112" s="207"/>
      <c r="HX112" s="207"/>
      <c r="HY112" s="207"/>
      <c r="HZ112" s="207"/>
      <c r="IA112" s="207"/>
      <c r="IB112" s="207"/>
      <c r="IC112" s="207"/>
      <c r="ID112" s="207"/>
      <c r="IE112" s="207"/>
      <c r="IF112" s="207"/>
      <c r="IG112" s="207"/>
      <c r="IH112" s="207"/>
      <c r="II112" s="207"/>
    </row>
    <row r="113" spans="1:243" s="220" customFormat="1" x14ac:dyDescent="0.25">
      <c r="A113" s="232"/>
      <c r="HN113" s="221"/>
      <c r="HO113" s="221"/>
      <c r="HP113" s="221"/>
      <c r="HQ113" s="221"/>
      <c r="HR113" s="207"/>
      <c r="HS113" s="207"/>
      <c r="HT113" s="207"/>
      <c r="HU113" s="207"/>
      <c r="HV113" s="207"/>
      <c r="HW113" s="207"/>
      <c r="HX113" s="207"/>
      <c r="HY113" s="207"/>
      <c r="HZ113" s="207"/>
      <c r="IA113" s="207"/>
      <c r="IB113" s="207"/>
      <c r="IC113" s="207"/>
      <c r="ID113" s="207"/>
      <c r="IE113" s="207"/>
      <c r="IF113" s="207"/>
      <c r="IG113" s="207"/>
      <c r="IH113" s="207"/>
      <c r="II113" s="207"/>
    </row>
    <row r="114" spans="1:243" s="220" customFormat="1" x14ac:dyDescent="0.25">
      <c r="A114" s="232"/>
      <c r="HN114" s="221"/>
      <c r="HO114" s="221"/>
      <c r="HP114" s="221"/>
      <c r="HQ114" s="221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207"/>
      <c r="IE114" s="207"/>
      <c r="IF114" s="207"/>
      <c r="IG114" s="207"/>
      <c r="IH114" s="207"/>
      <c r="II114" s="207"/>
    </row>
    <row r="115" spans="1:243" s="220" customFormat="1" x14ac:dyDescent="0.25">
      <c r="A115" s="232"/>
      <c r="HN115" s="221"/>
      <c r="HO115" s="221"/>
      <c r="HP115" s="221"/>
      <c r="HQ115" s="221"/>
      <c r="HR115" s="207"/>
      <c r="HS115" s="207"/>
      <c r="HT115" s="207"/>
      <c r="HU115" s="207"/>
      <c r="HV115" s="207"/>
      <c r="HW115" s="207"/>
      <c r="HX115" s="207"/>
      <c r="HY115" s="207"/>
      <c r="HZ115" s="207"/>
      <c r="IA115" s="207"/>
      <c r="IB115" s="207"/>
      <c r="IC115" s="207"/>
      <c r="ID115" s="207"/>
      <c r="IE115" s="207"/>
      <c r="IF115" s="207"/>
      <c r="IG115" s="207"/>
      <c r="IH115" s="207"/>
      <c r="II115" s="207"/>
    </row>
    <row r="116" spans="1:243" s="220" customFormat="1" x14ac:dyDescent="0.25">
      <c r="A116" s="232"/>
      <c r="HN116" s="221"/>
      <c r="HO116" s="221"/>
      <c r="HP116" s="221"/>
      <c r="HQ116" s="221"/>
      <c r="HR116" s="207"/>
      <c r="HS116" s="207"/>
      <c r="HT116" s="207"/>
      <c r="HU116" s="207"/>
      <c r="HV116" s="207"/>
      <c r="HW116" s="207"/>
      <c r="HX116" s="207"/>
      <c r="HY116" s="207"/>
      <c r="HZ116" s="207"/>
      <c r="IA116" s="207"/>
      <c r="IB116" s="207"/>
      <c r="IC116" s="207"/>
      <c r="ID116" s="207"/>
      <c r="IE116" s="207"/>
      <c r="IF116" s="207"/>
      <c r="IG116" s="207"/>
      <c r="IH116" s="207"/>
      <c r="II116" s="207"/>
    </row>
    <row r="117" spans="1:243" s="220" customFormat="1" x14ac:dyDescent="0.25">
      <c r="A117" s="232"/>
      <c r="HN117" s="221"/>
      <c r="HO117" s="221"/>
      <c r="HP117" s="221"/>
      <c r="HQ117" s="221"/>
      <c r="HR117" s="207"/>
      <c r="HS117" s="207"/>
      <c r="HT117" s="207"/>
      <c r="HU117" s="207"/>
      <c r="HV117" s="207"/>
      <c r="HW117" s="207"/>
      <c r="HX117" s="207"/>
      <c r="HY117" s="207"/>
      <c r="HZ117" s="207"/>
      <c r="IA117" s="207"/>
      <c r="IB117" s="207"/>
      <c r="IC117" s="207"/>
      <c r="ID117" s="207"/>
      <c r="IE117" s="207"/>
      <c r="IF117" s="207"/>
      <c r="IG117" s="207"/>
      <c r="IH117" s="207"/>
      <c r="II117" s="207"/>
    </row>
    <row r="118" spans="1:243" s="220" customFormat="1" x14ac:dyDescent="0.25">
      <c r="A118" s="232"/>
      <c r="HN118" s="221"/>
      <c r="HO118" s="221"/>
      <c r="HP118" s="221"/>
      <c r="HQ118" s="221"/>
      <c r="HR118" s="207"/>
      <c r="HS118" s="207"/>
      <c r="HT118" s="207"/>
      <c r="HU118" s="207"/>
      <c r="HV118" s="207"/>
      <c r="HW118" s="207"/>
      <c r="HX118" s="207"/>
      <c r="HY118" s="207"/>
      <c r="HZ118" s="207"/>
      <c r="IA118" s="207"/>
      <c r="IB118" s="207"/>
      <c r="IC118" s="207"/>
      <c r="ID118" s="207"/>
      <c r="IE118" s="207"/>
      <c r="IF118" s="207"/>
      <c r="IG118" s="207"/>
      <c r="IH118" s="207"/>
      <c r="II118" s="207"/>
    </row>
    <row r="119" spans="1:243" s="220" customFormat="1" x14ac:dyDescent="0.25">
      <c r="A119" s="232"/>
      <c r="HN119" s="221"/>
      <c r="HO119" s="221"/>
      <c r="HP119" s="221"/>
      <c r="HQ119" s="221"/>
      <c r="HR119" s="207"/>
      <c r="HS119" s="207"/>
      <c r="HT119" s="207"/>
      <c r="HU119" s="207"/>
      <c r="HV119" s="207"/>
      <c r="HW119" s="207"/>
      <c r="HX119" s="207"/>
      <c r="HY119" s="207"/>
      <c r="HZ119" s="207"/>
      <c r="IA119" s="207"/>
      <c r="IB119" s="207"/>
      <c r="IC119" s="207"/>
      <c r="ID119" s="207"/>
      <c r="IE119" s="207"/>
      <c r="IF119" s="207"/>
      <c r="IG119" s="207"/>
      <c r="IH119" s="207"/>
      <c r="II119" s="207"/>
    </row>
    <row r="120" spans="1:243" s="220" customFormat="1" x14ac:dyDescent="0.25">
      <c r="A120" s="232"/>
      <c r="HN120" s="221"/>
      <c r="HO120" s="221"/>
      <c r="HP120" s="221"/>
      <c r="HQ120" s="221"/>
      <c r="HR120" s="207"/>
      <c r="HS120" s="207"/>
      <c r="HT120" s="207"/>
      <c r="HU120" s="207"/>
      <c r="HV120" s="207"/>
      <c r="HW120" s="207"/>
      <c r="HX120" s="207"/>
      <c r="HY120" s="207"/>
      <c r="HZ120" s="207"/>
      <c r="IA120" s="207"/>
      <c r="IB120" s="207"/>
      <c r="IC120" s="207"/>
      <c r="ID120" s="207"/>
      <c r="IE120" s="207"/>
      <c r="IF120" s="207"/>
      <c r="IG120" s="207"/>
      <c r="IH120" s="207"/>
      <c r="II120" s="207"/>
    </row>
    <row r="121" spans="1:243" s="220" customFormat="1" x14ac:dyDescent="0.25">
      <c r="A121" s="232"/>
      <c r="HN121" s="221"/>
      <c r="HO121" s="221"/>
      <c r="HP121" s="221"/>
      <c r="HQ121" s="221"/>
      <c r="HR121" s="207"/>
      <c r="HS121" s="207"/>
      <c r="HT121" s="207"/>
      <c r="HU121" s="207"/>
      <c r="HV121" s="207"/>
      <c r="HW121" s="207"/>
      <c r="HX121" s="207"/>
      <c r="HY121" s="207"/>
      <c r="HZ121" s="207"/>
      <c r="IA121" s="207"/>
      <c r="IB121" s="207"/>
      <c r="IC121" s="207"/>
      <c r="ID121" s="207"/>
      <c r="IE121" s="207"/>
      <c r="IF121" s="207"/>
      <c r="IG121" s="207"/>
      <c r="IH121" s="207"/>
      <c r="II121" s="207"/>
    </row>
    <row r="122" spans="1:243" s="220" customFormat="1" x14ac:dyDescent="0.25">
      <c r="A122" s="232"/>
      <c r="HN122" s="221"/>
      <c r="HO122" s="221"/>
      <c r="HP122" s="221"/>
      <c r="HQ122" s="221"/>
      <c r="HR122" s="207"/>
      <c r="HS122" s="207"/>
      <c r="HT122" s="207"/>
      <c r="HU122" s="207"/>
      <c r="HV122" s="207"/>
      <c r="HW122" s="207"/>
      <c r="HX122" s="207"/>
      <c r="HY122" s="207"/>
      <c r="HZ122" s="207"/>
      <c r="IA122" s="207"/>
      <c r="IB122" s="207"/>
      <c r="IC122" s="207"/>
      <c r="ID122" s="207"/>
      <c r="IE122" s="207"/>
      <c r="IF122" s="207"/>
      <c r="IG122" s="207"/>
      <c r="IH122" s="207"/>
      <c r="II122" s="207"/>
    </row>
    <row r="123" spans="1:243" s="220" customFormat="1" x14ac:dyDescent="0.25">
      <c r="A123" s="232"/>
      <c r="HN123" s="221"/>
      <c r="HO123" s="221"/>
      <c r="HP123" s="221"/>
      <c r="HQ123" s="221"/>
      <c r="HR123" s="207"/>
      <c r="HS123" s="207"/>
      <c r="HT123" s="207"/>
      <c r="HU123" s="207"/>
      <c r="HV123" s="207"/>
      <c r="HW123" s="207"/>
      <c r="HX123" s="207"/>
      <c r="HY123" s="207"/>
      <c r="HZ123" s="207"/>
      <c r="IA123" s="207"/>
      <c r="IB123" s="207"/>
      <c r="IC123" s="207"/>
      <c r="ID123" s="207"/>
      <c r="IE123" s="207"/>
      <c r="IF123" s="207"/>
      <c r="IG123" s="207"/>
      <c r="IH123" s="207"/>
      <c r="II123" s="207"/>
    </row>
    <row r="124" spans="1:243" s="220" customFormat="1" x14ac:dyDescent="0.25">
      <c r="A124" s="232"/>
      <c r="HN124" s="221"/>
      <c r="HO124" s="221"/>
      <c r="HP124" s="221"/>
      <c r="HQ124" s="221"/>
      <c r="HR124" s="207"/>
      <c r="HS124" s="207"/>
      <c r="HT124" s="207"/>
      <c r="HU124" s="207"/>
      <c r="HV124" s="207"/>
      <c r="HW124" s="207"/>
      <c r="HX124" s="207"/>
      <c r="HY124" s="207"/>
      <c r="HZ124" s="207"/>
      <c r="IA124" s="207"/>
      <c r="IB124" s="207"/>
      <c r="IC124" s="207"/>
      <c r="ID124" s="207"/>
      <c r="IE124" s="207"/>
      <c r="IF124" s="207"/>
      <c r="IG124" s="207"/>
      <c r="IH124" s="207"/>
      <c r="II124" s="207"/>
    </row>
    <row r="125" spans="1:243" s="220" customFormat="1" x14ac:dyDescent="0.25">
      <c r="A125" s="232"/>
      <c r="HN125" s="221"/>
      <c r="HO125" s="221"/>
      <c r="HP125" s="221"/>
      <c r="HQ125" s="221"/>
      <c r="HR125" s="207"/>
      <c r="HS125" s="207"/>
      <c r="HT125" s="207"/>
      <c r="HU125" s="207"/>
      <c r="HV125" s="207"/>
      <c r="HW125" s="207"/>
      <c r="HX125" s="207"/>
      <c r="HY125" s="207"/>
      <c r="HZ125" s="207"/>
      <c r="IA125" s="207"/>
      <c r="IB125" s="207"/>
      <c r="IC125" s="207"/>
      <c r="ID125" s="207"/>
      <c r="IE125" s="207"/>
      <c r="IF125" s="207"/>
      <c r="IG125" s="207"/>
      <c r="IH125" s="207"/>
      <c r="II125" s="207"/>
    </row>
    <row r="126" spans="1:243" s="220" customFormat="1" x14ac:dyDescent="0.25">
      <c r="A126" s="232"/>
      <c r="HN126" s="221"/>
      <c r="HO126" s="221"/>
      <c r="HP126" s="221"/>
      <c r="HQ126" s="221"/>
      <c r="HR126" s="207"/>
      <c r="HS126" s="207"/>
      <c r="HT126" s="207"/>
      <c r="HU126" s="207"/>
      <c r="HV126" s="207"/>
      <c r="HW126" s="207"/>
      <c r="HX126" s="207"/>
      <c r="HY126" s="207"/>
      <c r="HZ126" s="207"/>
      <c r="IA126" s="207"/>
      <c r="IB126" s="207"/>
      <c r="IC126" s="207"/>
      <c r="ID126" s="207"/>
      <c r="IE126" s="207"/>
      <c r="IF126" s="207"/>
      <c r="IG126" s="207"/>
      <c r="IH126" s="207"/>
      <c r="II126" s="207"/>
    </row>
    <row r="127" spans="1:243" s="220" customFormat="1" x14ac:dyDescent="0.25">
      <c r="A127" s="232"/>
      <c r="HN127" s="221"/>
      <c r="HO127" s="221"/>
      <c r="HP127" s="221"/>
      <c r="HQ127" s="221"/>
      <c r="HR127" s="207"/>
      <c r="HS127" s="207"/>
      <c r="HT127" s="207"/>
      <c r="HU127" s="207"/>
      <c r="HV127" s="207"/>
      <c r="HW127" s="207"/>
      <c r="HX127" s="207"/>
      <c r="HY127" s="207"/>
      <c r="HZ127" s="207"/>
      <c r="IA127" s="207"/>
      <c r="IB127" s="207"/>
      <c r="IC127" s="207"/>
      <c r="ID127" s="207"/>
      <c r="IE127" s="207"/>
      <c r="IF127" s="207"/>
      <c r="IG127" s="207"/>
      <c r="IH127" s="207"/>
      <c r="II127" s="207"/>
    </row>
    <row r="128" spans="1:243" s="220" customFormat="1" x14ac:dyDescent="0.25">
      <c r="A128" s="232"/>
      <c r="HN128" s="221"/>
      <c r="HO128" s="221"/>
      <c r="HP128" s="221"/>
      <c r="HQ128" s="221"/>
      <c r="HR128" s="207"/>
      <c r="HS128" s="207"/>
      <c r="HT128" s="207"/>
      <c r="HU128" s="207"/>
      <c r="HV128" s="207"/>
      <c r="HW128" s="207"/>
      <c r="HX128" s="207"/>
      <c r="HY128" s="207"/>
      <c r="HZ128" s="207"/>
      <c r="IA128" s="207"/>
      <c r="IB128" s="207"/>
      <c r="IC128" s="207"/>
      <c r="ID128" s="207"/>
      <c r="IE128" s="207"/>
      <c r="IF128" s="207"/>
      <c r="IG128" s="207"/>
      <c r="IH128" s="207"/>
      <c r="II128" s="207"/>
    </row>
    <row r="129" spans="1:243" s="220" customFormat="1" x14ac:dyDescent="0.25">
      <c r="A129" s="232"/>
      <c r="HN129" s="221"/>
      <c r="HO129" s="221"/>
      <c r="HP129" s="221"/>
      <c r="HQ129" s="221"/>
      <c r="HR129" s="207"/>
      <c r="HS129" s="207"/>
      <c r="HT129" s="207"/>
      <c r="HU129" s="207"/>
      <c r="HV129" s="207"/>
      <c r="HW129" s="207"/>
      <c r="HX129" s="207"/>
      <c r="HY129" s="207"/>
      <c r="HZ129" s="207"/>
      <c r="IA129" s="207"/>
      <c r="IB129" s="207"/>
      <c r="IC129" s="207"/>
      <c r="ID129" s="207"/>
      <c r="IE129" s="207"/>
      <c r="IF129" s="207"/>
      <c r="IG129" s="207"/>
      <c r="IH129" s="207"/>
      <c r="II129" s="207"/>
    </row>
    <row r="130" spans="1:243" s="220" customFormat="1" x14ac:dyDescent="0.25">
      <c r="A130" s="232"/>
      <c r="HN130" s="221"/>
      <c r="HO130" s="221"/>
      <c r="HP130" s="221"/>
      <c r="HQ130" s="221"/>
      <c r="HR130" s="207"/>
      <c r="HS130" s="207"/>
      <c r="HT130" s="207"/>
      <c r="HU130" s="207"/>
      <c r="HV130" s="207"/>
      <c r="HW130" s="207"/>
      <c r="HX130" s="207"/>
      <c r="HY130" s="207"/>
      <c r="HZ130" s="207"/>
      <c r="IA130" s="207"/>
      <c r="IB130" s="207"/>
      <c r="IC130" s="207"/>
      <c r="ID130" s="207"/>
      <c r="IE130" s="207"/>
      <c r="IF130" s="207"/>
      <c r="IG130" s="207"/>
      <c r="IH130" s="207"/>
      <c r="II130" s="207"/>
    </row>
    <row r="131" spans="1:243" s="220" customFormat="1" x14ac:dyDescent="0.25">
      <c r="A131" s="232"/>
      <c r="HN131" s="221"/>
      <c r="HO131" s="221"/>
      <c r="HP131" s="221"/>
      <c r="HQ131" s="221"/>
      <c r="HR131" s="207"/>
      <c r="HS131" s="207"/>
      <c r="HT131" s="207"/>
      <c r="HU131" s="207"/>
      <c r="HV131" s="207"/>
      <c r="HW131" s="207"/>
      <c r="HX131" s="207"/>
      <c r="HY131" s="207"/>
      <c r="HZ131" s="207"/>
      <c r="IA131" s="207"/>
      <c r="IB131" s="207"/>
      <c r="IC131" s="207"/>
      <c r="ID131" s="207"/>
      <c r="IE131" s="207"/>
      <c r="IF131" s="207"/>
      <c r="IG131" s="207"/>
      <c r="IH131" s="207"/>
      <c r="II131" s="207"/>
    </row>
    <row r="132" spans="1:243" s="220" customFormat="1" x14ac:dyDescent="0.25">
      <c r="A132" s="232"/>
      <c r="HN132" s="221"/>
      <c r="HO132" s="221"/>
      <c r="HP132" s="221"/>
      <c r="HQ132" s="221"/>
      <c r="HR132" s="207"/>
      <c r="HS132" s="207"/>
      <c r="HT132" s="207"/>
      <c r="HU132" s="207"/>
      <c r="HV132" s="207"/>
      <c r="HW132" s="207"/>
      <c r="HX132" s="207"/>
      <c r="HY132" s="207"/>
      <c r="HZ132" s="207"/>
      <c r="IA132" s="207"/>
      <c r="IB132" s="207"/>
      <c r="IC132" s="207"/>
      <c r="ID132" s="207"/>
      <c r="IE132" s="207"/>
      <c r="IF132" s="207"/>
      <c r="IG132" s="207"/>
      <c r="IH132" s="207"/>
      <c r="II132" s="207"/>
    </row>
    <row r="133" spans="1:243" s="220" customFormat="1" x14ac:dyDescent="0.25">
      <c r="A133" s="232"/>
      <c r="HN133" s="221"/>
      <c r="HO133" s="221"/>
      <c r="HP133" s="221"/>
      <c r="HQ133" s="221"/>
      <c r="HR133" s="207"/>
      <c r="HS133" s="207"/>
      <c r="HT133" s="207"/>
      <c r="HU133" s="207"/>
      <c r="HV133" s="207"/>
      <c r="HW133" s="207"/>
      <c r="HX133" s="207"/>
      <c r="HY133" s="207"/>
      <c r="HZ133" s="207"/>
      <c r="IA133" s="207"/>
      <c r="IB133" s="207"/>
      <c r="IC133" s="207"/>
      <c r="ID133" s="207"/>
      <c r="IE133" s="207"/>
      <c r="IF133" s="207"/>
      <c r="IG133" s="207"/>
      <c r="IH133" s="207"/>
      <c r="II133" s="207"/>
    </row>
    <row r="134" spans="1:243" s="220" customFormat="1" x14ac:dyDescent="0.25">
      <c r="A134" s="232"/>
      <c r="HN134" s="221"/>
      <c r="HO134" s="221"/>
      <c r="HP134" s="221"/>
      <c r="HQ134" s="221"/>
      <c r="HR134" s="207"/>
      <c r="HS134" s="207"/>
      <c r="HT134" s="207"/>
      <c r="HU134" s="207"/>
      <c r="HV134" s="207"/>
      <c r="HW134" s="207"/>
      <c r="HX134" s="207"/>
      <c r="HY134" s="207"/>
      <c r="HZ134" s="207"/>
      <c r="IA134" s="207"/>
      <c r="IB134" s="207"/>
      <c r="IC134" s="207"/>
      <c r="ID134" s="207"/>
      <c r="IE134" s="207"/>
      <c r="IF134" s="207"/>
      <c r="IG134" s="207"/>
      <c r="IH134" s="207"/>
      <c r="II134" s="207"/>
    </row>
    <row r="135" spans="1:243" s="220" customFormat="1" x14ac:dyDescent="0.25">
      <c r="A135" s="232"/>
      <c r="HN135" s="221"/>
      <c r="HO135" s="221"/>
      <c r="HP135" s="221"/>
      <c r="HQ135" s="221"/>
      <c r="HR135" s="207"/>
      <c r="HS135" s="207"/>
      <c r="HT135" s="207"/>
      <c r="HU135" s="207"/>
      <c r="HV135" s="207"/>
      <c r="HW135" s="207"/>
      <c r="HX135" s="207"/>
      <c r="HY135" s="207"/>
      <c r="HZ135" s="207"/>
      <c r="IA135" s="207"/>
      <c r="IB135" s="207"/>
      <c r="IC135" s="207"/>
      <c r="ID135" s="207"/>
      <c r="IE135" s="207"/>
      <c r="IF135" s="207"/>
      <c r="IG135" s="207"/>
      <c r="IH135" s="207"/>
      <c r="II135" s="207"/>
    </row>
    <row r="136" spans="1:243" s="220" customFormat="1" x14ac:dyDescent="0.25">
      <c r="A136" s="232"/>
      <c r="HN136" s="221"/>
      <c r="HO136" s="221"/>
      <c r="HP136" s="221"/>
      <c r="HQ136" s="221"/>
      <c r="HR136" s="207"/>
      <c r="HS136" s="207"/>
      <c r="HT136" s="207"/>
      <c r="HU136" s="207"/>
      <c r="HV136" s="207"/>
      <c r="HW136" s="207"/>
      <c r="HX136" s="207"/>
      <c r="HY136" s="207"/>
      <c r="HZ136" s="207"/>
      <c r="IA136" s="207"/>
      <c r="IB136" s="207"/>
      <c r="IC136" s="207"/>
      <c r="ID136" s="207"/>
      <c r="IE136" s="207"/>
      <c r="IF136" s="207"/>
      <c r="IG136" s="207"/>
      <c r="IH136" s="207"/>
      <c r="II136" s="207"/>
    </row>
    <row r="137" spans="1:243" s="220" customFormat="1" x14ac:dyDescent="0.25">
      <c r="A137" s="232"/>
      <c r="HN137" s="221"/>
      <c r="HO137" s="221"/>
      <c r="HP137" s="221"/>
      <c r="HQ137" s="221"/>
      <c r="HR137" s="207"/>
      <c r="HS137" s="207"/>
      <c r="HT137" s="207"/>
      <c r="HU137" s="207"/>
      <c r="HV137" s="207"/>
      <c r="HW137" s="207"/>
      <c r="HX137" s="207"/>
      <c r="HY137" s="207"/>
      <c r="HZ137" s="207"/>
      <c r="IA137" s="207"/>
      <c r="IB137" s="207"/>
      <c r="IC137" s="207"/>
      <c r="ID137" s="207"/>
      <c r="IE137" s="207"/>
      <c r="IF137" s="207"/>
      <c r="IG137" s="207"/>
      <c r="IH137" s="207"/>
      <c r="II137" s="207"/>
    </row>
    <row r="138" spans="1:243" s="220" customFormat="1" x14ac:dyDescent="0.25">
      <c r="A138" s="232"/>
      <c r="HN138" s="221"/>
      <c r="HO138" s="221"/>
      <c r="HP138" s="221"/>
      <c r="HQ138" s="221"/>
      <c r="HR138" s="207"/>
      <c r="HS138" s="207"/>
      <c r="HT138" s="207"/>
      <c r="HU138" s="207"/>
      <c r="HV138" s="207"/>
      <c r="HW138" s="207"/>
      <c r="HX138" s="207"/>
      <c r="HY138" s="207"/>
      <c r="HZ138" s="207"/>
      <c r="IA138" s="207"/>
      <c r="IB138" s="207"/>
      <c r="IC138" s="207"/>
      <c r="ID138" s="207"/>
      <c r="IE138" s="207"/>
      <c r="IF138" s="207"/>
      <c r="IG138" s="207"/>
      <c r="IH138" s="207"/>
      <c r="II138" s="207"/>
    </row>
    <row r="139" spans="1:243" s="220" customFormat="1" x14ac:dyDescent="0.25">
      <c r="A139" s="232"/>
      <c r="HN139" s="221"/>
      <c r="HO139" s="221"/>
      <c r="HP139" s="221"/>
      <c r="HQ139" s="221"/>
      <c r="HR139" s="207"/>
      <c r="HS139" s="207"/>
      <c r="HT139" s="207"/>
      <c r="HU139" s="207"/>
      <c r="HV139" s="207"/>
      <c r="HW139" s="207"/>
      <c r="HX139" s="207"/>
      <c r="HY139" s="207"/>
      <c r="HZ139" s="207"/>
      <c r="IA139" s="207"/>
      <c r="IB139" s="207"/>
      <c r="IC139" s="207"/>
      <c r="ID139" s="207"/>
      <c r="IE139" s="207"/>
      <c r="IF139" s="207"/>
      <c r="IG139" s="207"/>
      <c r="IH139" s="207"/>
      <c r="II139" s="207"/>
    </row>
    <row r="140" spans="1:243" s="220" customFormat="1" x14ac:dyDescent="0.25">
      <c r="A140" s="232"/>
      <c r="HN140" s="221"/>
      <c r="HO140" s="221"/>
      <c r="HP140" s="221"/>
      <c r="HQ140" s="221"/>
      <c r="HR140" s="207"/>
      <c r="HS140" s="207"/>
      <c r="HT140" s="207"/>
      <c r="HU140" s="207"/>
      <c r="HV140" s="207"/>
      <c r="HW140" s="207"/>
      <c r="HX140" s="207"/>
      <c r="HY140" s="207"/>
      <c r="HZ140" s="207"/>
      <c r="IA140" s="207"/>
      <c r="IB140" s="207"/>
      <c r="IC140" s="207"/>
      <c r="ID140" s="207"/>
      <c r="IE140" s="207"/>
      <c r="IF140" s="207"/>
      <c r="IG140" s="207"/>
      <c r="IH140" s="207"/>
      <c r="II140" s="207"/>
    </row>
    <row r="141" spans="1:243" s="220" customFormat="1" x14ac:dyDescent="0.25">
      <c r="A141" s="232"/>
      <c r="HN141" s="221"/>
      <c r="HO141" s="221"/>
      <c r="HP141" s="221"/>
      <c r="HQ141" s="221"/>
      <c r="HR141" s="207"/>
      <c r="HS141" s="207"/>
      <c r="HT141" s="207"/>
      <c r="HU141" s="207"/>
      <c r="HV141" s="207"/>
      <c r="HW141" s="207"/>
      <c r="HX141" s="207"/>
      <c r="HY141" s="207"/>
      <c r="HZ141" s="207"/>
      <c r="IA141" s="207"/>
      <c r="IB141" s="207"/>
      <c r="IC141" s="207"/>
      <c r="ID141" s="207"/>
      <c r="IE141" s="207"/>
      <c r="IF141" s="207"/>
      <c r="IG141" s="207"/>
      <c r="IH141" s="207"/>
      <c r="II141" s="207"/>
    </row>
    <row r="142" spans="1:243" s="220" customFormat="1" x14ac:dyDescent="0.25">
      <c r="A142" s="232"/>
      <c r="HN142" s="221"/>
      <c r="HO142" s="221"/>
      <c r="HP142" s="221"/>
      <c r="HQ142" s="221"/>
      <c r="HR142" s="207"/>
      <c r="HS142" s="207"/>
      <c r="HT142" s="207"/>
      <c r="HU142" s="207"/>
      <c r="HV142" s="207"/>
      <c r="HW142" s="207"/>
      <c r="HX142" s="207"/>
      <c r="HY142" s="207"/>
      <c r="HZ142" s="207"/>
      <c r="IA142" s="207"/>
      <c r="IB142" s="207"/>
      <c r="IC142" s="207"/>
      <c r="ID142" s="207"/>
      <c r="IE142" s="207"/>
      <c r="IF142" s="207"/>
      <c r="IG142" s="207"/>
      <c r="IH142" s="207"/>
      <c r="II142" s="207"/>
    </row>
    <row r="143" spans="1:243" s="220" customFormat="1" x14ac:dyDescent="0.25">
      <c r="A143" s="232"/>
      <c r="HN143" s="221"/>
      <c r="HO143" s="221"/>
      <c r="HP143" s="221"/>
      <c r="HQ143" s="221"/>
      <c r="HR143" s="207"/>
      <c r="HS143" s="207"/>
      <c r="HT143" s="207"/>
      <c r="HU143" s="207"/>
      <c r="HV143" s="207"/>
      <c r="HW143" s="207"/>
      <c r="HX143" s="207"/>
      <c r="HY143" s="207"/>
      <c r="HZ143" s="207"/>
      <c r="IA143" s="207"/>
      <c r="IB143" s="207"/>
      <c r="IC143" s="207"/>
      <c r="ID143" s="207"/>
      <c r="IE143" s="207"/>
      <c r="IF143" s="207"/>
      <c r="IG143" s="207"/>
      <c r="IH143" s="207"/>
      <c r="II143" s="207"/>
    </row>
    <row r="144" spans="1:243" s="220" customFormat="1" x14ac:dyDescent="0.25">
      <c r="A144" s="232"/>
      <c r="HN144" s="221"/>
      <c r="HO144" s="221"/>
      <c r="HP144" s="221"/>
      <c r="HQ144" s="221"/>
      <c r="HR144" s="207"/>
      <c r="HS144" s="207"/>
      <c r="HT144" s="207"/>
      <c r="HU144" s="207"/>
      <c r="HV144" s="207"/>
      <c r="HW144" s="207"/>
      <c r="HX144" s="207"/>
      <c r="HY144" s="207"/>
      <c r="HZ144" s="207"/>
      <c r="IA144" s="207"/>
      <c r="IB144" s="207"/>
      <c r="IC144" s="207"/>
      <c r="ID144" s="207"/>
      <c r="IE144" s="207"/>
      <c r="IF144" s="207"/>
      <c r="IG144" s="207"/>
      <c r="IH144" s="207"/>
      <c r="II144" s="207"/>
    </row>
    <row r="145" spans="1:243" s="220" customFormat="1" x14ac:dyDescent="0.25">
      <c r="A145" s="232"/>
      <c r="HN145" s="221"/>
      <c r="HO145" s="221"/>
      <c r="HP145" s="221"/>
      <c r="HQ145" s="221"/>
      <c r="HR145" s="207"/>
      <c r="HS145" s="207"/>
      <c r="HT145" s="207"/>
      <c r="HU145" s="207"/>
      <c r="HV145" s="207"/>
      <c r="HW145" s="207"/>
      <c r="HX145" s="207"/>
      <c r="HY145" s="207"/>
      <c r="HZ145" s="207"/>
      <c r="IA145" s="207"/>
      <c r="IB145" s="207"/>
      <c r="IC145" s="207"/>
      <c r="ID145" s="207"/>
      <c r="IE145" s="207"/>
      <c r="IF145" s="207"/>
      <c r="IG145" s="207"/>
      <c r="IH145" s="207"/>
      <c r="II145" s="207"/>
    </row>
    <row r="146" spans="1:243" s="220" customFormat="1" x14ac:dyDescent="0.25">
      <c r="A146" s="232"/>
      <c r="HN146" s="221"/>
      <c r="HO146" s="221"/>
      <c r="HP146" s="221"/>
      <c r="HQ146" s="221"/>
      <c r="HR146" s="207"/>
      <c r="HS146" s="207"/>
      <c r="HT146" s="207"/>
      <c r="HU146" s="207"/>
      <c r="HV146" s="207"/>
      <c r="HW146" s="207"/>
      <c r="HX146" s="207"/>
      <c r="HY146" s="207"/>
      <c r="HZ146" s="207"/>
      <c r="IA146" s="207"/>
      <c r="IB146" s="207"/>
      <c r="IC146" s="207"/>
      <c r="ID146" s="207"/>
      <c r="IE146" s="207"/>
      <c r="IF146" s="207"/>
      <c r="IG146" s="207"/>
      <c r="IH146" s="207"/>
      <c r="II146" s="207"/>
    </row>
    <row r="147" spans="1:243" s="220" customFormat="1" x14ac:dyDescent="0.25">
      <c r="A147" s="232"/>
      <c r="HN147" s="221"/>
      <c r="HO147" s="221"/>
      <c r="HP147" s="221"/>
      <c r="HQ147" s="221"/>
      <c r="HR147" s="207"/>
      <c r="HS147" s="207"/>
      <c r="HT147" s="207"/>
      <c r="HU147" s="207"/>
      <c r="HV147" s="207"/>
      <c r="HW147" s="207"/>
      <c r="HX147" s="207"/>
      <c r="HY147" s="207"/>
      <c r="HZ147" s="207"/>
      <c r="IA147" s="207"/>
      <c r="IB147" s="207"/>
      <c r="IC147" s="207"/>
      <c r="ID147" s="207"/>
      <c r="IE147" s="207"/>
      <c r="IF147" s="207"/>
      <c r="IG147" s="207"/>
      <c r="IH147" s="207"/>
      <c r="II147" s="207"/>
    </row>
    <row r="148" spans="1:243" s="220" customFormat="1" x14ac:dyDescent="0.25">
      <c r="A148" s="232"/>
      <c r="HN148" s="221"/>
      <c r="HO148" s="221"/>
      <c r="HP148" s="221"/>
      <c r="HQ148" s="221"/>
      <c r="HR148" s="207"/>
      <c r="HS148" s="207"/>
      <c r="HT148" s="207"/>
      <c r="HU148" s="207"/>
      <c r="HV148" s="207"/>
      <c r="HW148" s="207"/>
      <c r="HX148" s="207"/>
      <c r="HY148" s="207"/>
      <c r="HZ148" s="207"/>
      <c r="IA148" s="207"/>
      <c r="IB148" s="207"/>
      <c r="IC148" s="207"/>
      <c r="ID148" s="207"/>
      <c r="IE148" s="207"/>
      <c r="IF148" s="207"/>
      <c r="IG148" s="207"/>
      <c r="IH148" s="207"/>
      <c r="II148" s="207"/>
    </row>
    <row r="149" spans="1:243" s="220" customFormat="1" x14ac:dyDescent="0.25">
      <c r="A149" s="232"/>
      <c r="HN149" s="221"/>
      <c r="HO149" s="221"/>
      <c r="HP149" s="221"/>
      <c r="HQ149" s="221"/>
      <c r="HR149" s="207"/>
      <c r="HS149" s="207"/>
      <c r="HT149" s="207"/>
      <c r="HU149" s="207"/>
      <c r="HV149" s="207"/>
      <c r="HW149" s="207"/>
      <c r="HX149" s="207"/>
      <c r="HY149" s="207"/>
      <c r="HZ149" s="207"/>
      <c r="IA149" s="207"/>
      <c r="IB149" s="207"/>
      <c r="IC149" s="207"/>
      <c r="ID149" s="207"/>
      <c r="IE149" s="207"/>
      <c r="IF149" s="207"/>
      <c r="IG149" s="207"/>
      <c r="IH149" s="207"/>
      <c r="II149" s="207"/>
    </row>
    <row r="150" spans="1:243" s="220" customFormat="1" x14ac:dyDescent="0.25">
      <c r="A150" s="232"/>
      <c r="HN150" s="221"/>
      <c r="HO150" s="221"/>
      <c r="HP150" s="221"/>
      <c r="HQ150" s="221"/>
      <c r="HR150" s="207"/>
      <c r="HS150" s="207"/>
      <c r="HT150" s="207"/>
      <c r="HU150" s="207"/>
      <c r="HV150" s="207"/>
      <c r="HW150" s="207"/>
      <c r="HX150" s="207"/>
      <c r="HY150" s="207"/>
      <c r="HZ150" s="207"/>
      <c r="IA150" s="207"/>
      <c r="IB150" s="207"/>
      <c r="IC150" s="207"/>
      <c r="ID150" s="207"/>
      <c r="IE150" s="207"/>
      <c r="IF150" s="207"/>
      <c r="IG150" s="207"/>
      <c r="IH150" s="207"/>
      <c r="II150" s="207"/>
    </row>
    <row r="151" spans="1:243" s="220" customFormat="1" x14ac:dyDescent="0.25">
      <c r="A151" s="232"/>
      <c r="HN151" s="221"/>
      <c r="HO151" s="221"/>
      <c r="HP151" s="221"/>
      <c r="HQ151" s="221"/>
      <c r="HR151" s="207"/>
      <c r="HS151" s="207"/>
      <c r="HT151" s="207"/>
      <c r="HU151" s="207"/>
      <c r="HV151" s="207"/>
      <c r="HW151" s="207"/>
      <c r="HX151" s="207"/>
      <c r="HY151" s="207"/>
      <c r="HZ151" s="207"/>
      <c r="IA151" s="207"/>
      <c r="IB151" s="207"/>
      <c r="IC151" s="207"/>
      <c r="ID151" s="207"/>
      <c r="IE151" s="207"/>
      <c r="IF151" s="207"/>
      <c r="IG151" s="207"/>
      <c r="IH151" s="207"/>
      <c r="II151" s="207"/>
    </row>
    <row r="152" spans="1:243" s="220" customFormat="1" x14ac:dyDescent="0.25">
      <c r="A152" s="232"/>
      <c r="HN152" s="221"/>
      <c r="HO152" s="221"/>
      <c r="HP152" s="221"/>
      <c r="HQ152" s="221"/>
      <c r="HR152" s="207"/>
      <c r="HS152" s="207"/>
      <c r="HT152" s="207"/>
      <c r="HU152" s="207"/>
      <c r="HV152" s="207"/>
      <c r="HW152" s="207"/>
      <c r="HX152" s="207"/>
      <c r="HY152" s="207"/>
      <c r="HZ152" s="207"/>
      <c r="IA152" s="207"/>
      <c r="IB152" s="207"/>
      <c r="IC152" s="207"/>
      <c r="ID152" s="207"/>
      <c r="IE152" s="207"/>
      <c r="IF152" s="207"/>
      <c r="IG152" s="207"/>
      <c r="IH152" s="207"/>
      <c r="II152" s="207"/>
    </row>
    <row r="153" spans="1:243" s="220" customFormat="1" x14ac:dyDescent="0.25">
      <c r="A153" s="232"/>
      <c r="HN153" s="221"/>
      <c r="HO153" s="221"/>
      <c r="HP153" s="221"/>
      <c r="HQ153" s="221"/>
      <c r="HR153" s="207"/>
      <c r="HS153" s="207"/>
      <c r="HT153" s="207"/>
      <c r="HU153" s="207"/>
      <c r="HV153" s="207"/>
      <c r="HW153" s="207"/>
      <c r="HX153" s="207"/>
      <c r="HY153" s="207"/>
      <c r="HZ153" s="207"/>
      <c r="IA153" s="207"/>
      <c r="IB153" s="207"/>
      <c r="IC153" s="207"/>
      <c r="ID153" s="207"/>
      <c r="IE153" s="207"/>
      <c r="IF153" s="207"/>
      <c r="IG153" s="207"/>
      <c r="IH153" s="207"/>
      <c r="II153" s="207"/>
    </row>
    <row r="154" spans="1:243" s="220" customFormat="1" x14ac:dyDescent="0.25">
      <c r="A154" s="232"/>
      <c r="HN154" s="221"/>
      <c r="HO154" s="221"/>
      <c r="HP154" s="221"/>
      <c r="HQ154" s="221"/>
      <c r="HR154" s="207"/>
      <c r="HS154" s="207"/>
      <c r="HT154" s="207"/>
      <c r="HU154" s="207"/>
      <c r="HV154" s="207"/>
      <c r="HW154" s="207"/>
      <c r="HX154" s="207"/>
      <c r="HY154" s="207"/>
      <c r="HZ154" s="207"/>
      <c r="IA154" s="207"/>
      <c r="IB154" s="207"/>
      <c r="IC154" s="207"/>
      <c r="ID154" s="207"/>
      <c r="IE154" s="207"/>
      <c r="IF154" s="207"/>
      <c r="IG154" s="207"/>
      <c r="IH154" s="207"/>
      <c r="II154" s="207"/>
    </row>
    <row r="155" spans="1:243" s="220" customFormat="1" x14ac:dyDescent="0.25">
      <c r="A155" s="232"/>
      <c r="HN155" s="221"/>
      <c r="HO155" s="221"/>
      <c r="HP155" s="221"/>
      <c r="HQ155" s="221"/>
      <c r="HR155" s="207"/>
      <c r="HS155" s="207"/>
      <c r="HT155" s="207"/>
      <c r="HU155" s="207"/>
      <c r="HV155" s="207"/>
      <c r="HW155" s="207"/>
      <c r="HX155" s="207"/>
      <c r="HY155" s="207"/>
      <c r="HZ155" s="207"/>
      <c r="IA155" s="207"/>
      <c r="IB155" s="207"/>
      <c r="IC155" s="207"/>
      <c r="ID155" s="207"/>
      <c r="IE155" s="207"/>
      <c r="IF155" s="207"/>
      <c r="IG155" s="207"/>
      <c r="IH155" s="207"/>
      <c r="II155" s="207"/>
    </row>
    <row r="156" spans="1:243" s="220" customFormat="1" x14ac:dyDescent="0.25">
      <c r="A156" s="232"/>
      <c r="HN156" s="221"/>
      <c r="HO156" s="221"/>
      <c r="HP156" s="221"/>
      <c r="HQ156" s="221"/>
      <c r="HR156" s="207"/>
      <c r="HS156" s="207"/>
      <c r="HT156" s="207"/>
      <c r="HU156" s="207"/>
      <c r="HV156" s="207"/>
      <c r="HW156" s="207"/>
      <c r="HX156" s="207"/>
      <c r="HY156" s="207"/>
      <c r="HZ156" s="207"/>
      <c r="IA156" s="207"/>
      <c r="IB156" s="207"/>
      <c r="IC156" s="207"/>
      <c r="ID156" s="207"/>
      <c r="IE156" s="207"/>
      <c r="IF156" s="207"/>
      <c r="IG156" s="207"/>
      <c r="IH156" s="207"/>
      <c r="II156" s="207"/>
    </row>
    <row r="157" spans="1:243" s="220" customFormat="1" x14ac:dyDescent="0.25">
      <c r="A157" s="232"/>
      <c r="HN157" s="221"/>
      <c r="HO157" s="221"/>
      <c r="HP157" s="221"/>
      <c r="HQ157" s="221"/>
      <c r="HR157" s="207"/>
      <c r="HS157" s="207"/>
      <c r="HT157" s="207"/>
      <c r="HU157" s="207"/>
      <c r="HV157" s="207"/>
      <c r="HW157" s="207"/>
      <c r="HX157" s="207"/>
      <c r="HY157" s="207"/>
      <c r="HZ157" s="207"/>
      <c r="IA157" s="207"/>
      <c r="IB157" s="207"/>
      <c r="IC157" s="207"/>
      <c r="ID157" s="207"/>
      <c r="IE157" s="207"/>
      <c r="IF157" s="207"/>
      <c r="IG157" s="207"/>
      <c r="IH157" s="207"/>
      <c r="II157" s="207"/>
    </row>
    <row r="158" spans="1:243" s="220" customFormat="1" x14ac:dyDescent="0.25">
      <c r="A158" s="232"/>
      <c r="HN158" s="221"/>
      <c r="HO158" s="221"/>
      <c r="HP158" s="221"/>
      <c r="HQ158" s="221"/>
      <c r="HR158" s="207"/>
      <c r="HS158" s="207"/>
      <c r="HT158" s="207"/>
      <c r="HU158" s="207"/>
      <c r="HV158" s="207"/>
      <c r="HW158" s="207"/>
      <c r="HX158" s="207"/>
      <c r="HY158" s="207"/>
      <c r="HZ158" s="207"/>
      <c r="IA158" s="207"/>
      <c r="IB158" s="207"/>
      <c r="IC158" s="207"/>
      <c r="ID158" s="207"/>
      <c r="IE158" s="207"/>
      <c r="IF158" s="207"/>
      <c r="IG158" s="207"/>
      <c r="IH158" s="207"/>
      <c r="II158" s="207"/>
    </row>
    <row r="159" spans="1:243" s="220" customFormat="1" x14ac:dyDescent="0.25">
      <c r="A159" s="232"/>
      <c r="HN159" s="221"/>
      <c r="HO159" s="221"/>
      <c r="HP159" s="221"/>
      <c r="HQ159" s="221"/>
      <c r="HR159" s="207"/>
      <c r="HS159" s="207"/>
      <c r="HT159" s="207"/>
      <c r="HU159" s="207"/>
      <c r="HV159" s="207"/>
      <c r="HW159" s="207"/>
      <c r="HX159" s="207"/>
      <c r="HY159" s="207"/>
      <c r="HZ159" s="207"/>
      <c r="IA159" s="207"/>
      <c r="IB159" s="207"/>
      <c r="IC159" s="207"/>
      <c r="ID159" s="207"/>
      <c r="IE159" s="207"/>
      <c r="IF159" s="207"/>
      <c r="IG159" s="207"/>
      <c r="IH159" s="207"/>
      <c r="II159" s="207"/>
    </row>
    <row r="160" spans="1:243" s="220" customFormat="1" x14ac:dyDescent="0.25">
      <c r="A160" s="232"/>
      <c r="HN160" s="221"/>
      <c r="HO160" s="221"/>
      <c r="HP160" s="221"/>
      <c r="HQ160" s="221"/>
      <c r="HR160" s="207"/>
      <c r="HS160" s="207"/>
      <c r="HT160" s="207"/>
      <c r="HU160" s="207"/>
      <c r="HV160" s="207"/>
      <c r="HW160" s="207"/>
      <c r="HX160" s="207"/>
      <c r="HY160" s="207"/>
      <c r="HZ160" s="207"/>
      <c r="IA160" s="207"/>
      <c r="IB160" s="207"/>
      <c r="IC160" s="207"/>
      <c r="ID160" s="207"/>
      <c r="IE160" s="207"/>
      <c r="IF160" s="207"/>
      <c r="IG160" s="207"/>
      <c r="IH160" s="207"/>
      <c r="II160" s="207"/>
    </row>
    <row r="161" spans="1:243" s="220" customFormat="1" x14ac:dyDescent="0.25">
      <c r="A161" s="232"/>
      <c r="HN161" s="221"/>
      <c r="HO161" s="221"/>
      <c r="HP161" s="221"/>
      <c r="HQ161" s="221"/>
      <c r="HR161" s="207"/>
      <c r="HS161" s="207"/>
      <c r="HT161" s="207"/>
      <c r="HU161" s="207"/>
      <c r="HV161" s="207"/>
      <c r="HW161" s="207"/>
      <c r="HX161" s="207"/>
      <c r="HY161" s="207"/>
      <c r="HZ161" s="207"/>
      <c r="IA161" s="207"/>
      <c r="IB161" s="207"/>
      <c r="IC161" s="207"/>
      <c r="ID161" s="207"/>
      <c r="IE161" s="207"/>
      <c r="IF161" s="207"/>
      <c r="IG161" s="207"/>
      <c r="IH161" s="207"/>
      <c r="II161" s="207"/>
    </row>
    <row r="162" spans="1:243" s="220" customFormat="1" x14ac:dyDescent="0.25">
      <c r="A162" s="232"/>
      <c r="HN162" s="221"/>
      <c r="HO162" s="221"/>
      <c r="HP162" s="221"/>
      <c r="HQ162" s="221"/>
      <c r="HR162" s="207"/>
      <c r="HS162" s="207"/>
      <c r="HT162" s="207"/>
      <c r="HU162" s="207"/>
      <c r="HV162" s="207"/>
      <c r="HW162" s="207"/>
      <c r="HX162" s="207"/>
      <c r="HY162" s="207"/>
      <c r="HZ162" s="207"/>
      <c r="IA162" s="207"/>
      <c r="IB162" s="207"/>
      <c r="IC162" s="207"/>
      <c r="ID162" s="207"/>
      <c r="IE162" s="207"/>
      <c r="IF162" s="207"/>
      <c r="IG162" s="207"/>
      <c r="IH162" s="207"/>
      <c r="II162" s="207"/>
    </row>
    <row r="163" spans="1:243" s="220" customFormat="1" x14ac:dyDescent="0.25">
      <c r="A163" s="232"/>
      <c r="HN163" s="221"/>
      <c r="HO163" s="221"/>
      <c r="HP163" s="221"/>
      <c r="HQ163" s="221"/>
      <c r="HR163" s="207"/>
      <c r="HS163" s="207"/>
      <c r="HT163" s="207"/>
      <c r="HU163" s="207"/>
      <c r="HV163" s="207"/>
      <c r="HW163" s="207"/>
      <c r="HX163" s="207"/>
      <c r="HY163" s="207"/>
      <c r="HZ163" s="207"/>
      <c r="IA163" s="207"/>
      <c r="IB163" s="207"/>
      <c r="IC163" s="207"/>
      <c r="ID163" s="207"/>
      <c r="IE163" s="207"/>
      <c r="IF163" s="207"/>
      <c r="IG163" s="207"/>
      <c r="IH163" s="207"/>
      <c r="II163" s="207"/>
    </row>
    <row r="164" spans="1:243" s="220" customFormat="1" x14ac:dyDescent="0.25">
      <c r="A164" s="232"/>
      <c r="HN164" s="221"/>
      <c r="HO164" s="221"/>
      <c r="HP164" s="221"/>
      <c r="HQ164" s="221"/>
      <c r="HR164" s="207"/>
      <c r="HS164" s="207"/>
      <c r="HT164" s="207"/>
      <c r="HU164" s="207"/>
      <c r="HV164" s="207"/>
      <c r="HW164" s="207"/>
      <c r="HX164" s="207"/>
      <c r="HY164" s="207"/>
      <c r="HZ164" s="207"/>
      <c r="IA164" s="207"/>
      <c r="IB164" s="207"/>
      <c r="IC164" s="207"/>
      <c r="ID164" s="207"/>
      <c r="IE164" s="207"/>
      <c r="IF164" s="207"/>
      <c r="IG164" s="207"/>
      <c r="IH164" s="207"/>
      <c r="II164" s="207"/>
    </row>
    <row r="165" spans="1:243" s="220" customFormat="1" x14ac:dyDescent="0.25">
      <c r="A165" s="232"/>
      <c r="HN165" s="221"/>
      <c r="HO165" s="221"/>
      <c r="HP165" s="221"/>
      <c r="HQ165" s="221"/>
      <c r="HR165" s="207"/>
      <c r="HS165" s="207"/>
      <c r="HT165" s="207"/>
      <c r="HU165" s="207"/>
      <c r="HV165" s="207"/>
      <c r="HW165" s="207"/>
      <c r="HX165" s="207"/>
      <c r="HY165" s="207"/>
      <c r="HZ165" s="207"/>
      <c r="IA165" s="207"/>
      <c r="IB165" s="207"/>
      <c r="IC165" s="207"/>
      <c r="ID165" s="207"/>
      <c r="IE165" s="207"/>
      <c r="IF165" s="207"/>
      <c r="IG165" s="207"/>
      <c r="IH165" s="207"/>
      <c r="II165" s="207"/>
    </row>
    <row r="166" spans="1:243" s="220" customFormat="1" x14ac:dyDescent="0.25">
      <c r="A166" s="232"/>
      <c r="HN166" s="221"/>
      <c r="HO166" s="221"/>
      <c r="HP166" s="221"/>
      <c r="HQ166" s="221"/>
      <c r="HR166" s="207"/>
      <c r="HS166" s="207"/>
      <c r="HT166" s="207"/>
      <c r="HU166" s="207"/>
      <c r="HV166" s="207"/>
      <c r="HW166" s="207"/>
      <c r="HX166" s="207"/>
      <c r="HY166" s="207"/>
      <c r="HZ166" s="207"/>
      <c r="IA166" s="207"/>
      <c r="IB166" s="207"/>
      <c r="IC166" s="207"/>
      <c r="ID166" s="207"/>
      <c r="IE166" s="207"/>
      <c r="IF166" s="207"/>
      <c r="IG166" s="207"/>
      <c r="IH166" s="207"/>
      <c r="II166" s="207"/>
    </row>
    <row r="167" spans="1:243" s="220" customFormat="1" x14ac:dyDescent="0.25">
      <c r="A167" s="232"/>
      <c r="HN167" s="221"/>
      <c r="HO167" s="221"/>
      <c r="HP167" s="221"/>
      <c r="HQ167" s="221"/>
      <c r="HR167" s="207"/>
      <c r="HS167" s="207"/>
      <c r="HT167" s="207"/>
      <c r="HU167" s="207"/>
      <c r="HV167" s="207"/>
      <c r="HW167" s="207"/>
      <c r="HX167" s="207"/>
      <c r="HY167" s="207"/>
      <c r="HZ167" s="207"/>
      <c r="IA167" s="207"/>
      <c r="IB167" s="207"/>
      <c r="IC167" s="207"/>
      <c r="ID167" s="207"/>
      <c r="IE167" s="207"/>
      <c r="IF167" s="207"/>
      <c r="IG167" s="207"/>
      <c r="IH167" s="207"/>
      <c r="II167" s="207"/>
    </row>
    <row r="168" spans="1:243" s="220" customFormat="1" x14ac:dyDescent="0.25">
      <c r="A168" s="232"/>
      <c r="HN168" s="221"/>
      <c r="HO168" s="221"/>
      <c r="HP168" s="221"/>
      <c r="HQ168" s="221"/>
      <c r="HR168" s="207"/>
      <c r="HS168" s="207"/>
      <c r="HT168" s="207"/>
      <c r="HU168" s="207"/>
      <c r="HV168" s="207"/>
      <c r="HW168" s="207"/>
      <c r="HX168" s="207"/>
      <c r="HY168" s="207"/>
      <c r="HZ168" s="207"/>
      <c r="IA168" s="207"/>
      <c r="IB168" s="207"/>
      <c r="IC168" s="207"/>
      <c r="ID168" s="207"/>
      <c r="IE168" s="207"/>
      <c r="IF168" s="207"/>
      <c r="IG168" s="207"/>
      <c r="IH168" s="207"/>
      <c r="II168" s="207"/>
    </row>
    <row r="169" spans="1:243" s="220" customFormat="1" x14ac:dyDescent="0.25">
      <c r="A169" s="232"/>
      <c r="HN169" s="221"/>
      <c r="HO169" s="221"/>
      <c r="HP169" s="221"/>
      <c r="HQ169" s="221"/>
      <c r="HR169" s="207"/>
      <c r="HS169" s="207"/>
      <c r="HT169" s="207"/>
      <c r="HU169" s="207"/>
      <c r="HV169" s="207"/>
      <c r="HW169" s="207"/>
      <c r="HX169" s="207"/>
      <c r="HY169" s="207"/>
      <c r="HZ169" s="207"/>
      <c r="IA169" s="207"/>
      <c r="IB169" s="207"/>
      <c r="IC169" s="207"/>
      <c r="ID169" s="207"/>
      <c r="IE169" s="207"/>
      <c r="IF169" s="207"/>
      <c r="IG169" s="207"/>
      <c r="IH169" s="207"/>
      <c r="II169" s="207"/>
    </row>
    <row r="170" spans="1:243" s="220" customFormat="1" x14ac:dyDescent="0.25">
      <c r="A170" s="232"/>
      <c r="HN170" s="221"/>
      <c r="HO170" s="221"/>
      <c r="HP170" s="221"/>
      <c r="HQ170" s="221"/>
      <c r="HR170" s="207"/>
      <c r="HS170" s="207"/>
      <c r="HT170" s="207"/>
      <c r="HU170" s="207"/>
      <c r="HV170" s="207"/>
      <c r="HW170" s="207"/>
      <c r="HX170" s="207"/>
      <c r="HY170" s="207"/>
      <c r="HZ170" s="207"/>
      <c r="IA170" s="207"/>
      <c r="IB170" s="207"/>
      <c r="IC170" s="207"/>
      <c r="ID170" s="207"/>
      <c r="IE170" s="207"/>
      <c r="IF170" s="207"/>
      <c r="IG170" s="207"/>
      <c r="IH170" s="207"/>
      <c r="II170" s="207"/>
    </row>
  </sheetData>
  <printOptions horizontalCentered="1"/>
  <pageMargins left="0.78740157480314965" right="0.78740157480314965" top="1.5748031496062993" bottom="1.4173228346456694" header="0.78740157480314965" footer="0.78740157480314965"/>
  <pageSetup paperSize="9" scale="77" firstPageNumber="0" orientation="portrait" r:id="rId1"/>
  <headerFooter alignWithMargins="0">
    <oddHeader xml:space="preserve">&amp;L 2/D melléklet a ...../2020. (.......) önkormányzati rendelethez&amp;C&amp;"Arial,Félkövér"&amp;10
&amp;"-,Félkövér"&amp;16Tartalékok működési és felhalmozási cél szerinti bontásban&amp;R&amp;10 </oddHeader>
    <oddFooter>&amp;C&amp;8&amp;D &amp;T&amp;R&amp;9&amp;P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4"/>
  <sheetViews>
    <sheetView view="pageBreakPreview" zoomScaleNormal="100" zoomScaleSheetLayoutView="100" workbookViewId="0">
      <selection activeCell="H31" sqref="H31"/>
    </sheetView>
  </sheetViews>
  <sheetFormatPr defaultColWidth="9.140625" defaultRowHeight="15" x14ac:dyDescent="0.25"/>
  <cols>
    <col min="1" max="1" width="5.7109375" style="446" customWidth="1"/>
    <col min="2" max="2" width="61.7109375" style="425" customWidth="1"/>
    <col min="3" max="4" width="11.28515625" style="422" hidden="1" customWidth="1"/>
    <col min="5" max="5" width="15.140625" style="425" customWidth="1"/>
    <col min="6" max="6" width="15.85546875" style="425" customWidth="1"/>
    <col min="7" max="7" width="15.140625" style="425" customWidth="1"/>
    <col min="8" max="8" width="15.85546875" style="425" customWidth="1"/>
    <col min="9" max="16384" width="9.140625" style="425"/>
  </cols>
  <sheetData>
    <row r="1" spans="1:8" x14ac:dyDescent="0.25">
      <c r="C1" s="423"/>
      <c r="D1" s="423"/>
      <c r="F1" s="423"/>
      <c r="H1" s="423" t="s">
        <v>302</v>
      </c>
    </row>
    <row r="2" spans="1:8" s="449" customFormat="1" ht="60" x14ac:dyDescent="0.25">
      <c r="A2" s="447" t="s">
        <v>1236</v>
      </c>
      <c r="B2" s="447" t="s">
        <v>306</v>
      </c>
      <c r="C2" s="448" t="s">
        <v>1425</v>
      </c>
      <c r="D2" s="448" t="s">
        <v>1426</v>
      </c>
      <c r="E2" s="448" t="s">
        <v>1523</v>
      </c>
      <c r="F2" s="448" t="s">
        <v>1524</v>
      </c>
      <c r="G2" s="448" t="s">
        <v>1759</v>
      </c>
      <c r="H2" s="448" t="s">
        <v>1760</v>
      </c>
    </row>
    <row r="3" spans="1:8" x14ac:dyDescent="0.25">
      <c r="A3" s="450" t="s">
        <v>1238</v>
      </c>
      <c r="B3" s="451" t="s">
        <v>1237</v>
      </c>
      <c r="C3" s="452">
        <f>C12+C13</f>
        <v>90723.3</v>
      </c>
      <c r="D3" s="452">
        <f>D33+D34</f>
        <v>90723</v>
      </c>
      <c r="E3" s="452">
        <f>E12+E13</f>
        <v>113090.38596</v>
      </c>
      <c r="F3" s="452">
        <f>F33+F34</f>
        <v>113090</v>
      </c>
      <c r="G3" s="452">
        <f>G12+G13</f>
        <v>95570</v>
      </c>
      <c r="H3" s="452">
        <f>H33+H34</f>
        <v>95570</v>
      </c>
    </row>
    <row r="4" spans="1:8" ht="39.75" customHeight="1" x14ac:dyDescent="0.25">
      <c r="A4" s="250" t="s">
        <v>1173</v>
      </c>
      <c r="B4" s="251" t="s">
        <v>1174</v>
      </c>
      <c r="C4" s="252"/>
      <c r="D4" s="252"/>
      <c r="E4" s="252"/>
      <c r="F4" s="252"/>
      <c r="G4" s="252"/>
      <c r="H4" s="252"/>
    </row>
    <row r="5" spans="1:8" x14ac:dyDescent="0.25">
      <c r="A5" s="453" t="s">
        <v>309</v>
      </c>
      <c r="B5" s="454" t="s">
        <v>310</v>
      </c>
      <c r="C5" s="455">
        <f>C6</f>
        <v>62090.3</v>
      </c>
      <c r="D5" s="455"/>
      <c r="E5" s="455">
        <f>E6</f>
        <v>36637.38596</v>
      </c>
      <c r="F5" s="455"/>
      <c r="G5" s="455">
        <f>G6</f>
        <v>67117</v>
      </c>
      <c r="H5" s="455"/>
    </row>
    <row r="6" spans="1:8" x14ac:dyDescent="0.25">
      <c r="A6" s="456" t="s">
        <v>311</v>
      </c>
      <c r="B6" s="457" t="s">
        <v>314</v>
      </c>
      <c r="C6" s="458">
        <f>C7+C9</f>
        <v>62090.3</v>
      </c>
      <c r="D6" s="459"/>
      <c r="E6" s="458">
        <f>E7+E9+1</f>
        <v>36637.38596</v>
      </c>
      <c r="F6" s="459"/>
      <c r="G6" s="458">
        <f>G7+G9+G10</f>
        <v>67117</v>
      </c>
      <c r="H6" s="459"/>
    </row>
    <row r="7" spans="1:8" x14ac:dyDescent="0.25">
      <c r="A7" s="460"/>
      <c r="B7" s="461" t="s">
        <v>1175</v>
      </c>
      <c r="C7" s="462">
        <f>SUM(C8)</f>
        <v>48890</v>
      </c>
      <c r="D7" s="462"/>
      <c r="E7" s="462">
        <f>SUM(E8)</f>
        <v>28847.547999999999</v>
      </c>
      <c r="F7" s="462"/>
      <c r="G7" s="462">
        <v>28848</v>
      </c>
      <c r="H7" s="462"/>
    </row>
    <row r="8" spans="1:8" x14ac:dyDescent="0.25">
      <c r="A8" s="460"/>
      <c r="B8" s="463" t="s">
        <v>1176</v>
      </c>
      <c r="C8" s="462">
        <v>48890</v>
      </c>
      <c r="D8" s="462"/>
      <c r="E8" s="462">
        <f>7211887*0.004</f>
        <v>28847.547999999999</v>
      </c>
      <c r="F8" s="462"/>
      <c r="G8" s="462">
        <v>28848</v>
      </c>
      <c r="H8" s="462"/>
    </row>
    <row r="9" spans="1:8" x14ac:dyDescent="0.25">
      <c r="A9" s="460"/>
      <c r="B9" s="464" t="s">
        <v>1177</v>
      </c>
      <c r="C9" s="462">
        <f>+C8*0.27</f>
        <v>13200.300000000001</v>
      </c>
      <c r="D9" s="462"/>
      <c r="E9" s="462">
        <f>+E8*0.27</f>
        <v>7788.8379599999998</v>
      </c>
      <c r="F9" s="462"/>
      <c r="G9" s="462">
        <v>7789</v>
      </c>
      <c r="H9" s="462"/>
    </row>
    <row r="10" spans="1:8" x14ac:dyDescent="0.25">
      <c r="A10" s="460"/>
      <c r="B10" s="464" t="s">
        <v>1761</v>
      </c>
      <c r="C10" s="462"/>
      <c r="D10" s="462"/>
      <c r="E10" s="462"/>
      <c r="F10" s="462"/>
      <c r="G10" s="462">
        <v>30480</v>
      </c>
      <c r="H10" s="462"/>
    </row>
    <row r="11" spans="1:8" x14ac:dyDescent="0.25">
      <c r="A11" s="453" t="s">
        <v>318</v>
      </c>
      <c r="B11" s="454" t="s">
        <v>1178</v>
      </c>
      <c r="C11" s="455">
        <v>0</v>
      </c>
      <c r="D11" s="455"/>
      <c r="E11" s="455">
        <v>48000</v>
      </c>
      <c r="F11" s="455"/>
      <c r="G11" s="455">
        <v>0</v>
      </c>
      <c r="H11" s="455"/>
    </row>
    <row r="12" spans="1:8" x14ac:dyDescent="0.25">
      <c r="A12" s="465"/>
      <c r="B12" s="466" t="s">
        <v>327</v>
      </c>
      <c r="C12" s="467">
        <f>C5+C11</f>
        <v>62090.3</v>
      </c>
      <c r="D12" s="467"/>
      <c r="E12" s="467">
        <f>E5+E11</f>
        <v>84637.38596</v>
      </c>
      <c r="F12" s="467"/>
      <c r="G12" s="467">
        <f>G5+G11</f>
        <v>67117</v>
      </c>
      <c r="H12" s="467"/>
    </row>
    <row r="13" spans="1:8" x14ac:dyDescent="0.25">
      <c r="A13" s="453" t="s">
        <v>328</v>
      </c>
      <c r="B13" s="454" t="s">
        <v>329</v>
      </c>
      <c r="C13" s="455">
        <f>C14</f>
        <v>28633</v>
      </c>
      <c r="D13" s="455"/>
      <c r="E13" s="455">
        <f>E14</f>
        <v>28453</v>
      </c>
      <c r="F13" s="455"/>
      <c r="G13" s="455">
        <f>G14</f>
        <v>28453</v>
      </c>
      <c r="H13" s="455"/>
    </row>
    <row r="14" spans="1:8" x14ac:dyDescent="0.25">
      <c r="A14" s="456" t="s">
        <v>311</v>
      </c>
      <c r="B14" s="457" t="s">
        <v>1179</v>
      </c>
      <c r="C14" s="459">
        <f>C15</f>
        <v>28633</v>
      </c>
      <c r="D14" s="459"/>
      <c r="E14" s="459">
        <f>E15</f>
        <v>28453</v>
      </c>
      <c r="F14" s="459"/>
      <c r="G14" s="459">
        <f>G15</f>
        <v>28453</v>
      </c>
      <c r="H14" s="459"/>
    </row>
    <row r="15" spans="1:8" x14ac:dyDescent="0.25">
      <c r="A15" s="460"/>
      <c r="B15" s="461" t="s">
        <v>331</v>
      </c>
      <c r="C15" s="462">
        <v>28633</v>
      </c>
      <c r="D15" s="462"/>
      <c r="E15" s="462">
        <v>28453</v>
      </c>
      <c r="F15" s="462"/>
      <c r="G15" s="462">
        <v>28453</v>
      </c>
      <c r="H15" s="462"/>
    </row>
    <row r="16" spans="1:8" ht="42" customHeight="1" x14ac:dyDescent="0.25">
      <c r="A16" s="250" t="s">
        <v>1180</v>
      </c>
      <c r="B16" s="251" t="s">
        <v>1181</v>
      </c>
      <c r="C16" s="252"/>
      <c r="D16" s="252"/>
      <c r="E16" s="252"/>
      <c r="F16" s="252"/>
      <c r="G16" s="252"/>
      <c r="H16" s="252"/>
    </row>
    <row r="17" spans="1:8" x14ac:dyDescent="0.25">
      <c r="A17" s="453" t="s">
        <v>1136</v>
      </c>
      <c r="B17" s="454" t="s">
        <v>334</v>
      </c>
      <c r="C17" s="455"/>
      <c r="D17" s="455">
        <f>D18</f>
        <v>0</v>
      </c>
      <c r="E17" s="455"/>
      <c r="F17" s="455">
        <f>F18</f>
        <v>0</v>
      </c>
      <c r="G17" s="455"/>
      <c r="H17" s="455">
        <f>H18</f>
        <v>0</v>
      </c>
    </row>
    <row r="18" spans="1:8" hidden="1" x14ac:dyDescent="0.25">
      <c r="A18" s="456" t="s">
        <v>311</v>
      </c>
      <c r="B18" s="457" t="s">
        <v>924</v>
      </c>
      <c r="C18" s="459"/>
      <c r="D18" s="459">
        <f>D19</f>
        <v>0</v>
      </c>
      <c r="E18" s="459"/>
      <c r="F18" s="459">
        <f>F19</f>
        <v>0</v>
      </c>
      <c r="G18" s="459"/>
      <c r="H18" s="459">
        <f>H19</f>
        <v>0</v>
      </c>
    </row>
    <row r="19" spans="1:8" hidden="1" x14ac:dyDescent="0.25">
      <c r="A19" s="460"/>
      <c r="B19" s="461" t="s">
        <v>1182</v>
      </c>
      <c r="C19" s="462"/>
      <c r="D19" s="462">
        <v>0</v>
      </c>
      <c r="E19" s="462"/>
      <c r="F19" s="462">
        <v>0</v>
      </c>
      <c r="G19" s="462"/>
      <c r="H19" s="462">
        <v>0</v>
      </c>
    </row>
    <row r="20" spans="1:8" x14ac:dyDescent="0.25">
      <c r="A20" s="453" t="s">
        <v>1183</v>
      </c>
      <c r="B20" s="454" t="s">
        <v>340</v>
      </c>
      <c r="C20" s="455"/>
      <c r="D20" s="455">
        <f>D21+D28+D31</f>
        <v>90723</v>
      </c>
      <c r="E20" s="455"/>
      <c r="F20" s="455">
        <f>F21+F28+F31</f>
        <v>113090</v>
      </c>
      <c r="G20" s="455"/>
      <c r="H20" s="455">
        <f>H21+H28+H31</f>
        <v>95570</v>
      </c>
    </row>
    <row r="21" spans="1:8" x14ac:dyDescent="0.25">
      <c r="A21" s="456" t="s">
        <v>311</v>
      </c>
      <c r="B21" s="457" t="s">
        <v>351</v>
      </c>
      <c r="C21" s="459"/>
      <c r="D21" s="459">
        <f>D22+D23+D24+D25+D26+D27</f>
        <v>16800</v>
      </c>
      <c r="E21" s="459"/>
      <c r="F21" s="459">
        <f>F22+F23+F24+F25+F26+F27</f>
        <v>0</v>
      </c>
      <c r="G21" s="459"/>
      <c r="H21" s="459">
        <f>H22+H23+H24+H25+H26+H27</f>
        <v>0</v>
      </c>
    </row>
    <row r="22" spans="1:8" x14ac:dyDescent="0.25">
      <c r="A22" s="460"/>
      <c r="B22" s="461" t="s">
        <v>1360</v>
      </c>
      <c r="C22" s="462"/>
      <c r="D22" s="462">
        <v>16800</v>
      </c>
      <c r="E22" s="462"/>
      <c r="F22" s="462"/>
      <c r="G22" s="462"/>
      <c r="H22" s="462"/>
    </row>
    <row r="23" spans="1:8" hidden="1" x14ac:dyDescent="0.25">
      <c r="A23" s="460"/>
      <c r="B23" s="461"/>
      <c r="C23" s="462"/>
      <c r="D23" s="462">
        <v>0</v>
      </c>
      <c r="E23" s="462"/>
      <c r="F23" s="462">
        <v>0</v>
      </c>
      <c r="G23" s="462"/>
      <c r="H23" s="462">
        <v>0</v>
      </c>
    </row>
    <row r="24" spans="1:8" hidden="1" x14ac:dyDescent="0.25">
      <c r="A24" s="460"/>
      <c r="B24" s="461"/>
      <c r="C24" s="462"/>
      <c r="D24" s="462"/>
      <c r="E24" s="462"/>
      <c r="F24" s="462"/>
      <c r="G24" s="462"/>
      <c r="H24" s="462"/>
    </row>
    <row r="25" spans="1:8" hidden="1" x14ac:dyDescent="0.25">
      <c r="A25" s="460"/>
      <c r="B25" s="461"/>
      <c r="C25" s="462"/>
      <c r="D25" s="462"/>
      <c r="E25" s="462"/>
      <c r="F25" s="462"/>
      <c r="G25" s="462"/>
      <c r="H25" s="462"/>
    </row>
    <row r="26" spans="1:8" hidden="1" x14ac:dyDescent="0.25">
      <c r="A26" s="460"/>
      <c r="B26" s="461"/>
      <c r="C26" s="462"/>
      <c r="D26" s="462"/>
      <c r="E26" s="462"/>
      <c r="F26" s="462"/>
      <c r="G26" s="462"/>
      <c r="H26" s="462"/>
    </row>
    <row r="27" spans="1:8" hidden="1" x14ac:dyDescent="0.25">
      <c r="A27" s="460"/>
      <c r="B27" s="461"/>
      <c r="C27" s="462"/>
      <c r="D27" s="462"/>
      <c r="E27" s="462"/>
      <c r="F27" s="462"/>
      <c r="G27" s="462"/>
      <c r="H27" s="462"/>
    </row>
    <row r="28" spans="1:8" x14ac:dyDescent="0.25">
      <c r="A28" s="456" t="s">
        <v>322</v>
      </c>
      <c r="B28" s="457" t="s">
        <v>342</v>
      </c>
      <c r="C28" s="459"/>
      <c r="D28" s="459">
        <f>SUM(D29:D30)</f>
        <v>48890</v>
      </c>
      <c r="E28" s="459"/>
      <c r="F28" s="459">
        <f>SUM(F29:F30)</f>
        <v>88980</v>
      </c>
      <c r="G28" s="459"/>
      <c r="H28" s="459">
        <f>SUM(H29:H30)</f>
        <v>81708</v>
      </c>
    </row>
    <row r="29" spans="1:8" x14ac:dyDescent="0.25">
      <c r="A29" s="460"/>
      <c r="B29" s="461" t="s">
        <v>1361</v>
      </c>
      <c r="C29" s="462"/>
      <c r="D29" s="462">
        <v>4889</v>
      </c>
      <c r="E29" s="462"/>
      <c r="F29" s="462">
        <v>0</v>
      </c>
      <c r="G29" s="462"/>
      <c r="H29" s="462">
        <v>0</v>
      </c>
    </row>
    <row r="30" spans="1:8" x14ac:dyDescent="0.25">
      <c r="A30" s="460"/>
      <c r="B30" s="461" t="s">
        <v>1000</v>
      </c>
      <c r="C30" s="462"/>
      <c r="D30" s="462">
        <v>44001</v>
      </c>
      <c r="E30" s="462"/>
      <c r="F30" s="462">
        <v>88980</v>
      </c>
      <c r="G30" s="462"/>
      <c r="H30" s="462">
        <f>81680+28</f>
        <v>81708</v>
      </c>
    </row>
    <row r="31" spans="1:8" x14ac:dyDescent="0.25">
      <c r="A31" s="456" t="s">
        <v>315</v>
      </c>
      <c r="B31" s="457" t="s">
        <v>1354</v>
      </c>
      <c r="C31" s="459"/>
      <c r="D31" s="459">
        <f>D32</f>
        <v>25033</v>
      </c>
      <c r="E31" s="459"/>
      <c r="F31" s="459">
        <f>F32</f>
        <v>24110</v>
      </c>
      <c r="G31" s="459"/>
      <c r="H31" s="459">
        <f>H32</f>
        <v>13862</v>
      </c>
    </row>
    <row r="32" spans="1:8" x14ac:dyDescent="0.25">
      <c r="A32" s="460"/>
      <c r="B32" s="461" t="s">
        <v>1355</v>
      </c>
      <c r="C32" s="462"/>
      <c r="D32" s="462">
        <v>25033</v>
      </c>
      <c r="E32" s="462"/>
      <c r="F32" s="462">
        <v>24110</v>
      </c>
      <c r="G32" s="462"/>
      <c r="H32" s="462">
        <v>13862</v>
      </c>
    </row>
    <row r="33" spans="1:8" x14ac:dyDescent="0.25">
      <c r="A33" s="465"/>
      <c r="B33" s="466" t="s">
        <v>593</v>
      </c>
      <c r="C33" s="467"/>
      <c r="D33" s="467">
        <f>D17+D20</f>
        <v>90723</v>
      </c>
      <c r="E33" s="467"/>
      <c r="F33" s="467">
        <f>F17+F20</f>
        <v>113090</v>
      </c>
      <c r="G33" s="467"/>
      <c r="H33" s="467">
        <f>H17+H20</f>
        <v>95570</v>
      </c>
    </row>
    <row r="34" spans="1:8" x14ac:dyDescent="0.25">
      <c r="A34" s="453" t="s">
        <v>1184</v>
      </c>
      <c r="B34" s="454" t="s">
        <v>596</v>
      </c>
      <c r="C34" s="455"/>
      <c r="D34" s="455">
        <v>0</v>
      </c>
      <c r="E34" s="455"/>
      <c r="F34" s="455">
        <v>0</v>
      </c>
      <c r="G34" s="455"/>
      <c r="H34" s="455">
        <v>0</v>
      </c>
    </row>
  </sheetData>
  <pageMargins left="0.70866141732283472" right="0.70866141732283472" top="1.2204724409448819" bottom="0.74803149606299213" header="0.70866141732283472" footer="0.31496062992125984"/>
  <pageSetup paperSize="9" scale="67" orientation="portrait" r:id="rId1"/>
  <headerFooter>
    <oddHeader>&amp;L2/E. melléklet a ...../2019. (.......) önkormányzati rendelethez&amp;C&amp;"-,Félkövér"&amp;14
A Vízügyi Építési Alap 2019. évi költségvetése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5"/>
  <sheetViews>
    <sheetView view="pageBreakPreview" zoomScale="75" zoomScaleNormal="100" zoomScaleSheetLayoutView="75" workbookViewId="0">
      <selection activeCell="I6" sqref="I6"/>
    </sheetView>
  </sheetViews>
  <sheetFormatPr defaultRowHeight="15" x14ac:dyDescent="0.25"/>
  <cols>
    <col min="1" max="1" width="5.7109375" style="267" customWidth="1"/>
    <col min="2" max="2" width="61.7109375" customWidth="1"/>
    <col min="3" max="4" width="13.28515625" style="40" hidden="1" customWidth="1"/>
    <col min="5" max="5" width="13.28515625" hidden="1" customWidth="1"/>
    <col min="6" max="6" width="12.7109375" hidden="1" customWidth="1"/>
    <col min="7" max="7" width="15.28515625" customWidth="1"/>
    <col min="8" max="8" width="15.7109375" customWidth="1"/>
    <col min="9" max="9" width="11.28515625" customWidth="1"/>
    <col min="10" max="10" width="12.140625" customWidth="1"/>
  </cols>
  <sheetData>
    <row r="1" spans="1:10" x14ac:dyDescent="0.25">
      <c r="C1" s="32"/>
      <c r="D1" s="32"/>
      <c r="F1" s="32"/>
      <c r="J1" s="32" t="s">
        <v>302</v>
      </c>
    </row>
    <row r="2" spans="1:10" s="247" customFormat="1" ht="60" x14ac:dyDescent="0.25">
      <c r="A2" s="246" t="s">
        <v>1236</v>
      </c>
      <c r="B2" s="246" t="s">
        <v>306</v>
      </c>
      <c r="C2" s="303" t="s">
        <v>1424</v>
      </c>
      <c r="D2" s="303" t="s">
        <v>1427</v>
      </c>
      <c r="E2" s="303" t="s">
        <v>1519</v>
      </c>
      <c r="F2" s="303" t="s">
        <v>1520</v>
      </c>
      <c r="G2" s="303" t="s">
        <v>1521</v>
      </c>
      <c r="H2" s="303" t="s">
        <v>1522</v>
      </c>
      <c r="I2" s="303" t="s">
        <v>1757</v>
      </c>
      <c r="J2" s="303" t="s">
        <v>1758</v>
      </c>
    </row>
    <row r="3" spans="1:10" x14ac:dyDescent="0.25">
      <c r="A3" s="302" t="s">
        <v>1261</v>
      </c>
      <c r="B3" s="248" t="s">
        <v>1262</v>
      </c>
      <c r="C3" s="249">
        <f>C18+C19</f>
        <v>18534</v>
      </c>
      <c r="D3" s="249">
        <f>D34+D35</f>
        <v>18534</v>
      </c>
      <c r="E3" s="249">
        <f>E18+E19</f>
        <v>18534</v>
      </c>
      <c r="F3" s="249">
        <f>F34+F35</f>
        <v>18534</v>
      </c>
      <c r="G3" s="249">
        <f>G18+G19</f>
        <v>6841</v>
      </c>
      <c r="H3" s="249">
        <f>H34+H35</f>
        <v>6841</v>
      </c>
      <c r="I3" s="249">
        <f>I18+I19</f>
        <v>6493</v>
      </c>
      <c r="J3" s="249">
        <f>J34+J35</f>
        <v>6493</v>
      </c>
    </row>
    <row r="4" spans="1:10" ht="39.75" customHeight="1" x14ac:dyDescent="0.25">
      <c r="A4" s="250" t="s">
        <v>1173</v>
      </c>
      <c r="B4" s="251" t="s">
        <v>1174</v>
      </c>
      <c r="C4" s="252"/>
      <c r="D4" s="252"/>
      <c r="E4" s="252"/>
      <c r="F4" s="252"/>
      <c r="G4" s="252"/>
      <c r="H4" s="252"/>
      <c r="I4" s="252"/>
      <c r="J4" s="252"/>
    </row>
    <row r="5" spans="1:10" x14ac:dyDescent="0.25">
      <c r="A5" s="253" t="s">
        <v>309</v>
      </c>
      <c r="B5" s="254" t="s">
        <v>310</v>
      </c>
      <c r="C5" s="255">
        <f>C6+C10+C13</f>
        <v>1500</v>
      </c>
      <c r="D5" s="255"/>
      <c r="E5" s="255">
        <f>E6+E10+E13</f>
        <v>1500</v>
      </c>
      <c r="F5" s="255"/>
      <c r="G5" s="255">
        <f>G6+G10+G13</f>
        <v>1500</v>
      </c>
      <c r="H5" s="255"/>
      <c r="I5" s="255">
        <f>I6+I10+I13</f>
        <v>1152</v>
      </c>
      <c r="J5" s="255"/>
    </row>
    <row r="6" spans="1:10" x14ac:dyDescent="0.25">
      <c r="A6" s="256" t="s">
        <v>311</v>
      </c>
      <c r="B6" s="257" t="s">
        <v>488</v>
      </c>
      <c r="C6" s="258">
        <f>SUM(C7:C9)</f>
        <v>1500</v>
      </c>
      <c r="D6" s="258"/>
      <c r="E6" s="258">
        <f>SUM(E7:E9)</f>
        <v>1500</v>
      </c>
      <c r="F6" s="258"/>
      <c r="G6" s="258">
        <f>SUM(G7:G9)</f>
        <v>1500</v>
      </c>
      <c r="H6" s="258"/>
      <c r="I6" s="258">
        <f>SUM(I7:I9)</f>
        <v>1152</v>
      </c>
      <c r="J6" s="258"/>
    </row>
    <row r="7" spans="1:10" x14ac:dyDescent="0.25">
      <c r="A7" s="259"/>
      <c r="B7" s="266" t="s">
        <v>501</v>
      </c>
      <c r="C7" s="101">
        <v>0</v>
      </c>
      <c r="D7" s="101"/>
      <c r="E7" s="101">
        <v>0</v>
      </c>
      <c r="F7" s="101"/>
      <c r="G7" s="101">
        <v>0</v>
      </c>
      <c r="H7" s="101"/>
      <c r="I7" s="101">
        <v>427</v>
      </c>
      <c r="J7" s="101"/>
    </row>
    <row r="8" spans="1:10" x14ac:dyDescent="0.25">
      <c r="A8" s="259"/>
      <c r="B8" s="266" t="s">
        <v>1263</v>
      </c>
      <c r="C8" s="101">
        <v>0</v>
      </c>
      <c r="D8" s="101"/>
      <c r="E8" s="101">
        <v>0</v>
      </c>
      <c r="F8" s="101"/>
      <c r="G8" s="101">
        <v>0</v>
      </c>
      <c r="H8" s="101"/>
      <c r="I8" s="101">
        <v>285</v>
      </c>
      <c r="J8" s="101"/>
    </row>
    <row r="9" spans="1:10" x14ac:dyDescent="0.25">
      <c r="A9" s="259"/>
      <c r="B9" s="266" t="s">
        <v>496</v>
      </c>
      <c r="C9" s="101">
        <v>1500</v>
      </c>
      <c r="D9" s="101"/>
      <c r="E9" s="101">
        <v>1500</v>
      </c>
      <c r="F9" s="101"/>
      <c r="G9" s="101">
        <v>1500</v>
      </c>
      <c r="H9" s="101"/>
      <c r="I9" s="101">
        <v>440</v>
      </c>
      <c r="J9" s="101"/>
    </row>
    <row r="10" spans="1:10" x14ac:dyDescent="0.25">
      <c r="A10" s="256" t="s">
        <v>322</v>
      </c>
      <c r="B10" s="257" t="s">
        <v>314</v>
      </c>
      <c r="C10" s="258">
        <f>C11</f>
        <v>0</v>
      </c>
      <c r="D10" s="258"/>
      <c r="E10" s="258">
        <f>E11</f>
        <v>0</v>
      </c>
      <c r="F10" s="258"/>
      <c r="G10" s="258">
        <f>G11</f>
        <v>0</v>
      </c>
      <c r="H10" s="258"/>
      <c r="I10" s="258">
        <f>I11</f>
        <v>0</v>
      </c>
      <c r="J10" s="258"/>
    </row>
    <row r="11" spans="1:10" x14ac:dyDescent="0.25">
      <c r="A11" s="261"/>
      <c r="B11" s="262" t="s">
        <v>1265</v>
      </c>
      <c r="C11" s="99">
        <v>0</v>
      </c>
      <c r="D11" s="99"/>
      <c r="E11" s="99">
        <v>0</v>
      </c>
      <c r="F11" s="99"/>
      <c r="G11" s="99">
        <v>0</v>
      </c>
      <c r="H11" s="99"/>
      <c r="I11" s="99">
        <v>0</v>
      </c>
      <c r="J11" s="99"/>
    </row>
    <row r="12" spans="1:10" x14ac:dyDescent="0.25">
      <c r="A12" s="261"/>
      <c r="B12" s="262" t="s">
        <v>1266</v>
      </c>
      <c r="C12" s="99">
        <v>0</v>
      </c>
      <c r="D12" s="99"/>
      <c r="E12" s="99">
        <v>0</v>
      </c>
      <c r="F12" s="99"/>
      <c r="G12" s="99">
        <v>0</v>
      </c>
      <c r="H12" s="99"/>
      <c r="I12" s="99"/>
      <c r="J12" s="99"/>
    </row>
    <row r="13" spans="1:10" x14ac:dyDescent="0.25">
      <c r="A13" s="256" t="s">
        <v>315</v>
      </c>
      <c r="B13" s="257" t="s">
        <v>316</v>
      </c>
      <c r="C13" s="258">
        <f>SUM(C14:C16)</f>
        <v>0</v>
      </c>
      <c r="D13" s="258"/>
      <c r="E13" s="258">
        <f>SUM(E14:E16)</f>
        <v>0</v>
      </c>
      <c r="F13" s="258"/>
      <c r="G13" s="258">
        <f>SUM(G14:G16)</f>
        <v>0</v>
      </c>
      <c r="H13" s="258"/>
      <c r="I13" s="258">
        <f>SUM(I14:I16)</f>
        <v>0</v>
      </c>
      <c r="J13" s="258"/>
    </row>
    <row r="14" spans="1:10" hidden="1" x14ac:dyDescent="0.25">
      <c r="A14" s="261"/>
      <c r="B14" s="262" t="s">
        <v>1264</v>
      </c>
      <c r="C14" s="99">
        <v>0</v>
      </c>
      <c r="D14" s="99"/>
      <c r="E14" s="99">
        <v>0</v>
      </c>
      <c r="F14" s="99"/>
      <c r="G14" s="99">
        <v>0</v>
      </c>
      <c r="H14" s="99"/>
      <c r="I14" s="99">
        <v>0</v>
      </c>
      <c r="J14" s="99"/>
    </row>
    <row r="15" spans="1:10" hidden="1" x14ac:dyDescent="0.25">
      <c r="A15" s="261"/>
      <c r="B15" s="262" t="s">
        <v>1267</v>
      </c>
      <c r="C15" s="99">
        <v>0</v>
      </c>
      <c r="D15" s="99"/>
      <c r="E15" s="99">
        <v>0</v>
      </c>
      <c r="F15" s="99"/>
      <c r="G15" s="99">
        <v>0</v>
      </c>
      <c r="H15" s="99"/>
      <c r="I15" s="99">
        <v>0</v>
      </c>
      <c r="J15" s="99"/>
    </row>
    <row r="16" spans="1:10" s="94" customFormat="1" ht="31.9" hidden="1" customHeight="1" x14ac:dyDescent="0.25">
      <c r="A16" s="326"/>
      <c r="B16" s="327" t="s">
        <v>1268</v>
      </c>
      <c r="C16" s="100">
        <v>0</v>
      </c>
      <c r="D16" s="100"/>
      <c r="E16" s="100">
        <v>0</v>
      </c>
      <c r="F16" s="100"/>
      <c r="G16" s="100">
        <v>0</v>
      </c>
      <c r="H16" s="100"/>
      <c r="I16" s="100">
        <v>0</v>
      </c>
      <c r="J16" s="100"/>
    </row>
    <row r="17" spans="1:10" x14ac:dyDescent="0.25">
      <c r="A17" s="253" t="s">
        <v>318</v>
      </c>
      <c r="B17" s="254" t="s">
        <v>1178</v>
      </c>
      <c r="C17" s="255">
        <v>0</v>
      </c>
      <c r="D17" s="255"/>
      <c r="E17" s="255">
        <v>0</v>
      </c>
      <c r="F17" s="255"/>
      <c r="G17" s="255">
        <v>0</v>
      </c>
      <c r="H17" s="255"/>
      <c r="I17" s="255">
        <v>0</v>
      </c>
      <c r="J17" s="255"/>
    </row>
    <row r="18" spans="1:10" x14ac:dyDescent="0.25">
      <c r="A18" s="263"/>
      <c r="B18" s="264" t="s">
        <v>327</v>
      </c>
      <c r="C18" s="265">
        <f>C5+C17</f>
        <v>1500</v>
      </c>
      <c r="D18" s="265"/>
      <c r="E18" s="265">
        <f>E5+E17</f>
        <v>1500</v>
      </c>
      <c r="F18" s="265"/>
      <c r="G18" s="265">
        <f>G5+G17</f>
        <v>1500</v>
      </c>
      <c r="H18" s="265"/>
      <c r="I18" s="265">
        <f>I5+I17</f>
        <v>1152</v>
      </c>
      <c r="J18" s="265"/>
    </row>
    <row r="19" spans="1:10" x14ac:dyDescent="0.25">
      <c r="A19" s="253" t="s">
        <v>328</v>
      </c>
      <c r="B19" s="254" t="s">
        <v>329</v>
      </c>
      <c r="C19" s="255">
        <f>C20</f>
        <v>17034</v>
      </c>
      <c r="D19" s="255"/>
      <c r="E19" s="255">
        <f>E20</f>
        <v>17034</v>
      </c>
      <c r="F19" s="255"/>
      <c r="G19" s="255">
        <f>G20</f>
        <v>5341</v>
      </c>
      <c r="H19" s="255"/>
      <c r="I19" s="255">
        <f>I20</f>
        <v>5341</v>
      </c>
      <c r="J19" s="255"/>
    </row>
    <row r="20" spans="1:10" x14ac:dyDescent="0.25">
      <c r="A20" s="256" t="s">
        <v>311</v>
      </c>
      <c r="B20" s="257" t="s">
        <v>1179</v>
      </c>
      <c r="C20" s="258">
        <f>C21</f>
        <v>17034</v>
      </c>
      <c r="D20" s="258"/>
      <c r="E20" s="258">
        <f>E21</f>
        <v>17034</v>
      </c>
      <c r="F20" s="258"/>
      <c r="G20" s="258">
        <f>G21</f>
        <v>5341</v>
      </c>
      <c r="H20" s="258"/>
      <c r="I20" s="258">
        <f>I21</f>
        <v>5341</v>
      </c>
      <c r="J20" s="258"/>
    </row>
    <row r="21" spans="1:10" x14ac:dyDescent="0.25">
      <c r="A21" s="259"/>
      <c r="B21" s="260" t="s">
        <v>331</v>
      </c>
      <c r="C21" s="101">
        <v>17034</v>
      </c>
      <c r="D21" s="101"/>
      <c r="E21" s="101">
        <v>17034</v>
      </c>
      <c r="F21" s="101"/>
      <c r="G21" s="101">
        <v>5341</v>
      </c>
      <c r="H21" s="101"/>
      <c r="I21" s="101">
        <v>5341</v>
      </c>
      <c r="J21" s="101"/>
    </row>
    <row r="22" spans="1:10" ht="42" customHeight="1" x14ac:dyDescent="0.25">
      <c r="A22" s="250" t="s">
        <v>1180</v>
      </c>
      <c r="B22" s="251" t="s">
        <v>1181</v>
      </c>
      <c r="C22" s="252"/>
      <c r="D22" s="252"/>
      <c r="E22" s="252"/>
      <c r="F22" s="252"/>
      <c r="G22" s="252"/>
      <c r="H22" s="252"/>
      <c r="I22" s="252"/>
      <c r="J22" s="252"/>
    </row>
    <row r="23" spans="1:10" x14ac:dyDescent="0.25">
      <c r="A23" s="253" t="s">
        <v>1136</v>
      </c>
      <c r="B23" s="254" t="s">
        <v>334</v>
      </c>
      <c r="C23" s="255"/>
      <c r="D23" s="255">
        <f>D26+D28</f>
        <v>18534</v>
      </c>
      <c r="E23" s="255"/>
      <c r="F23" s="255">
        <f>F26+F28</f>
        <v>18534</v>
      </c>
      <c r="G23" s="255"/>
      <c r="H23" s="255">
        <f>H26+H28</f>
        <v>6841</v>
      </c>
      <c r="I23" s="255"/>
      <c r="J23" s="255">
        <f>J26+J28</f>
        <v>6493</v>
      </c>
    </row>
    <row r="24" spans="1:10" hidden="1" x14ac:dyDescent="0.25">
      <c r="A24" s="256" t="s">
        <v>311</v>
      </c>
      <c r="B24" s="257" t="s">
        <v>924</v>
      </c>
      <c r="C24" s="258"/>
      <c r="D24" s="258">
        <f>D25</f>
        <v>0</v>
      </c>
      <c r="E24" s="258"/>
      <c r="F24" s="258">
        <f>F25</f>
        <v>0</v>
      </c>
      <c r="G24" s="258"/>
      <c r="H24" s="258">
        <f>H25</f>
        <v>0</v>
      </c>
      <c r="I24" s="258"/>
      <c r="J24" s="258">
        <f>J25</f>
        <v>0</v>
      </c>
    </row>
    <row r="25" spans="1:10" hidden="1" x14ac:dyDescent="0.25">
      <c r="A25" s="259"/>
      <c r="B25" s="266" t="s">
        <v>1182</v>
      </c>
      <c r="C25" s="101"/>
      <c r="D25" s="101">
        <v>0</v>
      </c>
      <c r="E25" s="101"/>
      <c r="F25" s="101">
        <v>0</v>
      </c>
      <c r="G25" s="101"/>
      <c r="H25" s="101">
        <v>0</v>
      </c>
      <c r="I25" s="101"/>
      <c r="J25" s="101">
        <v>0</v>
      </c>
    </row>
    <row r="26" spans="1:10" x14ac:dyDescent="0.25">
      <c r="A26" s="256" t="s">
        <v>311</v>
      </c>
      <c r="B26" s="257" t="s">
        <v>292</v>
      </c>
      <c r="C26" s="258"/>
      <c r="D26" s="258">
        <f>SUM(D27:D27)</f>
        <v>0</v>
      </c>
      <c r="E26" s="258"/>
      <c r="F26" s="258">
        <v>18534</v>
      </c>
      <c r="G26" s="258"/>
      <c r="H26" s="258">
        <f>SUM(H27:H27)</f>
        <v>0</v>
      </c>
      <c r="I26" s="258"/>
      <c r="J26" s="258">
        <v>2032</v>
      </c>
    </row>
    <row r="27" spans="1:10" x14ac:dyDescent="0.25">
      <c r="A27" s="259"/>
      <c r="B27" s="266"/>
      <c r="C27" s="101"/>
      <c r="D27" s="101"/>
      <c r="E27" s="101"/>
      <c r="F27" s="101">
        <v>0</v>
      </c>
      <c r="G27" s="101"/>
      <c r="H27" s="101"/>
      <c r="I27" s="101"/>
      <c r="J27" s="101"/>
    </row>
    <row r="28" spans="1:10" x14ac:dyDescent="0.25">
      <c r="A28" s="256" t="s">
        <v>322</v>
      </c>
      <c r="B28" s="257" t="s">
        <v>339</v>
      </c>
      <c r="C28" s="258"/>
      <c r="D28" s="258">
        <f>D29</f>
        <v>18534</v>
      </c>
      <c r="E28" s="258"/>
      <c r="F28" s="258">
        <f>F29</f>
        <v>0</v>
      </c>
      <c r="G28" s="258"/>
      <c r="H28" s="258">
        <f>H29</f>
        <v>6841</v>
      </c>
      <c r="I28" s="258"/>
      <c r="J28" s="258">
        <f>J29</f>
        <v>4461</v>
      </c>
    </row>
    <row r="29" spans="1:10" x14ac:dyDescent="0.25">
      <c r="A29" s="259"/>
      <c r="B29" s="266" t="s">
        <v>1269</v>
      </c>
      <c r="C29" s="101"/>
      <c r="D29" s="101">
        <v>18534</v>
      </c>
      <c r="E29" s="101"/>
      <c r="F29" s="101">
        <v>0</v>
      </c>
      <c r="G29" s="101"/>
      <c r="H29" s="101">
        <v>6841</v>
      </c>
      <c r="I29" s="101"/>
      <c r="J29" s="101">
        <v>4461</v>
      </c>
    </row>
    <row r="30" spans="1:10" x14ac:dyDescent="0.25">
      <c r="A30" s="253" t="s">
        <v>1183</v>
      </c>
      <c r="B30" s="254" t="s">
        <v>340</v>
      </c>
      <c r="C30" s="255"/>
      <c r="D30" s="255">
        <f>D31+D33</f>
        <v>0</v>
      </c>
      <c r="E30" s="255"/>
      <c r="F30" s="255">
        <f>F31+F33</f>
        <v>0</v>
      </c>
      <c r="G30" s="255"/>
      <c r="H30" s="255">
        <f>H31+H33</f>
        <v>0</v>
      </c>
      <c r="I30" s="255"/>
      <c r="J30" s="255">
        <f>J31+J33</f>
        <v>0</v>
      </c>
    </row>
    <row r="31" spans="1:10" x14ac:dyDescent="0.25">
      <c r="A31" s="256" t="s">
        <v>311</v>
      </c>
      <c r="B31" s="257" t="s">
        <v>351</v>
      </c>
      <c r="C31" s="258"/>
      <c r="D31" s="258">
        <f>D32</f>
        <v>0</v>
      </c>
      <c r="E31" s="258"/>
      <c r="F31" s="258">
        <f>F32</f>
        <v>0</v>
      </c>
      <c r="G31" s="258"/>
      <c r="H31" s="258">
        <f>H32</f>
        <v>0</v>
      </c>
      <c r="I31" s="258"/>
      <c r="J31" s="258">
        <f>J32</f>
        <v>0</v>
      </c>
    </row>
    <row r="32" spans="1:10" ht="30" hidden="1" x14ac:dyDescent="0.25">
      <c r="A32" s="328"/>
      <c r="B32" s="329" t="s">
        <v>1270</v>
      </c>
      <c r="C32" s="330"/>
      <c r="D32" s="330"/>
      <c r="E32" s="330"/>
      <c r="F32" s="330"/>
      <c r="G32" s="330"/>
      <c r="H32" s="330"/>
      <c r="I32" s="330"/>
      <c r="J32" s="330"/>
    </row>
    <row r="33" spans="1:10" x14ac:dyDescent="0.25">
      <c r="A33" s="256" t="s">
        <v>322</v>
      </c>
      <c r="B33" s="257" t="s">
        <v>342</v>
      </c>
      <c r="C33" s="258"/>
      <c r="D33" s="258">
        <v>0</v>
      </c>
      <c r="E33" s="258"/>
      <c r="F33" s="258">
        <v>0</v>
      </c>
      <c r="G33" s="258"/>
      <c r="H33" s="258">
        <v>0</v>
      </c>
      <c r="I33" s="258"/>
      <c r="J33" s="258">
        <v>0</v>
      </c>
    </row>
    <row r="34" spans="1:10" x14ac:dyDescent="0.25">
      <c r="A34" s="263"/>
      <c r="B34" s="264" t="s">
        <v>593</v>
      </c>
      <c r="C34" s="265"/>
      <c r="D34" s="265">
        <f>D23+D30</f>
        <v>18534</v>
      </c>
      <c r="E34" s="265"/>
      <c r="F34" s="265">
        <f>F23+F30</f>
        <v>18534</v>
      </c>
      <c r="G34" s="265"/>
      <c r="H34" s="265">
        <f>H23+H30</f>
        <v>6841</v>
      </c>
      <c r="I34" s="265"/>
      <c r="J34" s="265">
        <f>J23+J30</f>
        <v>6493</v>
      </c>
    </row>
    <row r="35" spans="1:10" x14ac:dyDescent="0.25">
      <c r="A35" s="253" t="s">
        <v>1184</v>
      </c>
      <c r="B35" s="254" t="s">
        <v>596</v>
      </c>
      <c r="C35" s="255"/>
      <c r="D35" s="255">
        <v>0</v>
      </c>
      <c r="E35" s="255"/>
      <c r="F35" s="255">
        <v>0</v>
      </c>
      <c r="G35" s="255"/>
      <c r="H35" s="255">
        <v>0</v>
      </c>
      <c r="I35" s="255"/>
      <c r="J35" s="255">
        <v>0</v>
      </c>
    </row>
  </sheetData>
  <pageMargins left="0.70866141732283472" right="0.70866141732283472" top="1.1811023622047245" bottom="0.74803149606299213" header="0.70866141732283472" footer="0.31496062992125984"/>
  <pageSetup paperSize="9" scale="71" fitToHeight="0" orientation="portrait" r:id="rId1"/>
  <headerFooter>
    <oddHeader>&amp;L2/F. melléklet a ...../2019. (.......) önkormányzati rendelethez&amp;C&amp;"-,Félkövér"&amp;14
A Környezetvédelmi Alap 2019. évi költségvetése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52"/>
  <sheetViews>
    <sheetView view="pageBreakPreview" zoomScale="92" zoomScaleNormal="100" zoomScaleSheetLayoutView="92" workbookViewId="0">
      <selection activeCell="B41" sqref="A41:XFD41"/>
    </sheetView>
  </sheetViews>
  <sheetFormatPr defaultColWidth="9.140625" defaultRowHeight="15" x14ac:dyDescent="0.25"/>
  <cols>
    <col min="1" max="1" width="5.7109375" style="247" customWidth="1"/>
    <col min="2" max="2" width="52.140625" style="283" customWidth="1"/>
    <col min="3" max="3" width="14.140625" style="283" hidden="1" customWidth="1"/>
    <col min="4" max="4" width="11.7109375" style="283" hidden="1" customWidth="1"/>
    <col min="5" max="5" width="11.140625" style="283" hidden="1" customWidth="1"/>
    <col min="6" max="7" width="10.85546875" style="283" hidden="1" customWidth="1"/>
    <col min="8" max="8" width="10" style="283" hidden="1" customWidth="1"/>
    <col min="9" max="9" width="10.140625" style="283" hidden="1" customWidth="1"/>
    <col min="10" max="12" width="9.140625" style="283" hidden="1" customWidth="1"/>
    <col min="13" max="13" width="10.85546875" style="283" hidden="1" customWidth="1"/>
    <col min="14" max="14" width="10.7109375" style="283" hidden="1" customWidth="1"/>
    <col min="15" max="16" width="9.140625" style="283" hidden="1" customWidth="1"/>
    <col min="17" max="17" width="10.140625" style="283" hidden="1" customWidth="1"/>
    <col min="18" max="18" width="9.140625" style="283" hidden="1" customWidth="1"/>
    <col min="19" max="20" width="9.140625" style="283"/>
    <col min="21" max="21" width="10.140625" style="283" customWidth="1"/>
    <col min="22" max="22" width="9.140625" style="283"/>
    <col min="23" max="24" width="0" style="283" hidden="1" customWidth="1"/>
    <col min="25" max="25" width="10.140625" style="283" hidden="1" customWidth="1"/>
    <col min="26" max="26" width="0" style="283" hidden="1" customWidth="1"/>
    <col min="27" max="28" width="9.140625" style="283"/>
    <col min="29" max="29" width="10.140625" style="283" customWidth="1"/>
    <col min="30" max="32" width="9.140625" style="283"/>
    <col min="33" max="33" width="10.140625" style="283" customWidth="1"/>
    <col min="34" max="16384" width="9.140625" style="283"/>
  </cols>
  <sheetData>
    <row r="1" spans="1:34" x14ac:dyDescent="0.25">
      <c r="F1" s="531"/>
      <c r="N1" s="32"/>
      <c r="R1" s="32"/>
      <c r="V1" s="32"/>
      <c r="Z1" s="32"/>
      <c r="AD1" s="32"/>
      <c r="AH1" s="32" t="s">
        <v>302</v>
      </c>
    </row>
    <row r="2" spans="1:34" x14ac:dyDescent="0.25">
      <c r="A2" s="346" t="s">
        <v>468</v>
      </c>
      <c r="B2" s="346" t="s">
        <v>650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</row>
    <row r="3" spans="1:34" ht="52.5" customHeight="1" x14ac:dyDescent="0.25">
      <c r="A3" s="991" t="s">
        <v>305</v>
      </c>
      <c r="B3" s="991" t="s">
        <v>306</v>
      </c>
      <c r="C3" s="988" t="s">
        <v>1503</v>
      </c>
      <c r="D3" s="989"/>
      <c r="E3" s="989"/>
      <c r="F3" s="990"/>
      <c r="G3" s="988" t="s">
        <v>1504</v>
      </c>
      <c r="H3" s="989"/>
      <c r="I3" s="989"/>
      <c r="J3" s="990"/>
      <c r="K3" s="988" t="s">
        <v>1505</v>
      </c>
      <c r="L3" s="989"/>
      <c r="M3" s="989"/>
      <c r="N3" s="990"/>
      <c r="O3" s="988" t="s">
        <v>1496</v>
      </c>
      <c r="P3" s="989"/>
      <c r="Q3" s="989"/>
      <c r="R3" s="990"/>
      <c r="S3" s="988" t="s">
        <v>1499</v>
      </c>
      <c r="T3" s="989"/>
      <c r="U3" s="989"/>
      <c r="V3" s="990"/>
      <c r="W3" s="988" t="s">
        <v>1714</v>
      </c>
      <c r="X3" s="989"/>
      <c r="Y3" s="989"/>
      <c r="Z3" s="990"/>
      <c r="AA3" s="988" t="s">
        <v>1728</v>
      </c>
      <c r="AB3" s="989"/>
      <c r="AC3" s="989"/>
      <c r="AD3" s="990"/>
      <c r="AE3" s="988" t="s">
        <v>1746</v>
      </c>
      <c r="AF3" s="989"/>
      <c r="AG3" s="989"/>
      <c r="AH3" s="990"/>
    </row>
    <row r="4" spans="1:34" ht="56.25" customHeight="1" x14ac:dyDescent="0.25">
      <c r="A4" s="991"/>
      <c r="B4" s="991"/>
      <c r="C4" s="520" t="s">
        <v>1313</v>
      </c>
      <c r="D4" s="520" t="s">
        <v>1314</v>
      </c>
      <c r="E4" s="520" t="s">
        <v>1315</v>
      </c>
      <c r="F4" s="520" t="s">
        <v>553</v>
      </c>
      <c r="G4" s="520" t="s">
        <v>1313</v>
      </c>
      <c r="H4" s="520" t="s">
        <v>1314</v>
      </c>
      <c r="I4" s="520" t="s">
        <v>1315</v>
      </c>
      <c r="J4" s="520" t="s">
        <v>553</v>
      </c>
      <c r="K4" s="520" t="s">
        <v>1313</v>
      </c>
      <c r="L4" s="520" t="s">
        <v>1314</v>
      </c>
      <c r="M4" s="520" t="s">
        <v>1315</v>
      </c>
      <c r="N4" s="520" t="s">
        <v>553</v>
      </c>
      <c r="O4" s="640" t="s">
        <v>1313</v>
      </c>
      <c r="P4" s="640" t="s">
        <v>1314</v>
      </c>
      <c r="Q4" s="640" t="s">
        <v>1315</v>
      </c>
      <c r="R4" s="640" t="s">
        <v>553</v>
      </c>
      <c r="S4" s="640" t="s">
        <v>1313</v>
      </c>
      <c r="T4" s="640" t="s">
        <v>1314</v>
      </c>
      <c r="U4" s="640" t="s">
        <v>1315</v>
      </c>
      <c r="V4" s="640" t="s">
        <v>553</v>
      </c>
      <c r="W4" s="856" t="s">
        <v>1313</v>
      </c>
      <c r="X4" s="856" t="s">
        <v>1314</v>
      </c>
      <c r="Y4" s="856" t="s">
        <v>1315</v>
      </c>
      <c r="Z4" s="856" t="s">
        <v>553</v>
      </c>
      <c r="AA4" s="876" t="s">
        <v>1313</v>
      </c>
      <c r="AB4" s="876" t="s">
        <v>1314</v>
      </c>
      <c r="AC4" s="876" t="s">
        <v>1315</v>
      </c>
      <c r="AD4" s="876" t="s">
        <v>553</v>
      </c>
      <c r="AE4" s="896" t="s">
        <v>1313</v>
      </c>
      <c r="AF4" s="896" t="s">
        <v>1314</v>
      </c>
      <c r="AG4" s="896" t="s">
        <v>1315</v>
      </c>
      <c r="AH4" s="896" t="s">
        <v>553</v>
      </c>
    </row>
    <row r="5" spans="1:34" x14ac:dyDescent="0.25">
      <c r="A5" s="347"/>
      <c r="B5" s="556" t="s">
        <v>307</v>
      </c>
      <c r="C5" s="349">
        <v>74</v>
      </c>
      <c r="D5" s="349">
        <v>5</v>
      </c>
      <c r="E5" s="349">
        <v>0</v>
      </c>
      <c r="F5" s="349">
        <f>SUM(C5:E5)</f>
        <v>79</v>
      </c>
      <c r="G5" s="349">
        <v>74</v>
      </c>
      <c r="H5" s="349">
        <v>5</v>
      </c>
      <c r="I5" s="349">
        <v>0</v>
      </c>
      <c r="J5" s="349">
        <f>SUM(G5:I5)</f>
        <v>79</v>
      </c>
      <c r="K5" s="349">
        <f>64+4+1</f>
        <v>69</v>
      </c>
      <c r="L5" s="349">
        <v>5</v>
      </c>
      <c r="M5" s="349">
        <v>0</v>
      </c>
      <c r="N5" s="349">
        <f>SUM(K5:M5)</f>
        <v>74</v>
      </c>
      <c r="O5" s="349">
        <v>74</v>
      </c>
      <c r="P5" s="349">
        <v>5</v>
      </c>
      <c r="Q5" s="349">
        <v>0</v>
      </c>
      <c r="R5" s="349">
        <f>SUM(O5:Q5)</f>
        <v>79</v>
      </c>
      <c r="S5" s="936">
        <v>74</v>
      </c>
      <c r="T5" s="936">
        <v>5</v>
      </c>
      <c r="U5" s="936">
        <v>0</v>
      </c>
      <c r="V5" s="936">
        <f>SUM(S5:U5)</f>
        <v>79</v>
      </c>
      <c r="W5" s="349">
        <v>74</v>
      </c>
      <c r="X5" s="349">
        <v>5</v>
      </c>
      <c r="Y5" s="349">
        <v>0</v>
      </c>
      <c r="Z5" s="349">
        <f>SUM(W5:Y5)</f>
        <v>79</v>
      </c>
      <c r="AA5" s="349">
        <v>74</v>
      </c>
      <c r="AB5" s="349">
        <v>5</v>
      </c>
      <c r="AC5" s="349">
        <v>0</v>
      </c>
      <c r="AD5" s="349">
        <f>SUM(AA5:AC5)</f>
        <v>79</v>
      </c>
      <c r="AE5" s="936">
        <f>74+5</f>
        <v>79</v>
      </c>
      <c r="AF5" s="936">
        <v>5</v>
      </c>
      <c r="AG5" s="936">
        <v>0</v>
      </c>
      <c r="AH5" s="936">
        <f>SUM(AE5:AG5)</f>
        <v>84</v>
      </c>
    </row>
    <row r="6" spans="1:34" x14ac:dyDescent="0.25">
      <c r="A6" s="347"/>
      <c r="B6" s="556" t="s">
        <v>308</v>
      </c>
      <c r="C6" s="349">
        <v>0</v>
      </c>
      <c r="D6" s="349">
        <v>0</v>
      </c>
      <c r="E6" s="349">
        <v>0</v>
      </c>
      <c r="F6" s="349">
        <f t="shared" ref="F6:F49" si="0">SUM(C6:E6)</f>
        <v>0</v>
      </c>
      <c r="G6" s="349">
        <v>0</v>
      </c>
      <c r="H6" s="349">
        <v>0</v>
      </c>
      <c r="I6" s="349">
        <v>0</v>
      </c>
      <c r="J6" s="349">
        <f t="shared" ref="J6:J49" si="1">SUM(G6:I6)</f>
        <v>0</v>
      </c>
      <c r="K6" s="349">
        <v>0</v>
      </c>
      <c r="L6" s="349">
        <v>0</v>
      </c>
      <c r="M6" s="349">
        <v>0</v>
      </c>
      <c r="N6" s="349">
        <f t="shared" ref="N6:N49" si="2">SUM(K6:M6)</f>
        <v>0</v>
      </c>
      <c r="O6" s="349">
        <v>0</v>
      </c>
      <c r="P6" s="349">
        <v>0</v>
      </c>
      <c r="Q6" s="349">
        <v>0</v>
      </c>
      <c r="R6" s="349">
        <f t="shared" ref="R6:R49" si="3">SUM(O6:Q6)</f>
        <v>0</v>
      </c>
      <c r="S6" s="936">
        <v>0</v>
      </c>
      <c r="T6" s="936">
        <v>0</v>
      </c>
      <c r="U6" s="936">
        <v>0</v>
      </c>
      <c r="V6" s="936">
        <f t="shared" ref="V6:V49" si="4">SUM(S6:U6)</f>
        <v>0</v>
      </c>
      <c r="W6" s="349">
        <v>0</v>
      </c>
      <c r="X6" s="349">
        <v>0</v>
      </c>
      <c r="Y6" s="349">
        <v>0</v>
      </c>
      <c r="Z6" s="349">
        <f t="shared" ref="Z6:Z49" si="5">SUM(W6:Y6)</f>
        <v>0</v>
      </c>
      <c r="AA6" s="349">
        <v>0</v>
      </c>
      <c r="AB6" s="349">
        <v>0</v>
      </c>
      <c r="AC6" s="349">
        <v>0</v>
      </c>
      <c r="AD6" s="349">
        <f t="shared" ref="AD6:AD49" si="6">SUM(AA6:AC6)</f>
        <v>0</v>
      </c>
      <c r="AE6" s="936">
        <v>0</v>
      </c>
      <c r="AF6" s="936">
        <v>0</v>
      </c>
      <c r="AG6" s="936">
        <v>0</v>
      </c>
      <c r="AH6" s="936">
        <f t="shared" ref="AH6:AH49" si="7">SUM(AE6:AG6)</f>
        <v>0</v>
      </c>
    </row>
    <row r="7" spans="1:34" x14ac:dyDescent="0.25">
      <c r="A7" s="347"/>
      <c r="B7" s="556" t="s">
        <v>651</v>
      </c>
      <c r="C7" s="349">
        <v>7</v>
      </c>
      <c r="D7" s="349">
        <v>0</v>
      </c>
      <c r="E7" s="349">
        <v>0</v>
      </c>
      <c r="F7" s="349">
        <f t="shared" si="0"/>
        <v>7</v>
      </c>
      <c r="G7" s="349">
        <v>7</v>
      </c>
      <c r="H7" s="349">
        <v>0</v>
      </c>
      <c r="I7" s="349">
        <v>0</v>
      </c>
      <c r="J7" s="349">
        <f t="shared" si="1"/>
        <v>7</v>
      </c>
      <c r="K7" s="349">
        <v>7</v>
      </c>
      <c r="L7" s="349">
        <v>0</v>
      </c>
      <c r="M7" s="349">
        <v>0</v>
      </c>
      <c r="N7" s="349">
        <f t="shared" si="2"/>
        <v>7</v>
      </c>
      <c r="O7" s="349">
        <v>7</v>
      </c>
      <c r="P7" s="349">
        <v>0</v>
      </c>
      <c r="Q7" s="349">
        <v>0</v>
      </c>
      <c r="R7" s="349">
        <f t="shared" si="3"/>
        <v>7</v>
      </c>
      <c r="S7" s="936">
        <v>7</v>
      </c>
      <c r="T7" s="936">
        <v>0</v>
      </c>
      <c r="U7" s="936">
        <v>0</v>
      </c>
      <c r="V7" s="936">
        <f t="shared" si="4"/>
        <v>7</v>
      </c>
      <c r="W7" s="349">
        <v>7</v>
      </c>
      <c r="X7" s="349">
        <v>0</v>
      </c>
      <c r="Y7" s="349">
        <v>0</v>
      </c>
      <c r="Z7" s="349">
        <f t="shared" si="5"/>
        <v>7</v>
      </c>
      <c r="AA7" s="349">
        <v>7</v>
      </c>
      <c r="AB7" s="349">
        <v>0</v>
      </c>
      <c r="AC7" s="349">
        <v>0</v>
      </c>
      <c r="AD7" s="349">
        <f t="shared" si="6"/>
        <v>7</v>
      </c>
      <c r="AE7" s="936">
        <v>7</v>
      </c>
      <c r="AF7" s="936">
        <v>0</v>
      </c>
      <c r="AG7" s="936">
        <v>0</v>
      </c>
      <c r="AH7" s="936">
        <f t="shared" si="7"/>
        <v>7</v>
      </c>
    </row>
    <row r="8" spans="1:34" x14ac:dyDescent="0.25">
      <c r="A8" s="557" t="s">
        <v>309</v>
      </c>
      <c r="B8" s="558" t="s">
        <v>310</v>
      </c>
      <c r="C8" s="559">
        <f t="shared" ref="C8:D8" si="8">C9+C11+C14</f>
        <v>2270</v>
      </c>
      <c r="D8" s="559">
        <f t="shared" si="8"/>
        <v>0</v>
      </c>
      <c r="E8" s="559">
        <f>E9+E11+E14</f>
        <v>0</v>
      </c>
      <c r="F8" s="559">
        <f t="shared" si="0"/>
        <v>2270</v>
      </c>
      <c r="G8" s="559">
        <f t="shared" ref="G8:H8" si="9">G9+G11+G14</f>
        <v>6276</v>
      </c>
      <c r="H8" s="559">
        <f t="shared" si="9"/>
        <v>0</v>
      </c>
      <c r="I8" s="559">
        <f>I9+I11+I14</f>
        <v>0</v>
      </c>
      <c r="J8" s="559">
        <f t="shared" si="1"/>
        <v>6276</v>
      </c>
      <c r="K8" s="559">
        <f t="shared" ref="K8:L8" si="10">K9+K11+K14</f>
        <v>2270</v>
      </c>
      <c r="L8" s="559">
        <f t="shared" si="10"/>
        <v>0</v>
      </c>
      <c r="M8" s="559">
        <f>M9+M11+M14</f>
        <v>0</v>
      </c>
      <c r="N8" s="559">
        <f t="shared" si="2"/>
        <v>2270</v>
      </c>
      <c r="O8" s="559">
        <f t="shared" ref="O8:P8" si="11">O9+O11+O14</f>
        <v>6486</v>
      </c>
      <c r="P8" s="559">
        <f t="shared" si="11"/>
        <v>0</v>
      </c>
      <c r="Q8" s="559">
        <f>Q9+Q11+Q14</f>
        <v>0</v>
      </c>
      <c r="R8" s="559">
        <f t="shared" si="3"/>
        <v>6486</v>
      </c>
      <c r="S8" s="559">
        <f t="shared" ref="S8:T8" si="12">S9+S11+S14</f>
        <v>2270</v>
      </c>
      <c r="T8" s="559">
        <f t="shared" si="12"/>
        <v>0</v>
      </c>
      <c r="U8" s="559">
        <f>U9+U11+U14</f>
        <v>0</v>
      </c>
      <c r="V8" s="559">
        <f t="shared" si="4"/>
        <v>2270</v>
      </c>
      <c r="W8" s="559">
        <f t="shared" ref="W8:X8" si="13">W9+W11+W14</f>
        <v>6131</v>
      </c>
      <c r="X8" s="559">
        <f t="shared" si="13"/>
        <v>0</v>
      </c>
      <c r="Y8" s="559">
        <f>Y9+Y11+Y14</f>
        <v>0</v>
      </c>
      <c r="Z8" s="559">
        <f t="shared" si="5"/>
        <v>6131</v>
      </c>
      <c r="AA8" s="559">
        <f t="shared" ref="AA8:AB8" si="14">AA9+AA11+AA14</f>
        <v>6131</v>
      </c>
      <c r="AB8" s="559">
        <f t="shared" si="14"/>
        <v>0</v>
      </c>
      <c r="AC8" s="559">
        <f>AC9+AC11+AC14</f>
        <v>0</v>
      </c>
      <c r="AD8" s="559">
        <f t="shared" si="6"/>
        <v>6131</v>
      </c>
      <c r="AE8" s="559">
        <f t="shared" ref="AE8:AF8" si="15">AE9+AE11+AE14</f>
        <v>10677</v>
      </c>
      <c r="AF8" s="559">
        <f t="shared" si="15"/>
        <v>0</v>
      </c>
      <c r="AG8" s="559">
        <f>AG9+AG11+AG14</f>
        <v>0</v>
      </c>
      <c r="AH8" s="559">
        <f t="shared" si="7"/>
        <v>10677</v>
      </c>
    </row>
    <row r="9" spans="1:34" x14ac:dyDescent="0.25">
      <c r="A9" s="560" t="s">
        <v>311</v>
      </c>
      <c r="B9" s="561" t="s">
        <v>312</v>
      </c>
      <c r="C9" s="562">
        <f t="shared" ref="C9:AG9" si="16">C10</f>
        <v>0</v>
      </c>
      <c r="D9" s="562">
        <f t="shared" si="16"/>
        <v>0</v>
      </c>
      <c r="E9" s="562">
        <f t="shared" si="16"/>
        <v>0</v>
      </c>
      <c r="F9" s="562">
        <f t="shared" si="0"/>
        <v>0</v>
      </c>
      <c r="G9" s="562">
        <f t="shared" si="16"/>
        <v>4006</v>
      </c>
      <c r="H9" s="562">
        <f t="shared" si="16"/>
        <v>0</v>
      </c>
      <c r="I9" s="562">
        <f t="shared" si="16"/>
        <v>0</v>
      </c>
      <c r="J9" s="562">
        <f t="shared" si="1"/>
        <v>4006</v>
      </c>
      <c r="K9" s="562">
        <f t="shared" si="16"/>
        <v>0</v>
      </c>
      <c r="L9" s="562">
        <f t="shared" si="16"/>
        <v>0</v>
      </c>
      <c r="M9" s="562">
        <f t="shared" si="16"/>
        <v>0</v>
      </c>
      <c r="N9" s="562">
        <f t="shared" si="2"/>
        <v>0</v>
      </c>
      <c r="O9" s="562">
        <f t="shared" si="16"/>
        <v>4006</v>
      </c>
      <c r="P9" s="562">
        <f t="shared" si="16"/>
        <v>0</v>
      </c>
      <c r="Q9" s="562">
        <f t="shared" si="16"/>
        <v>0</v>
      </c>
      <c r="R9" s="562">
        <f t="shared" si="3"/>
        <v>4006</v>
      </c>
      <c r="S9" s="562">
        <f t="shared" si="16"/>
        <v>0</v>
      </c>
      <c r="T9" s="562">
        <f t="shared" si="16"/>
        <v>0</v>
      </c>
      <c r="U9" s="562">
        <f t="shared" si="16"/>
        <v>0</v>
      </c>
      <c r="V9" s="562">
        <f t="shared" si="4"/>
        <v>0</v>
      </c>
      <c r="W9" s="562">
        <f t="shared" si="16"/>
        <v>3861</v>
      </c>
      <c r="X9" s="562">
        <f t="shared" si="16"/>
        <v>0</v>
      </c>
      <c r="Y9" s="562">
        <f t="shared" si="16"/>
        <v>0</v>
      </c>
      <c r="Z9" s="562">
        <f t="shared" si="5"/>
        <v>3861</v>
      </c>
      <c r="AA9" s="562">
        <f t="shared" si="16"/>
        <v>3861</v>
      </c>
      <c r="AB9" s="562">
        <f t="shared" si="16"/>
        <v>0</v>
      </c>
      <c r="AC9" s="562">
        <f t="shared" si="16"/>
        <v>0</v>
      </c>
      <c r="AD9" s="562">
        <f t="shared" si="6"/>
        <v>3861</v>
      </c>
      <c r="AE9" s="562">
        <f t="shared" si="16"/>
        <v>8407</v>
      </c>
      <c r="AF9" s="562">
        <f t="shared" si="16"/>
        <v>0</v>
      </c>
      <c r="AG9" s="562">
        <f t="shared" si="16"/>
        <v>0</v>
      </c>
      <c r="AH9" s="562">
        <f t="shared" si="7"/>
        <v>8407</v>
      </c>
    </row>
    <row r="10" spans="1:34" ht="30" x14ac:dyDescent="0.25">
      <c r="A10" s="522"/>
      <c r="B10" s="356" t="s">
        <v>313</v>
      </c>
      <c r="C10" s="546">
        <v>0</v>
      </c>
      <c r="D10" s="546">
        <v>0</v>
      </c>
      <c r="E10" s="546">
        <v>0</v>
      </c>
      <c r="F10" s="546">
        <f t="shared" si="0"/>
        <v>0</v>
      </c>
      <c r="G10" s="546">
        <v>4006</v>
      </c>
      <c r="H10" s="546">
        <v>0</v>
      </c>
      <c r="I10" s="546">
        <v>0</v>
      </c>
      <c r="J10" s="546">
        <f t="shared" si="1"/>
        <v>4006</v>
      </c>
      <c r="K10" s="546">
        <v>0</v>
      </c>
      <c r="L10" s="546">
        <v>0</v>
      </c>
      <c r="M10" s="546">
        <v>0</v>
      </c>
      <c r="N10" s="546">
        <f t="shared" si="2"/>
        <v>0</v>
      </c>
      <c r="O10" s="546">
        <v>4006</v>
      </c>
      <c r="P10" s="546">
        <v>0</v>
      </c>
      <c r="Q10" s="546">
        <v>0</v>
      </c>
      <c r="R10" s="546">
        <f t="shared" si="3"/>
        <v>4006</v>
      </c>
      <c r="S10" s="942">
        <v>0</v>
      </c>
      <c r="T10" s="942">
        <v>0</v>
      </c>
      <c r="U10" s="942">
        <v>0</v>
      </c>
      <c r="V10" s="942">
        <f t="shared" si="4"/>
        <v>0</v>
      </c>
      <c r="W10" s="546">
        <v>3861</v>
      </c>
      <c r="X10" s="546">
        <v>0</v>
      </c>
      <c r="Y10" s="546">
        <v>0</v>
      </c>
      <c r="Z10" s="546">
        <f t="shared" si="5"/>
        <v>3861</v>
      </c>
      <c r="AA10" s="546">
        <v>3861</v>
      </c>
      <c r="AB10" s="546">
        <v>0</v>
      </c>
      <c r="AC10" s="546">
        <v>0</v>
      </c>
      <c r="AD10" s="546">
        <f t="shared" si="6"/>
        <v>3861</v>
      </c>
      <c r="AE10" s="942">
        <f>3861+4546</f>
        <v>8407</v>
      </c>
      <c r="AF10" s="942">
        <v>0</v>
      </c>
      <c r="AG10" s="942">
        <v>0</v>
      </c>
      <c r="AH10" s="942">
        <f t="shared" si="7"/>
        <v>8407</v>
      </c>
    </row>
    <row r="11" spans="1:34" x14ac:dyDescent="0.25">
      <c r="A11" s="560" t="s">
        <v>311</v>
      </c>
      <c r="B11" s="561" t="s">
        <v>488</v>
      </c>
      <c r="C11" s="562">
        <f t="shared" ref="C11:E11" si="17">SUM(C12:C13)</f>
        <v>1000</v>
      </c>
      <c r="D11" s="562">
        <f t="shared" si="17"/>
        <v>0</v>
      </c>
      <c r="E11" s="562">
        <f t="shared" si="17"/>
        <v>0</v>
      </c>
      <c r="F11" s="562">
        <f t="shared" si="0"/>
        <v>1000</v>
      </c>
      <c r="G11" s="562">
        <f t="shared" ref="G11:I11" si="18">SUM(G12:G13)</f>
        <v>1000</v>
      </c>
      <c r="H11" s="562">
        <f t="shared" si="18"/>
        <v>0</v>
      </c>
      <c r="I11" s="562">
        <f t="shared" si="18"/>
        <v>0</v>
      </c>
      <c r="J11" s="562">
        <f t="shared" si="1"/>
        <v>1000</v>
      </c>
      <c r="K11" s="562">
        <f t="shared" ref="K11:M11" si="19">SUM(K12:K13)</f>
        <v>1000</v>
      </c>
      <c r="L11" s="562">
        <f t="shared" si="19"/>
        <v>0</v>
      </c>
      <c r="M11" s="562">
        <f t="shared" si="19"/>
        <v>0</v>
      </c>
      <c r="N11" s="562">
        <f t="shared" si="2"/>
        <v>1000</v>
      </c>
      <c r="O11" s="562">
        <f t="shared" ref="O11:Q11" si="20">SUM(O12:O13)</f>
        <v>977</v>
      </c>
      <c r="P11" s="562">
        <f t="shared" si="20"/>
        <v>0</v>
      </c>
      <c r="Q11" s="562">
        <f t="shared" si="20"/>
        <v>0</v>
      </c>
      <c r="R11" s="562">
        <f t="shared" si="3"/>
        <v>977</v>
      </c>
      <c r="S11" s="562">
        <f t="shared" ref="S11:U11" si="21">SUM(S12:S13)</f>
        <v>1000</v>
      </c>
      <c r="T11" s="562">
        <f t="shared" si="21"/>
        <v>0</v>
      </c>
      <c r="U11" s="562">
        <f t="shared" si="21"/>
        <v>0</v>
      </c>
      <c r="V11" s="562">
        <f t="shared" si="4"/>
        <v>1000</v>
      </c>
      <c r="W11" s="562">
        <f t="shared" ref="W11:Y11" si="22">SUM(W12:W13)</f>
        <v>1000</v>
      </c>
      <c r="X11" s="562">
        <f t="shared" si="22"/>
        <v>0</v>
      </c>
      <c r="Y11" s="562">
        <f t="shared" si="22"/>
        <v>0</v>
      </c>
      <c r="Z11" s="562">
        <f t="shared" si="5"/>
        <v>1000</v>
      </c>
      <c r="AA11" s="562">
        <f t="shared" ref="AA11:AC11" si="23">SUM(AA12:AA13)</f>
        <v>1000</v>
      </c>
      <c r="AB11" s="562">
        <f t="shared" si="23"/>
        <v>0</v>
      </c>
      <c r="AC11" s="562">
        <f t="shared" si="23"/>
        <v>0</v>
      </c>
      <c r="AD11" s="562">
        <f t="shared" si="6"/>
        <v>1000</v>
      </c>
      <c r="AE11" s="562">
        <f t="shared" ref="AE11:AG11" si="24">SUM(AE12:AE13)</f>
        <v>1000</v>
      </c>
      <c r="AF11" s="562">
        <f t="shared" si="24"/>
        <v>0</v>
      </c>
      <c r="AG11" s="562">
        <f t="shared" si="24"/>
        <v>0</v>
      </c>
      <c r="AH11" s="562">
        <f t="shared" si="7"/>
        <v>1000</v>
      </c>
    </row>
    <row r="12" spans="1:34" x14ac:dyDescent="0.25">
      <c r="A12" s="522"/>
      <c r="B12" s="382" t="s">
        <v>652</v>
      </c>
      <c r="C12" s="546">
        <v>1000</v>
      </c>
      <c r="D12" s="546">
        <v>0</v>
      </c>
      <c r="E12" s="546">
        <v>0</v>
      </c>
      <c r="F12" s="546">
        <f t="shared" si="0"/>
        <v>1000</v>
      </c>
      <c r="G12" s="546">
        <v>1000</v>
      </c>
      <c r="H12" s="546">
        <v>0</v>
      </c>
      <c r="I12" s="546">
        <v>0</v>
      </c>
      <c r="J12" s="546">
        <f t="shared" si="1"/>
        <v>1000</v>
      </c>
      <c r="K12" s="546">
        <v>1000</v>
      </c>
      <c r="L12" s="546">
        <v>0</v>
      </c>
      <c r="M12" s="546">
        <v>0</v>
      </c>
      <c r="N12" s="546">
        <f t="shared" si="2"/>
        <v>1000</v>
      </c>
      <c r="O12" s="546">
        <v>977</v>
      </c>
      <c r="P12" s="546">
        <v>0</v>
      </c>
      <c r="Q12" s="546">
        <v>0</v>
      </c>
      <c r="R12" s="546">
        <f t="shared" si="3"/>
        <v>977</v>
      </c>
      <c r="S12" s="942">
        <v>1000</v>
      </c>
      <c r="T12" s="942">
        <v>0</v>
      </c>
      <c r="U12" s="942">
        <v>0</v>
      </c>
      <c r="V12" s="942">
        <f t="shared" si="4"/>
        <v>1000</v>
      </c>
      <c r="W12" s="546">
        <v>1000</v>
      </c>
      <c r="X12" s="546">
        <v>0</v>
      </c>
      <c r="Y12" s="546">
        <v>0</v>
      </c>
      <c r="Z12" s="546">
        <f t="shared" si="5"/>
        <v>1000</v>
      </c>
      <c r="AA12" s="546">
        <v>1000</v>
      </c>
      <c r="AB12" s="546">
        <v>0</v>
      </c>
      <c r="AC12" s="546">
        <v>0</v>
      </c>
      <c r="AD12" s="546">
        <f t="shared" si="6"/>
        <v>1000</v>
      </c>
      <c r="AE12" s="942">
        <v>1000</v>
      </c>
      <c r="AF12" s="942">
        <v>0</v>
      </c>
      <c r="AG12" s="942">
        <v>0</v>
      </c>
      <c r="AH12" s="942">
        <f t="shared" si="7"/>
        <v>1000</v>
      </c>
    </row>
    <row r="13" spans="1:34" x14ac:dyDescent="0.25">
      <c r="A13" s="522"/>
      <c r="B13" s="356" t="s">
        <v>653</v>
      </c>
      <c r="C13" s="546">
        <v>0</v>
      </c>
      <c r="D13" s="546">
        <v>0</v>
      </c>
      <c r="E13" s="546">
        <v>0</v>
      </c>
      <c r="F13" s="546">
        <f t="shared" si="0"/>
        <v>0</v>
      </c>
      <c r="G13" s="546">
        <v>0</v>
      </c>
      <c r="H13" s="546">
        <v>0</v>
      </c>
      <c r="I13" s="546">
        <v>0</v>
      </c>
      <c r="J13" s="546">
        <f t="shared" si="1"/>
        <v>0</v>
      </c>
      <c r="K13" s="546">
        <v>0</v>
      </c>
      <c r="L13" s="546">
        <v>0</v>
      </c>
      <c r="M13" s="546">
        <v>0</v>
      </c>
      <c r="N13" s="546">
        <f t="shared" si="2"/>
        <v>0</v>
      </c>
      <c r="O13" s="546">
        <v>0</v>
      </c>
      <c r="P13" s="546">
        <v>0</v>
      </c>
      <c r="Q13" s="546">
        <v>0</v>
      </c>
      <c r="R13" s="546">
        <f t="shared" si="3"/>
        <v>0</v>
      </c>
      <c r="S13" s="942">
        <v>0</v>
      </c>
      <c r="T13" s="942">
        <v>0</v>
      </c>
      <c r="U13" s="942">
        <v>0</v>
      </c>
      <c r="V13" s="942">
        <f t="shared" si="4"/>
        <v>0</v>
      </c>
      <c r="W13" s="546">
        <v>0</v>
      </c>
      <c r="X13" s="546">
        <v>0</v>
      </c>
      <c r="Y13" s="546">
        <v>0</v>
      </c>
      <c r="Z13" s="546">
        <f t="shared" si="5"/>
        <v>0</v>
      </c>
      <c r="AA13" s="546">
        <v>0</v>
      </c>
      <c r="AB13" s="546">
        <v>0</v>
      </c>
      <c r="AC13" s="546">
        <v>0</v>
      </c>
      <c r="AD13" s="546">
        <f t="shared" si="6"/>
        <v>0</v>
      </c>
      <c r="AE13" s="942">
        <v>0</v>
      </c>
      <c r="AF13" s="942">
        <v>0</v>
      </c>
      <c r="AG13" s="942">
        <v>0</v>
      </c>
      <c r="AH13" s="942">
        <f t="shared" si="7"/>
        <v>0</v>
      </c>
    </row>
    <row r="14" spans="1:34" x14ac:dyDescent="0.25">
      <c r="A14" s="560" t="s">
        <v>322</v>
      </c>
      <c r="B14" s="561" t="s">
        <v>314</v>
      </c>
      <c r="C14" s="562">
        <f t="shared" ref="C14:E14" si="25">SUM(C15:C22)</f>
        <v>1270</v>
      </c>
      <c r="D14" s="562">
        <f t="shared" si="25"/>
        <v>0</v>
      </c>
      <c r="E14" s="562">
        <f t="shared" si="25"/>
        <v>0</v>
      </c>
      <c r="F14" s="562">
        <f t="shared" si="0"/>
        <v>1270</v>
      </c>
      <c r="G14" s="562">
        <f t="shared" ref="G14:I14" si="26">SUM(G15:G22)</f>
        <v>1270</v>
      </c>
      <c r="H14" s="562">
        <f t="shared" si="26"/>
        <v>0</v>
      </c>
      <c r="I14" s="562">
        <f t="shared" si="26"/>
        <v>0</v>
      </c>
      <c r="J14" s="562">
        <f t="shared" si="1"/>
        <v>1270</v>
      </c>
      <c r="K14" s="562">
        <f t="shared" ref="K14:M14" si="27">SUM(K15:K22)</f>
        <v>1270</v>
      </c>
      <c r="L14" s="562">
        <f t="shared" si="27"/>
        <v>0</v>
      </c>
      <c r="M14" s="562">
        <f t="shared" si="27"/>
        <v>0</v>
      </c>
      <c r="N14" s="562">
        <f t="shared" si="2"/>
        <v>1270</v>
      </c>
      <c r="O14" s="562">
        <f t="shared" ref="O14:Q14" si="28">SUM(O15:O22)</f>
        <v>1503</v>
      </c>
      <c r="P14" s="562">
        <f t="shared" si="28"/>
        <v>0</v>
      </c>
      <c r="Q14" s="562">
        <f t="shared" si="28"/>
        <v>0</v>
      </c>
      <c r="R14" s="562">
        <f t="shared" si="3"/>
        <v>1503</v>
      </c>
      <c r="S14" s="562">
        <f t="shared" ref="S14:U14" si="29">SUM(S15:S22)</f>
        <v>1270</v>
      </c>
      <c r="T14" s="562">
        <f t="shared" si="29"/>
        <v>0</v>
      </c>
      <c r="U14" s="562">
        <f t="shared" si="29"/>
        <v>0</v>
      </c>
      <c r="V14" s="562">
        <f t="shared" si="4"/>
        <v>1270</v>
      </c>
      <c r="W14" s="562">
        <f t="shared" ref="W14:Y14" si="30">SUM(W15:W22)</f>
        <v>1270</v>
      </c>
      <c r="X14" s="562">
        <f t="shared" si="30"/>
        <v>0</v>
      </c>
      <c r="Y14" s="562">
        <f t="shared" si="30"/>
        <v>0</v>
      </c>
      <c r="Z14" s="562">
        <f t="shared" si="5"/>
        <v>1270</v>
      </c>
      <c r="AA14" s="562">
        <f t="shared" ref="AA14:AC14" si="31">SUM(AA15:AA22)</f>
        <v>1270</v>
      </c>
      <c r="AB14" s="562">
        <f t="shared" si="31"/>
        <v>0</v>
      </c>
      <c r="AC14" s="562">
        <f t="shared" si="31"/>
        <v>0</v>
      </c>
      <c r="AD14" s="562">
        <f t="shared" si="6"/>
        <v>1270</v>
      </c>
      <c r="AE14" s="562">
        <f t="shared" ref="AE14:AG14" si="32">SUM(AE15:AE22)</f>
        <v>1270</v>
      </c>
      <c r="AF14" s="562">
        <f t="shared" si="32"/>
        <v>0</v>
      </c>
      <c r="AG14" s="562">
        <f t="shared" si="32"/>
        <v>0</v>
      </c>
      <c r="AH14" s="562">
        <f t="shared" si="7"/>
        <v>1270</v>
      </c>
    </row>
    <row r="15" spans="1:34" x14ac:dyDescent="0.25">
      <c r="A15" s="522"/>
      <c r="B15" s="356" t="s">
        <v>654</v>
      </c>
      <c r="C15" s="546">
        <f>PH!G181</f>
        <v>0</v>
      </c>
      <c r="D15" s="546">
        <f>PH!H181</f>
        <v>0</v>
      </c>
      <c r="E15" s="546">
        <f>PH!I181</f>
        <v>0</v>
      </c>
      <c r="F15" s="546">
        <f t="shared" si="0"/>
        <v>0</v>
      </c>
      <c r="G15" s="546">
        <f>PH!K181</f>
        <v>0</v>
      </c>
      <c r="H15" s="546">
        <f>PH!L181</f>
        <v>0</v>
      </c>
      <c r="I15" s="546">
        <f>PH!M181</f>
        <v>0</v>
      </c>
      <c r="J15" s="546">
        <f t="shared" si="1"/>
        <v>0</v>
      </c>
      <c r="K15" s="546">
        <f>PH!O181</f>
        <v>0</v>
      </c>
      <c r="L15" s="546">
        <f>PH!P181</f>
        <v>0</v>
      </c>
      <c r="M15" s="546">
        <f>PH!Q181</f>
        <v>0</v>
      </c>
      <c r="N15" s="546">
        <f t="shared" si="2"/>
        <v>0</v>
      </c>
      <c r="O15" s="546">
        <f>PH!S181</f>
        <v>0</v>
      </c>
      <c r="P15" s="546">
        <f>PH!T181</f>
        <v>0</v>
      </c>
      <c r="Q15" s="546">
        <f>PH!U181</f>
        <v>0</v>
      </c>
      <c r="R15" s="546">
        <f t="shared" si="3"/>
        <v>0</v>
      </c>
      <c r="S15" s="942">
        <f>PH!W181</f>
        <v>0</v>
      </c>
      <c r="T15" s="942">
        <f>PH!X181</f>
        <v>0</v>
      </c>
      <c r="U15" s="942">
        <f>PH!Y181</f>
        <v>0</v>
      </c>
      <c r="V15" s="942">
        <f t="shared" si="4"/>
        <v>0</v>
      </c>
      <c r="W15" s="546">
        <f>PH!AA181</f>
        <v>0</v>
      </c>
      <c r="X15" s="546">
        <f>PH!AB181</f>
        <v>0</v>
      </c>
      <c r="Y15" s="546">
        <f>PH!AC181</f>
        <v>0</v>
      </c>
      <c r="Z15" s="546">
        <f t="shared" si="5"/>
        <v>0</v>
      </c>
      <c r="AA15" s="546">
        <f>PH!AE181</f>
        <v>0</v>
      </c>
      <c r="AB15" s="546">
        <f>PH!AF181</f>
        <v>0</v>
      </c>
      <c r="AC15" s="546">
        <f>PH!AG181</f>
        <v>0</v>
      </c>
      <c r="AD15" s="546">
        <f t="shared" si="6"/>
        <v>0</v>
      </c>
      <c r="AE15" s="942">
        <f>PH!AI181</f>
        <v>0</v>
      </c>
      <c r="AF15" s="942">
        <f>PH!AJ181</f>
        <v>0</v>
      </c>
      <c r="AG15" s="942">
        <f>PH!AK181</f>
        <v>0</v>
      </c>
      <c r="AH15" s="942">
        <f t="shared" si="7"/>
        <v>0</v>
      </c>
    </row>
    <row r="16" spans="1:34" x14ac:dyDescent="0.25">
      <c r="A16" s="522"/>
      <c r="B16" s="356" t="s">
        <v>655</v>
      </c>
      <c r="C16" s="546">
        <v>1000</v>
      </c>
      <c r="D16" s="546">
        <v>0</v>
      </c>
      <c r="E16" s="546">
        <v>0</v>
      </c>
      <c r="F16" s="546">
        <f t="shared" si="0"/>
        <v>1000</v>
      </c>
      <c r="G16" s="546">
        <v>1000</v>
      </c>
      <c r="H16" s="546">
        <v>0</v>
      </c>
      <c r="I16" s="546">
        <v>0</v>
      </c>
      <c r="J16" s="546">
        <f t="shared" si="1"/>
        <v>1000</v>
      </c>
      <c r="K16" s="546">
        <v>1000</v>
      </c>
      <c r="L16" s="546">
        <v>0</v>
      </c>
      <c r="M16" s="546">
        <v>0</v>
      </c>
      <c r="N16" s="546">
        <f t="shared" si="2"/>
        <v>1000</v>
      </c>
      <c r="O16" s="546">
        <v>1034</v>
      </c>
      <c r="P16" s="546">
        <v>0</v>
      </c>
      <c r="Q16" s="546">
        <v>0</v>
      </c>
      <c r="R16" s="546">
        <f t="shared" si="3"/>
        <v>1034</v>
      </c>
      <c r="S16" s="942">
        <v>1000</v>
      </c>
      <c r="T16" s="942">
        <v>0</v>
      </c>
      <c r="U16" s="942">
        <v>0</v>
      </c>
      <c r="V16" s="942">
        <f t="shared" si="4"/>
        <v>1000</v>
      </c>
      <c r="W16" s="546">
        <v>1000</v>
      </c>
      <c r="X16" s="546">
        <v>0</v>
      </c>
      <c r="Y16" s="546">
        <v>0</v>
      </c>
      <c r="Z16" s="546">
        <f t="shared" si="5"/>
        <v>1000</v>
      </c>
      <c r="AA16" s="546">
        <v>1000</v>
      </c>
      <c r="AB16" s="546">
        <v>0</v>
      </c>
      <c r="AC16" s="546">
        <v>0</v>
      </c>
      <c r="AD16" s="546">
        <f t="shared" si="6"/>
        <v>1000</v>
      </c>
      <c r="AE16" s="942">
        <v>1000</v>
      </c>
      <c r="AF16" s="942">
        <v>0</v>
      </c>
      <c r="AG16" s="942">
        <v>0</v>
      </c>
      <c r="AH16" s="942">
        <f t="shared" si="7"/>
        <v>1000</v>
      </c>
    </row>
    <row r="17" spans="1:34" x14ac:dyDescent="0.25">
      <c r="A17" s="522"/>
      <c r="B17" s="356" t="s">
        <v>663</v>
      </c>
      <c r="C17" s="546">
        <f>PH!G184</f>
        <v>0</v>
      </c>
      <c r="D17" s="546">
        <f>PH!H184</f>
        <v>0</v>
      </c>
      <c r="E17" s="546">
        <f>PH!I184</f>
        <v>0</v>
      </c>
      <c r="F17" s="546">
        <f t="shared" si="0"/>
        <v>0</v>
      </c>
      <c r="G17" s="546">
        <f>PH!K184</f>
        <v>0</v>
      </c>
      <c r="H17" s="546">
        <f>PH!L184</f>
        <v>0</v>
      </c>
      <c r="I17" s="546">
        <f>PH!M184</f>
        <v>0</v>
      </c>
      <c r="J17" s="546">
        <f t="shared" si="1"/>
        <v>0</v>
      </c>
      <c r="K17" s="546">
        <f>PH!O184</f>
        <v>0</v>
      </c>
      <c r="L17" s="546">
        <f>PH!P184</f>
        <v>0</v>
      </c>
      <c r="M17" s="546">
        <f>PH!Q184</f>
        <v>0</v>
      </c>
      <c r="N17" s="546">
        <f t="shared" si="2"/>
        <v>0</v>
      </c>
      <c r="O17" s="546">
        <f>PH!S184</f>
        <v>0</v>
      </c>
      <c r="P17" s="546">
        <f>PH!T184</f>
        <v>0</v>
      </c>
      <c r="Q17" s="546">
        <f>PH!U184</f>
        <v>0</v>
      </c>
      <c r="R17" s="546">
        <f t="shared" si="3"/>
        <v>0</v>
      </c>
      <c r="S17" s="942">
        <f>PH!W184</f>
        <v>0</v>
      </c>
      <c r="T17" s="942">
        <f>PH!X184</f>
        <v>0</v>
      </c>
      <c r="U17" s="942">
        <f>PH!Y184</f>
        <v>0</v>
      </c>
      <c r="V17" s="942">
        <f t="shared" si="4"/>
        <v>0</v>
      </c>
      <c r="W17" s="546">
        <f>PH!AA184</f>
        <v>0</v>
      </c>
      <c r="X17" s="546">
        <f>PH!AB184</f>
        <v>0</v>
      </c>
      <c r="Y17" s="546">
        <f>PH!AC184</f>
        <v>0</v>
      </c>
      <c r="Z17" s="546">
        <f t="shared" si="5"/>
        <v>0</v>
      </c>
      <c r="AA17" s="546">
        <f>PH!AE184</f>
        <v>0</v>
      </c>
      <c r="AB17" s="546">
        <f>PH!AF184</f>
        <v>0</v>
      </c>
      <c r="AC17" s="546">
        <f>PH!AG184</f>
        <v>0</v>
      </c>
      <c r="AD17" s="546">
        <f t="shared" si="6"/>
        <v>0</v>
      </c>
      <c r="AE17" s="942">
        <f>PH!AI184</f>
        <v>0</v>
      </c>
      <c r="AF17" s="942">
        <f>PH!AJ184</f>
        <v>0</v>
      </c>
      <c r="AG17" s="942">
        <f>PH!AK184</f>
        <v>0</v>
      </c>
      <c r="AH17" s="942">
        <f t="shared" si="7"/>
        <v>0</v>
      </c>
    </row>
    <row r="18" spans="1:34" x14ac:dyDescent="0.25">
      <c r="A18" s="522"/>
      <c r="B18" s="356" t="s">
        <v>664</v>
      </c>
      <c r="C18" s="546">
        <f>PH!G185</f>
        <v>0</v>
      </c>
      <c r="D18" s="546">
        <f>PH!H185</f>
        <v>0</v>
      </c>
      <c r="E18" s="546">
        <f>PH!I185</f>
        <v>0</v>
      </c>
      <c r="F18" s="546">
        <f t="shared" si="0"/>
        <v>0</v>
      </c>
      <c r="G18" s="546">
        <f>PH!K185</f>
        <v>0</v>
      </c>
      <c r="H18" s="546">
        <f>PH!L185</f>
        <v>0</v>
      </c>
      <c r="I18" s="546">
        <f>PH!M185</f>
        <v>0</v>
      </c>
      <c r="J18" s="546">
        <f t="shared" si="1"/>
        <v>0</v>
      </c>
      <c r="K18" s="546">
        <f>PH!O185</f>
        <v>0</v>
      </c>
      <c r="L18" s="546">
        <f>PH!P185</f>
        <v>0</v>
      </c>
      <c r="M18" s="546">
        <f>PH!Q185</f>
        <v>0</v>
      </c>
      <c r="N18" s="546">
        <f t="shared" si="2"/>
        <v>0</v>
      </c>
      <c r="O18" s="546">
        <f>PH!S185</f>
        <v>0</v>
      </c>
      <c r="P18" s="546">
        <f>PH!T185</f>
        <v>0</v>
      </c>
      <c r="Q18" s="546">
        <f>PH!U185</f>
        <v>0</v>
      </c>
      <c r="R18" s="546">
        <f t="shared" si="3"/>
        <v>0</v>
      </c>
      <c r="S18" s="942">
        <f>PH!W185</f>
        <v>0</v>
      </c>
      <c r="T18" s="942">
        <f>PH!X185</f>
        <v>0</v>
      </c>
      <c r="U18" s="942">
        <f>PH!Y185</f>
        <v>0</v>
      </c>
      <c r="V18" s="942">
        <f t="shared" si="4"/>
        <v>0</v>
      </c>
      <c r="W18" s="546">
        <f>PH!AA185</f>
        <v>0</v>
      </c>
      <c r="X18" s="546">
        <f>PH!AB185</f>
        <v>0</v>
      </c>
      <c r="Y18" s="546">
        <f>PH!AC185</f>
        <v>0</v>
      </c>
      <c r="Z18" s="546">
        <f t="shared" si="5"/>
        <v>0</v>
      </c>
      <c r="AA18" s="546">
        <f>PH!AE185</f>
        <v>0</v>
      </c>
      <c r="AB18" s="546">
        <f>PH!AF185</f>
        <v>0</v>
      </c>
      <c r="AC18" s="546">
        <f>PH!AG185</f>
        <v>0</v>
      </c>
      <c r="AD18" s="546">
        <f t="shared" si="6"/>
        <v>0</v>
      </c>
      <c r="AE18" s="942">
        <f>PH!AI185</f>
        <v>0</v>
      </c>
      <c r="AF18" s="942">
        <f>PH!AJ185</f>
        <v>0</v>
      </c>
      <c r="AG18" s="942">
        <f>PH!AK185</f>
        <v>0</v>
      </c>
      <c r="AH18" s="942">
        <f t="shared" si="7"/>
        <v>0</v>
      </c>
    </row>
    <row r="19" spans="1:34" x14ac:dyDescent="0.25">
      <c r="A19" s="522"/>
      <c r="B19" s="356" t="s">
        <v>665</v>
      </c>
      <c r="C19" s="546">
        <v>270</v>
      </c>
      <c r="D19" s="546">
        <v>0</v>
      </c>
      <c r="E19" s="546">
        <v>0</v>
      </c>
      <c r="F19" s="546">
        <f t="shared" si="0"/>
        <v>270</v>
      </c>
      <c r="G19" s="546">
        <v>270</v>
      </c>
      <c r="H19" s="546">
        <v>0</v>
      </c>
      <c r="I19" s="546">
        <v>0</v>
      </c>
      <c r="J19" s="546">
        <f t="shared" si="1"/>
        <v>270</v>
      </c>
      <c r="K19" s="546">
        <v>270</v>
      </c>
      <c r="L19" s="546">
        <v>0</v>
      </c>
      <c r="M19" s="546">
        <v>0</v>
      </c>
      <c r="N19" s="546">
        <f t="shared" si="2"/>
        <v>270</v>
      </c>
      <c r="O19" s="546">
        <v>289</v>
      </c>
      <c r="P19" s="546">
        <v>0</v>
      </c>
      <c r="Q19" s="546">
        <v>0</v>
      </c>
      <c r="R19" s="546">
        <f t="shared" si="3"/>
        <v>289</v>
      </c>
      <c r="S19" s="942">
        <v>270</v>
      </c>
      <c r="T19" s="942">
        <v>0</v>
      </c>
      <c r="U19" s="942">
        <v>0</v>
      </c>
      <c r="V19" s="942">
        <f t="shared" si="4"/>
        <v>270</v>
      </c>
      <c r="W19" s="546">
        <v>270</v>
      </c>
      <c r="X19" s="546">
        <v>0</v>
      </c>
      <c r="Y19" s="546">
        <v>0</v>
      </c>
      <c r="Z19" s="546">
        <f t="shared" si="5"/>
        <v>270</v>
      </c>
      <c r="AA19" s="546">
        <v>270</v>
      </c>
      <c r="AB19" s="546">
        <v>0</v>
      </c>
      <c r="AC19" s="546">
        <v>0</v>
      </c>
      <c r="AD19" s="546">
        <f t="shared" si="6"/>
        <v>270</v>
      </c>
      <c r="AE19" s="942">
        <v>270</v>
      </c>
      <c r="AF19" s="942">
        <v>0</v>
      </c>
      <c r="AG19" s="942">
        <v>0</v>
      </c>
      <c r="AH19" s="942">
        <f t="shared" si="7"/>
        <v>270</v>
      </c>
    </row>
    <row r="20" spans="1:34" x14ac:dyDescent="0.25">
      <c r="A20" s="522"/>
      <c r="B20" s="356" t="s">
        <v>666</v>
      </c>
      <c r="C20" s="546">
        <f>PH!G187</f>
        <v>0</v>
      </c>
      <c r="D20" s="546">
        <f>PH!H187</f>
        <v>0</v>
      </c>
      <c r="E20" s="546">
        <f>PH!I187</f>
        <v>0</v>
      </c>
      <c r="F20" s="546">
        <f t="shared" si="0"/>
        <v>0</v>
      </c>
      <c r="G20" s="546">
        <f>PH!K187</f>
        <v>0</v>
      </c>
      <c r="H20" s="546">
        <f>PH!L187</f>
        <v>0</v>
      </c>
      <c r="I20" s="546">
        <f>PH!M187</f>
        <v>0</v>
      </c>
      <c r="J20" s="546">
        <f t="shared" si="1"/>
        <v>0</v>
      </c>
      <c r="K20" s="546">
        <f>PH!O187</f>
        <v>0</v>
      </c>
      <c r="L20" s="546">
        <f>PH!P187</f>
        <v>0</v>
      </c>
      <c r="M20" s="546">
        <f>PH!Q187</f>
        <v>0</v>
      </c>
      <c r="N20" s="546">
        <f t="shared" si="2"/>
        <v>0</v>
      </c>
      <c r="O20" s="546">
        <f>PH!S187</f>
        <v>0</v>
      </c>
      <c r="P20" s="546">
        <f>PH!T187</f>
        <v>0</v>
      </c>
      <c r="Q20" s="546">
        <f>PH!U187</f>
        <v>0</v>
      </c>
      <c r="R20" s="546">
        <f t="shared" si="3"/>
        <v>0</v>
      </c>
      <c r="S20" s="942">
        <f>PH!W187</f>
        <v>0</v>
      </c>
      <c r="T20" s="942">
        <f>PH!X187</f>
        <v>0</v>
      </c>
      <c r="U20" s="942">
        <f>PH!Y187</f>
        <v>0</v>
      </c>
      <c r="V20" s="942">
        <f t="shared" si="4"/>
        <v>0</v>
      </c>
      <c r="W20" s="546">
        <f>PH!AA187</f>
        <v>0</v>
      </c>
      <c r="X20" s="546">
        <f>PH!AB187</f>
        <v>0</v>
      </c>
      <c r="Y20" s="546">
        <f>PH!AC187</f>
        <v>0</v>
      </c>
      <c r="Z20" s="546">
        <f t="shared" si="5"/>
        <v>0</v>
      </c>
      <c r="AA20" s="546">
        <f>PH!AE187</f>
        <v>0</v>
      </c>
      <c r="AB20" s="546">
        <f>PH!AF187</f>
        <v>0</v>
      </c>
      <c r="AC20" s="546">
        <f>PH!AG187</f>
        <v>0</v>
      </c>
      <c r="AD20" s="546">
        <f t="shared" si="6"/>
        <v>0</v>
      </c>
      <c r="AE20" s="942">
        <f>PH!AI187</f>
        <v>0</v>
      </c>
      <c r="AF20" s="942">
        <f>PH!AJ187</f>
        <v>0</v>
      </c>
      <c r="AG20" s="942">
        <f>PH!AK187</f>
        <v>0</v>
      </c>
      <c r="AH20" s="942">
        <f t="shared" si="7"/>
        <v>0</v>
      </c>
    </row>
    <row r="21" spans="1:34" x14ac:dyDescent="0.25">
      <c r="A21" s="522"/>
      <c r="B21" s="356" t="s">
        <v>667</v>
      </c>
      <c r="C21" s="546">
        <f>PH!G188</f>
        <v>0</v>
      </c>
      <c r="D21" s="546">
        <f>PH!H188</f>
        <v>0</v>
      </c>
      <c r="E21" s="546">
        <f>PH!I188</f>
        <v>0</v>
      </c>
      <c r="F21" s="546">
        <f t="shared" si="0"/>
        <v>0</v>
      </c>
      <c r="G21" s="546">
        <f>PH!K188</f>
        <v>0</v>
      </c>
      <c r="H21" s="546">
        <f>PH!L188</f>
        <v>0</v>
      </c>
      <c r="I21" s="546">
        <f>PH!M188</f>
        <v>0</v>
      </c>
      <c r="J21" s="546">
        <f t="shared" si="1"/>
        <v>0</v>
      </c>
      <c r="K21" s="546">
        <f>PH!O188</f>
        <v>0</v>
      </c>
      <c r="L21" s="546">
        <f>PH!P188</f>
        <v>0</v>
      </c>
      <c r="M21" s="546">
        <f>PH!Q188</f>
        <v>0</v>
      </c>
      <c r="N21" s="546">
        <f t="shared" si="2"/>
        <v>0</v>
      </c>
      <c r="O21" s="546">
        <f>PH!S188</f>
        <v>0</v>
      </c>
      <c r="P21" s="546">
        <f>PH!T188</f>
        <v>0</v>
      </c>
      <c r="Q21" s="546">
        <f>PH!U188</f>
        <v>0</v>
      </c>
      <c r="R21" s="546">
        <f t="shared" si="3"/>
        <v>0</v>
      </c>
      <c r="S21" s="942">
        <f>PH!W188</f>
        <v>0</v>
      </c>
      <c r="T21" s="942">
        <f>PH!X188</f>
        <v>0</v>
      </c>
      <c r="U21" s="942">
        <f>PH!Y188</f>
        <v>0</v>
      </c>
      <c r="V21" s="942">
        <f t="shared" si="4"/>
        <v>0</v>
      </c>
      <c r="W21" s="546">
        <f>PH!AA188</f>
        <v>0</v>
      </c>
      <c r="X21" s="546">
        <f>PH!AB188</f>
        <v>0</v>
      </c>
      <c r="Y21" s="546">
        <f>PH!AC188</f>
        <v>0</v>
      </c>
      <c r="Z21" s="546">
        <f t="shared" si="5"/>
        <v>0</v>
      </c>
      <c r="AA21" s="546">
        <f>PH!AE188</f>
        <v>0</v>
      </c>
      <c r="AB21" s="546">
        <f>PH!AF188</f>
        <v>0</v>
      </c>
      <c r="AC21" s="546">
        <f>PH!AG188</f>
        <v>0</v>
      </c>
      <c r="AD21" s="546">
        <f t="shared" si="6"/>
        <v>0</v>
      </c>
      <c r="AE21" s="942">
        <f>PH!AI188</f>
        <v>0</v>
      </c>
      <c r="AF21" s="942">
        <f>PH!AJ188</f>
        <v>0</v>
      </c>
      <c r="AG21" s="942">
        <f>PH!AK188</f>
        <v>0</v>
      </c>
      <c r="AH21" s="942">
        <f t="shared" si="7"/>
        <v>0</v>
      </c>
    </row>
    <row r="22" spans="1:34" x14ac:dyDescent="0.25">
      <c r="A22" s="522"/>
      <c r="B22" s="356" t="s">
        <v>668</v>
      </c>
      <c r="C22" s="546">
        <f>PH!G190</f>
        <v>0</v>
      </c>
      <c r="D22" s="546">
        <f>PH!H190</f>
        <v>0</v>
      </c>
      <c r="E22" s="546">
        <f>PH!I190</f>
        <v>0</v>
      </c>
      <c r="F22" s="546">
        <f t="shared" si="0"/>
        <v>0</v>
      </c>
      <c r="G22" s="546">
        <f>PH!K190</f>
        <v>0</v>
      </c>
      <c r="H22" s="546">
        <f>PH!L190</f>
        <v>0</v>
      </c>
      <c r="I22" s="546">
        <f>PH!M190</f>
        <v>0</v>
      </c>
      <c r="J22" s="546">
        <f t="shared" si="1"/>
        <v>0</v>
      </c>
      <c r="K22" s="546">
        <f>PH!O190</f>
        <v>0</v>
      </c>
      <c r="L22" s="546">
        <f>PH!P190</f>
        <v>0</v>
      </c>
      <c r="M22" s="546">
        <f>PH!Q190</f>
        <v>0</v>
      </c>
      <c r="N22" s="546">
        <f t="shared" si="2"/>
        <v>0</v>
      </c>
      <c r="O22" s="546">
        <v>180</v>
      </c>
      <c r="P22" s="546">
        <f>PH!T190</f>
        <v>0</v>
      </c>
      <c r="Q22" s="546">
        <f>PH!U190</f>
        <v>0</v>
      </c>
      <c r="R22" s="546">
        <f t="shared" si="3"/>
        <v>180</v>
      </c>
      <c r="S22" s="942">
        <f>PH!W190</f>
        <v>0</v>
      </c>
      <c r="T22" s="942">
        <f>PH!X190</f>
        <v>0</v>
      </c>
      <c r="U22" s="942">
        <f>PH!Y190</f>
        <v>0</v>
      </c>
      <c r="V22" s="942">
        <f t="shared" si="4"/>
        <v>0</v>
      </c>
      <c r="W22" s="546">
        <f>PH!AA190</f>
        <v>0</v>
      </c>
      <c r="X22" s="546">
        <f>PH!AB190</f>
        <v>0</v>
      </c>
      <c r="Y22" s="546">
        <f>PH!AC190</f>
        <v>0</v>
      </c>
      <c r="Z22" s="546">
        <f t="shared" si="5"/>
        <v>0</v>
      </c>
      <c r="AA22" s="546">
        <f>PH!AE190</f>
        <v>0</v>
      </c>
      <c r="AB22" s="546">
        <f>PH!AF190</f>
        <v>0</v>
      </c>
      <c r="AC22" s="546">
        <f>PH!AG190</f>
        <v>0</v>
      </c>
      <c r="AD22" s="546">
        <f t="shared" si="6"/>
        <v>0</v>
      </c>
      <c r="AE22" s="942">
        <f>PH!AI190</f>
        <v>0</v>
      </c>
      <c r="AF22" s="942">
        <f>PH!AJ190</f>
        <v>0</v>
      </c>
      <c r="AG22" s="942">
        <f>PH!AK190</f>
        <v>0</v>
      </c>
      <c r="AH22" s="942">
        <f t="shared" si="7"/>
        <v>0</v>
      </c>
    </row>
    <row r="23" spans="1:34" x14ac:dyDescent="0.25">
      <c r="A23" s="560" t="s">
        <v>315</v>
      </c>
      <c r="B23" s="561" t="s">
        <v>316</v>
      </c>
      <c r="C23" s="562">
        <f t="shared" ref="C23:AG23" si="33">SUM(C24:C24)</f>
        <v>0</v>
      </c>
      <c r="D23" s="562">
        <f t="shared" si="33"/>
        <v>0</v>
      </c>
      <c r="E23" s="562">
        <f t="shared" si="33"/>
        <v>0</v>
      </c>
      <c r="F23" s="562">
        <f t="shared" si="0"/>
        <v>0</v>
      </c>
      <c r="G23" s="562">
        <f t="shared" si="33"/>
        <v>0</v>
      </c>
      <c r="H23" s="562">
        <f t="shared" si="33"/>
        <v>0</v>
      </c>
      <c r="I23" s="562">
        <f t="shared" si="33"/>
        <v>0</v>
      </c>
      <c r="J23" s="562">
        <f t="shared" si="1"/>
        <v>0</v>
      </c>
      <c r="K23" s="562">
        <f t="shared" si="33"/>
        <v>0</v>
      </c>
      <c r="L23" s="562">
        <f t="shared" si="33"/>
        <v>0</v>
      </c>
      <c r="M23" s="562">
        <f t="shared" si="33"/>
        <v>0</v>
      </c>
      <c r="N23" s="562">
        <f t="shared" si="2"/>
        <v>0</v>
      </c>
      <c r="O23" s="562">
        <f t="shared" si="33"/>
        <v>0</v>
      </c>
      <c r="P23" s="562">
        <f t="shared" si="33"/>
        <v>0</v>
      </c>
      <c r="Q23" s="562">
        <f t="shared" si="33"/>
        <v>0</v>
      </c>
      <c r="R23" s="562">
        <f t="shared" si="3"/>
        <v>0</v>
      </c>
      <c r="S23" s="562">
        <f t="shared" si="33"/>
        <v>0</v>
      </c>
      <c r="T23" s="562">
        <f t="shared" si="33"/>
        <v>0</v>
      </c>
      <c r="U23" s="562">
        <f t="shared" si="33"/>
        <v>0</v>
      </c>
      <c r="V23" s="562">
        <f t="shared" si="4"/>
        <v>0</v>
      </c>
      <c r="W23" s="562">
        <f t="shared" si="33"/>
        <v>0</v>
      </c>
      <c r="X23" s="562">
        <f t="shared" si="33"/>
        <v>0</v>
      </c>
      <c r="Y23" s="562">
        <f t="shared" si="33"/>
        <v>0</v>
      </c>
      <c r="Z23" s="562">
        <f t="shared" si="5"/>
        <v>0</v>
      </c>
      <c r="AA23" s="562">
        <f t="shared" si="33"/>
        <v>0</v>
      </c>
      <c r="AB23" s="562">
        <f t="shared" si="33"/>
        <v>0</v>
      </c>
      <c r="AC23" s="562">
        <f t="shared" si="33"/>
        <v>0</v>
      </c>
      <c r="AD23" s="562">
        <f t="shared" si="6"/>
        <v>0</v>
      </c>
      <c r="AE23" s="562">
        <f t="shared" si="33"/>
        <v>0</v>
      </c>
      <c r="AF23" s="562">
        <f t="shared" si="33"/>
        <v>0</v>
      </c>
      <c r="AG23" s="562">
        <f t="shared" si="33"/>
        <v>0</v>
      </c>
      <c r="AH23" s="562">
        <f t="shared" si="7"/>
        <v>0</v>
      </c>
    </row>
    <row r="24" spans="1:34" x14ac:dyDescent="0.25">
      <c r="A24" s="522"/>
      <c r="B24" s="356" t="s">
        <v>317</v>
      </c>
      <c r="C24" s="546">
        <v>0</v>
      </c>
      <c r="D24" s="546">
        <v>0</v>
      </c>
      <c r="E24" s="546">
        <v>0</v>
      </c>
      <c r="F24" s="546">
        <f t="shared" si="0"/>
        <v>0</v>
      </c>
      <c r="G24" s="546">
        <v>0</v>
      </c>
      <c r="H24" s="546">
        <v>0</v>
      </c>
      <c r="I24" s="546">
        <v>0</v>
      </c>
      <c r="J24" s="546">
        <f t="shared" si="1"/>
        <v>0</v>
      </c>
      <c r="K24" s="546">
        <v>0</v>
      </c>
      <c r="L24" s="546">
        <v>0</v>
      </c>
      <c r="M24" s="546">
        <v>0</v>
      </c>
      <c r="N24" s="546">
        <f t="shared" si="2"/>
        <v>0</v>
      </c>
      <c r="O24" s="546">
        <v>0</v>
      </c>
      <c r="P24" s="546">
        <v>0</v>
      </c>
      <c r="Q24" s="546">
        <v>0</v>
      </c>
      <c r="R24" s="546">
        <f t="shared" si="3"/>
        <v>0</v>
      </c>
      <c r="S24" s="942">
        <v>0</v>
      </c>
      <c r="T24" s="942">
        <v>0</v>
      </c>
      <c r="U24" s="942">
        <v>0</v>
      </c>
      <c r="V24" s="942">
        <f t="shared" si="4"/>
        <v>0</v>
      </c>
      <c r="W24" s="546">
        <v>0</v>
      </c>
      <c r="X24" s="546">
        <v>0</v>
      </c>
      <c r="Y24" s="546">
        <v>0</v>
      </c>
      <c r="Z24" s="546">
        <f t="shared" si="5"/>
        <v>0</v>
      </c>
      <c r="AA24" s="546">
        <v>0</v>
      </c>
      <c r="AB24" s="546">
        <v>0</v>
      </c>
      <c r="AC24" s="546">
        <v>0</v>
      </c>
      <c r="AD24" s="546">
        <f t="shared" si="6"/>
        <v>0</v>
      </c>
      <c r="AE24" s="942">
        <v>0</v>
      </c>
      <c r="AF24" s="942">
        <v>0</v>
      </c>
      <c r="AG24" s="942">
        <v>0</v>
      </c>
      <c r="AH24" s="942">
        <f t="shared" si="7"/>
        <v>0</v>
      </c>
    </row>
    <row r="25" spans="1:34" x14ac:dyDescent="0.25">
      <c r="A25" s="557" t="s">
        <v>318</v>
      </c>
      <c r="B25" s="558" t="s">
        <v>319</v>
      </c>
      <c r="C25" s="559">
        <f t="shared" ref="C25:E25" si="34">C26+C28+C31</f>
        <v>0</v>
      </c>
      <c r="D25" s="559">
        <f t="shared" si="34"/>
        <v>0</v>
      </c>
      <c r="E25" s="559">
        <f t="shared" si="34"/>
        <v>0</v>
      </c>
      <c r="F25" s="559">
        <f t="shared" si="0"/>
        <v>0</v>
      </c>
      <c r="G25" s="559">
        <f t="shared" ref="G25:I25" si="35">G26+G28+G31</f>
        <v>0</v>
      </c>
      <c r="H25" s="559">
        <f t="shared" si="35"/>
        <v>0</v>
      </c>
      <c r="I25" s="559">
        <f t="shared" si="35"/>
        <v>0</v>
      </c>
      <c r="J25" s="559">
        <f t="shared" si="1"/>
        <v>0</v>
      </c>
      <c r="K25" s="559">
        <f t="shared" ref="K25:M25" si="36">K26+K28+K31</f>
        <v>0</v>
      </c>
      <c r="L25" s="559">
        <f t="shared" si="36"/>
        <v>0</v>
      </c>
      <c r="M25" s="559">
        <f t="shared" si="36"/>
        <v>0</v>
      </c>
      <c r="N25" s="559">
        <f t="shared" si="2"/>
        <v>0</v>
      </c>
      <c r="O25" s="559">
        <f t="shared" ref="O25:Q25" si="37">O26+O28+O31</f>
        <v>0</v>
      </c>
      <c r="P25" s="559">
        <f t="shared" si="37"/>
        <v>0</v>
      </c>
      <c r="Q25" s="559">
        <f t="shared" si="37"/>
        <v>0</v>
      </c>
      <c r="R25" s="559">
        <f t="shared" si="3"/>
        <v>0</v>
      </c>
      <c r="S25" s="559">
        <f t="shared" ref="S25:U25" si="38">S26+S28+S31</f>
        <v>0</v>
      </c>
      <c r="T25" s="559">
        <f t="shared" si="38"/>
        <v>0</v>
      </c>
      <c r="U25" s="559">
        <f t="shared" si="38"/>
        <v>0</v>
      </c>
      <c r="V25" s="559">
        <f t="shared" si="4"/>
        <v>0</v>
      </c>
      <c r="W25" s="559">
        <f t="shared" ref="W25:Y25" si="39">W26+W28+W31</f>
        <v>0</v>
      </c>
      <c r="X25" s="559">
        <f t="shared" si="39"/>
        <v>0</v>
      </c>
      <c r="Y25" s="559">
        <f t="shared" si="39"/>
        <v>0</v>
      </c>
      <c r="Z25" s="559">
        <f t="shared" si="5"/>
        <v>0</v>
      </c>
      <c r="AA25" s="559">
        <f t="shared" ref="AA25:AC25" si="40">AA26+AA28+AA31</f>
        <v>0</v>
      </c>
      <c r="AB25" s="559">
        <f t="shared" si="40"/>
        <v>0</v>
      </c>
      <c r="AC25" s="559">
        <f t="shared" si="40"/>
        <v>0</v>
      </c>
      <c r="AD25" s="559">
        <f t="shared" si="6"/>
        <v>0</v>
      </c>
      <c r="AE25" s="559">
        <f t="shared" ref="AE25:AG25" si="41">AE26+AE28+AE31</f>
        <v>0</v>
      </c>
      <c r="AF25" s="559">
        <f t="shared" si="41"/>
        <v>0</v>
      </c>
      <c r="AG25" s="559">
        <f t="shared" si="41"/>
        <v>0</v>
      </c>
      <c r="AH25" s="559">
        <f t="shared" si="7"/>
        <v>0</v>
      </c>
    </row>
    <row r="26" spans="1:34" ht="30" x14ac:dyDescent="0.25">
      <c r="A26" s="560" t="s">
        <v>311</v>
      </c>
      <c r="B26" s="561" t="s">
        <v>320</v>
      </c>
      <c r="C26" s="562">
        <f t="shared" ref="C26:AG26" si="42">SUM(C27:C27)</f>
        <v>0</v>
      </c>
      <c r="D26" s="562">
        <f t="shared" si="42"/>
        <v>0</v>
      </c>
      <c r="E26" s="562">
        <f t="shared" si="42"/>
        <v>0</v>
      </c>
      <c r="F26" s="562">
        <f t="shared" si="0"/>
        <v>0</v>
      </c>
      <c r="G26" s="562">
        <f t="shared" si="42"/>
        <v>0</v>
      </c>
      <c r="H26" s="562">
        <f t="shared" si="42"/>
        <v>0</v>
      </c>
      <c r="I26" s="562">
        <f t="shared" si="42"/>
        <v>0</v>
      </c>
      <c r="J26" s="562">
        <f t="shared" si="1"/>
        <v>0</v>
      </c>
      <c r="K26" s="562">
        <f t="shared" si="42"/>
        <v>0</v>
      </c>
      <c r="L26" s="562">
        <f t="shared" si="42"/>
        <v>0</v>
      </c>
      <c r="M26" s="562">
        <f t="shared" si="42"/>
        <v>0</v>
      </c>
      <c r="N26" s="562">
        <f t="shared" si="2"/>
        <v>0</v>
      </c>
      <c r="O26" s="562">
        <f t="shared" si="42"/>
        <v>0</v>
      </c>
      <c r="P26" s="562">
        <f t="shared" si="42"/>
        <v>0</v>
      </c>
      <c r="Q26" s="562">
        <f t="shared" si="42"/>
        <v>0</v>
      </c>
      <c r="R26" s="562">
        <f t="shared" si="3"/>
        <v>0</v>
      </c>
      <c r="S26" s="562">
        <f t="shared" si="42"/>
        <v>0</v>
      </c>
      <c r="T26" s="562">
        <f t="shared" si="42"/>
        <v>0</v>
      </c>
      <c r="U26" s="562">
        <f t="shared" si="42"/>
        <v>0</v>
      </c>
      <c r="V26" s="562">
        <f t="shared" si="4"/>
        <v>0</v>
      </c>
      <c r="W26" s="562">
        <f t="shared" si="42"/>
        <v>0</v>
      </c>
      <c r="X26" s="562">
        <f t="shared" si="42"/>
        <v>0</v>
      </c>
      <c r="Y26" s="562">
        <f t="shared" si="42"/>
        <v>0</v>
      </c>
      <c r="Z26" s="562">
        <f t="shared" si="5"/>
        <v>0</v>
      </c>
      <c r="AA26" s="562">
        <f t="shared" si="42"/>
        <v>0</v>
      </c>
      <c r="AB26" s="562">
        <f t="shared" si="42"/>
        <v>0</v>
      </c>
      <c r="AC26" s="562">
        <f t="shared" si="42"/>
        <v>0</v>
      </c>
      <c r="AD26" s="562">
        <f t="shared" si="6"/>
        <v>0</v>
      </c>
      <c r="AE26" s="562">
        <f t="shared" si="42"/>
        <v>0</v>
      </c>
      <c r="AF26" s="562">
        <f t="shared" si="42"/>
        <v>0</v>
      </c>
      <c r="AG26" s="562">
        <f t="shared" si="42"/>
        <v>0</v>
      </c>
      <c r="AH26" s="562">
        <f t="shared" si="7"/>
        <v>0</v>
      </c>
    </row>
    <row r="27" spans="1:34" ht="30" x14ac:dyDescent="0.25">
      <c r="A27" s="522"/>
      <c r="B27" s="272" t="s">
        <v>321</v>
      </c>
      <c r="C27" s="546">
        <v>0</v>
      </c>
      <c r="D27" s="546">
        <v>0</v>
      </c>
      <c r="E27" s="546">
        <v>0</v>
      </c>
      <c r="F27" s="546">
        <f t="shared" si="0"/>
        <v>0</v>
      </c>
      <c r="G27" s="546">
        <v>0</v>
      </c>
      <c r="H27" s="546">
        <v>0</v>
      </c>
      <c r="I27" s="546">
        <v>0</v>
      </c>
      <c r="J27" s="546">
        <f t="shared" si="1"/>
        <v>0</v>
      </c>
      <c r="K27" s="546">
        <v>0</v>
      </c>
      <c r="L27" s="546">
        <v>0</v>
      </c>
      <c r="M27" s="546">
        <v>0</v>
      </c>
      <c r="N27" s="546">
        <f t="shared" si="2"/>
        <v>0</v>
      </c>
      <c r="O27" s="546">
        <v>0</v>
      </c>
      <c r="P27" s="546">
        <v>0</v>
      </c>
      <c r="Q27" s="546">
        <v>0</v>
      </c>
      <c r="R27" s="546">
        <f t="shared" si="3"/>
        <v>0</v>
      </c>
      <c r="S27" s="942">
        <v>0</v>
      </c>
      <c r="T27" s="942">
        <v>0</v>
      </c>
      <c r="U27" s="942">
        <v>0</v>
      </c>
      <c r="V27" s="942">
        <f t="shared" si="4"/>
        <v>0</v>
      </c>
      <c r="W27" s="546">
        <v>0</v>
      </c>
      <c r="X27" s="546">
        <v>0</v>
      </c>
      <c r="Y27" s="546">
        <v>0</v>
      </c>
      <c r="Z27" s="546">
        <f t="shared" si="5"/>
        <v>0</v>
      </c>
      <c r="AA27" s="546">
        <v>0</v>
      </c>
      <c r="AB27" s="546">
        <v>0</v>
      </c>
      <c r="AC27" s="546">
        <v>0</v>
      </c>
      <c r="AD27" s="546">
        <f t="shared" si="6"/>
        <v>0</v>
      </c>
      <c r="AE27" s="942">
        <v>0</v>
      </c>
      <c r="AF27" s="942">
        <v>0</v>
      </c>
      <c r="AG27" s="942">
        <v>0</v>
      </c>
      <c r="AH27" s="942">
        <f t="shared" si="7"/>
        <v>0</v>
      </c>
    </row>
    <row r="28" spans="1:34" x14ac:dyDescent="0.25">
      <c r="A28" s="560" t="s">
        <v>322</v>
      </c>
      <c r="B28" s="561" t="s">
        <v>257</v>
      </c>
      <c r="C28" s="562">
        <f t="shared" ref="C28:E28" si="43">SUM(C29:C30)</f>
        <v>0</v>
      </c>
      <c r="D28" s="562">
        <f t="shared" si="43"/>
        <v>0</v>
      </c>
      <c r="E28" s="562">
        <f t="shared" si="43"/>
        <v>0</v>
      </c>
      <c r="F28" s="562">
        <f t="shared" si="0"/>
        <v>0</v>
      </c>
      <c r="G28" s="562">
        <f t="shared" ref="G28:I28" si="44">SUM(G29:G30)</f>
        <v>0</v>
      </c>
      <c r="H28" s="562">
        <f t="shared" si="44"/>
        <v>0</v>
      </c>
      <c r="I28" s="562">
        <f t="shared" si="44"/>
        <v>0</v>
      </c>
      <c r="J28" s="562">
        <f t="shared" si="1"/>
        <v>0</v>
      </c>
      <c r="K28" s="562">
        <f t="shared" ref="K28:M28" si="45">SUM(K29:K30)</f>
        <v>0</v>
      </c>
      <c r="L28" s="562">
        <f t="shared" si="45"/>
        <v>0</v>
      </c>
      <c r="M28" s="562">
        <f t="shared" si="45"/>
        <v>0</v>
      </c>
      <c r="N28" s="562">
        <f t="shared" si="2"/>
        <v>0</v>
      </c>
      <c r="O28" s="562">
        <f t="shared" ref="O28:Q28" si="46">SUM(O29:O30)</f>
        <v>0</v>
      </c>
      <c r="P28" s="562">
        <f t="shared" si="46"/>
        <v>0</v>
      </c>
      <c r="Q28" s="562">
        <f t="shared" si="46"/>
        <v>0</v>
      </c>
      <c r="R28" s="562">
        <f t="shared" si="3"/>
        <v>0</v>
      </c>
      <c r="S28" s="562">
        <f t="shared" ref="S28:U28" si="47">SUM(S29:S30)</f>
        <v>0</v>
      </c>
      <c r="T28" s="562">
        <f t="shared" si="47"/>
        <v>0</v>
      </c>
      <c r="U28" s="562">
        <f t="shared" si="47"/>
        <v>0</v>
      </c>
      <c r="V28" s="562">
        <f t="shared" si="4"/>
        <v>0</v>
      </c>
      <c r="W28" s="562">
        <f t="shared" ref="W28:Y28" si="48">SUM(W29:W30)</f>
        <v>0</v>
      </c>
      <c r="X28" s="562">
        <f t="shared" si="48"/>
        <v>0</v>
      </c>
      <c r="Y28" s="562">
        <f t="shared" si="48"/>
        <v>0</v>
      </c>
      <c r="Z28" s="562">
        <f t="shared" si="5"/>
        <v>0</v>
      </c>
      <c r="AA28" s="562">
        <f t="shared" ref="AA28:AC28" si="49">SUM(AA29:AA30)</f>
        <v>0</v>
      </c>
      <c r="AB28" s="562">
        <f t="shared" si="49"/>
        <v>0</v>
      </c>
      <c r="AC28" s="562">
        <f t="shared" si="49"/>
        <v>0</v>
      </c>
      <c r="AD28" s="562">
        <f t="shared" si="6"/>
        <v>0</v>
      </c>
      <c r="AE28" s="562">
        <f t="shared" ref="AE28:AG28" si="50">SUM(AE29:AE30)</f>
        <v>0</v>
      </c>
      <c r="AF28" s="562">
        <f t="shared" si="50"/>
        <v>0</v>
      </c>
      <c r="AG28" s="562">
        <f t="shared" si="50"/>
        <v>0</v>
      </c>
      <c r="AH28" s="562">
        <f t="shared" si="7"/>
        <v>0</v>
      </c>
    </row>
    <row r="29" spans="1:34" x14ac:dyDescent="0.25">
      <c r="A29" s="522"/>
      <c r="B29" s="272" t="s">
        <v>323</v>
      </c>
      <c r="C29" s="546">
        <v>0</v>
      </c>
      <c r="D29" s="546">
        <v>0</v>
      </c>
      <c r="E29" s="546">
        <v>0</v>
      </c>
      <c r="F29" s="546">
        <f t="shared" si="0"/>
        <v>0</v>
      </c>
      <c r="G29" s="546">
        <v>0</v>
      </c>
      <c r="H29" s="546">
        <v>0</v>
      </c>
      <c r="I29" s="546">
        <v>0</v>
      </c>
      <c r="J29" s="546">
        <f t="shared" si="1"/>
        <v>0</v>
      </c>
      <c r="K29" s="546">
        <v>0</v>
      </c>
      <c r="L29" s="546">
        <v>0</v>
      </c>
      <c r="M29" s="546">
        <v>0</v>
      </c>
      <c r="N29" s="546">
        <f t="shared" si="2"/>
        <v>0</v>
      </c>
      <c r="O29" s="546">
        <v>0</v>
      </c>
      <c r="P29" s="546">
        <v>0</v>
      </c>
      <c r="Q29" s="546">
        <v>0</v>
      </c>
      <c r="R29" s="546">
        <f t="shared" si="3"/>
        <v>0</v>
      </c>
      <c r="S29" s="942">
        <v>0</v>
      </c>
      <c r="T29" s="942">
        <v>0</v>
      </c>
      <c r="U29" s="942">
        <v>0</v>
      </c>
      <c r="V29" s="942">
        <f t="shared" si="4"/>
        <v>0</v>
      </c>
      <c r="W29" s="546">
        <v>0</v>
      </c>
      <c r="X29" s="546">
        <v>0</v>
      </c>
      <c r="Y29" s="546">
        <v>0</v>
      </c>
      <c r="Z29" s="546">
        <f t="shared" si="5"/>
        <v>0</v>
      </c>
      <c r="AA29" s="546">
        <v>0</v>
      </c>
      <c r="AB29" s="546">
        <v>0</v>
      </c>
      <c r="AC29" s="546">
        <v>0</v>
      </c>
      <c r="AD29" s="546">
        <f t="shared" si="6"/>
        <v>0</v>
      </c>
      <c r="AE29" s="942">
        <v>0</v>
      </c>
      <c r="AF29" s="942">
        <v>0</v>
      </c>
      <c r="AG29" s="942">
        <v>0</v>
      </c>
      <c r="AH29" s="942">
        <f t="shared" si="7"/>
        <v>0</v>
      </c>
    </row>
    <row r="30" spans="1:34" x14ac:dyDescent="0.25">
      <c r="A30" s="522"/>
      <c r="B30" s="272" t="s">
        <v>324</v>
      </c>
      <c r="C30" s="546">
        <v>0</v>
      </c>
      <c r="D30" s="546">
        <v>0</v>
      </c>
      <c r="E30" s="546">
        <v>0</v>
      </c>
      <c r="F30" s="546">
        <f t="shared" si="0"/>
        <v>0</v>
      </c>
      <c r="G30" s="546">
        <v>0</v>
      </c>
      <c r="H30" s="546">
        <v>0</v>
      </c>
      <c r="I30" s="546">
        <v>0</v>
      </c>
      <c r="J30" s="546">
        <f t="shared" si="1"/>
        <v>0</v>
      </c>
      <c r="K30" s="546">
        <v>0</v>
      </c>
      <c r="L30" s="546">
        <v>0</v>
      </c>
      <c r="M30" s="546">
        <v>0</v>
      </c>
      <c r="N30" s="546">
        <f t="shared" si="2"/>
        <v>0</v>
      </c>
      <c r="O30" s="546">
        <v>0</v>
      </c>
      <c r="P30" s="546">
        <v>0</v>
      </c>
      <c r="Q30" s="546">
        <v>0</v>
      </c>
      <c r="R30" s="546">
        <f t="shared" si="3"/>
        <v>0</v>
      </c>
      <c r="S30" s="942">
        <v>0</v>
      </c>
      <c r="T30" s="942">
        <v>0</v>
      </c>
      <c r="U30" s="942">
        <v>0</v>
      </c>
      <c r="V30" s="942">
        <f t="shared" si="4"/>
        <v>0</v>
      </c>
      <c r="W30" s="546">
        <v>0</v>
      </c>
      <c r="X30" s="546">
        <v>0</v>
      </c>
      <c r="Y30" s="546">
        <v>0</v>
      </c>
      <c r="Z30" s="546">
        <f t="shared" si="5"/>
        <v>0</v>
      </c>
      <c r="AA30" s="546">
        <v>0</v>
      </c>
      <c r="AB30" s="546">
        <v>0</v>
      </c>
      <c r="AC30" s="546">
        <v>0</v>
      </c>
      <c r="AD30" s="546">
        <f t="shared" si="6"/>
        <v>0</v>
      </c>
      <c r="AE30" s="942">
        <v>0</v>
      </c>
      <c r="AF30" s="942">
        <v>0</v>
      </c>
      <c r="AG30" s="942">
        <v>0</v>
      </c>
      <c r="AH30" s="942">
        <f t="shared" si="7"/>
        <v>0</v>
      </c>
    </row>
    <row r="31" spans="1:34" x14ac:dyDescent="0.25">
      <c r="A31" s="560" t="s">
        <v>315</v>
      </c>
      <c r="B31" s="561" t="s">
        <v>325</v>
      </c>
      <c r="C31" s="562">
        <f t="shared" ref="C31:AG31" si="51">SUM(C32:C32)</f>
        <v>0</v>
      </c>
      <c r="D31" s="562">
        <f t="shared" si="51"/>
        <v>0</v>
      </c>
      <c r="E31" s="562">
        <f t="shared" si="51"/>
        <v>0</v>
      </c>
      <c r="F31" s="562">
        <f t="shared" si="0"/>
        <v>0</v>
      </c>
      <c r="G31" s="562">
        <f t="shared" si="51"/>
        <v>0</v>
      </c>
      <c r="H31" s="562">
        <f t="shared" si="51"/>
        <v>0</v>
      </c>
      <c r="I31" s="562">
        <f t="shared" si="51"/>
        <v>0</v>
      </c>
      <c r="J31" s="562">
        <f t="shared" si="1"/>
        <v>0</v>
      </c>
      <c r="K31" s="562">
        <f t="shared" si="51"/>
        <v>0</v>
      </c>
      <c r="L31" s="562">
        <f t="shared" si="51"/>
        <v>0</v>
      </c>
      <c r="M31" s="562">
        <f t="shared" si="51"/>
        <v>0</v>
      </c>
      <c r="N31" s="562">
        <f t="shared" si="2"/>
        <v>0</v>
      </c>
      <c r="O31" s="562">
        <f t="shared" si="51"/>
        <v>0</v>
      </c>
      <c r="P31" s="562">
        <f t="shared" si="51"/>
        <v>0</v>
      </c>
      <c r="Q31" s="562">
        <f t="shared" si="51"/>
        <v>0</v>
      </c>
      <c r="R31" s="562">
        <f t="shared" si="3"/>
        <v>0</v>
      </c>
      <c r="S31" s="562">
        <f t="shared" si="51"/>
        <v>0</v>
      </c>
      <c r="T31" s="562">
        <f t="shared" si="51"/>
        <v>0</v>
      </c>
      <c r="U31" s="562">
        <f t="shared" si="51"/>
        <v>0</v>
      </c>
      <c r="V31" s="562">
        <f t="shared" si="4"/>
        <v>0</v>
      </c>
      <c r="W31" s="562">
        <f t="shared" si="51"/>
        <v>0</v>
      </c>
      <c r="X31" s="562">
        <f t="shared" si="51"/>
        <v>0</v>
      </c>
      <c r="Y31" s="562">
        <f t="shared" si="51"/>
        <v>0</v>
      </c>
      <c r="Z31" s="562">
        <f t="shared" si="5"/>
        <v>0</v>
      </c>
      <c r="AA31" s="562">
        <f t="shared" si="51"/>
        <v>0</v>
      </c>
      <c r="AB31" s="562">
        <f t="shared" si="51"/>
        <v>0</v>
      </c>
      <c r="AC31" s="562">
        <f t="shared" si="51"/>
        <v>0</v>
      </c>
      <c r="AD31" s="562">
        <f t="shared" si="6"/>
        <v>0</v>
      </c>
      <c r="AE31" s="562">
        <f t="shared" si="51"/>
        <v>0</v>
      </c>
      <c r="AF31" s="562">
        <f t="shared" si="51"/>
        <v>0</v>
      </c>
      <c r="AG31" s="562">
        <f t="shared" si="51"/>
        <v>0</v>
      </c>
      <c r="AH31" s="562">
        <f t="shared" si="7"/>
        <v>0</v>
      </c>
    </row>
    <row r="32" spans="1:34" x14ac:dyDescent="0.25">
      <c r="A32" s="522"/>
      <c r="B32" s="272" t="s">
        <v>326</v>
      </c>
      <c r="C32" s="546">
        <v>0</v>
      </c>
      <c r="D32" s="546">
        <v>0</v>
      </c>
      <c r="E32" s="546">
        <v>0</v>
      </c>
      <c r="F32" s="546">
        <f t="shared" si="0"/>
        <v>0</v>
      </c>
      <c r="G32" s="546">
        <v>0</v>
      </c>
      <c r="H32" s="546">
        <v>0</v>
      </c>
      <c r="I32" s="546">
        <v>0</v>
      </c>
      <c r="J32" s="546">
        <f t="shared" si="1"/>
        <v>0</v>
      </c>
      <c r="K32" s="546">
        <v>0</v>
      </c>
      <c r="L32" s="546">
        <v>0</v>
      </c>
      <c r="M32" s="546">
        <v>0</v>
      </c>
      <c r="N32" s="546">
        <f t="shared" si="2"/>
        <v>0</v>
      </c>
      <c r="O32" s="546">
        <v>0</v>
      </c>
      <c r="P32" s="546">
        <v>0</v>
      </c>
      <c r="Q32" s="546">
        <v>0</v>
      </c>
      <c r="R32" s="546">
        <f t="shared" si="3"/>
        <v>0</v>
      </c>
      <c r="S32" s="942">
        <v>0</v>
      </c>
      <c r="T32" s="942">
        <v>0</v>
      </c>
      <c r="U32" s="942">
        <v>0</v>
      </c>
      <c r="V32" s="942">
        <f t="shared" si="4"/>
        <v>0</v>
      </c>
      <c r="W32" s="546">
        <v>0</v>
      </c>
      <c r="X32" s="546">
        <v>0</v>
      </c>
      <c r="Y32" s="546">
        <v>0</v>
      </c>
      <c r="Z32" s="546">
        <f t="shared" si="5"/>
        <v>0</v>
      </c>
      <c r="AA32" s="546">
        <v>0</v>
      </c>
      <c r="AB32" s="546">
        <v>0</v>
      </c>
      <c r="AC32" s="546">
        <v>0</v>
      </c>
      <c r="AD32" s="546">
        <f t="shared" si="6"/>
        <v>0</v>
      </c>
      <c r="AE32" s="942">
        <v>0</v>
      </c>
      <c r="AF32" s="942">
        <v>0</v>
      </c>
      <c r="AG32" s="942">
        <v>0</v>
      </c>
      <c r="AH32" s="942">
        <f t="shared" si="7"/>
        <v>0</v>
      </c>
    </row>
    <row r="33" spans="1:34" x14ac:dyDescent="0.25">
      <c r="A33" s="521"/>
      <c r="B33" s="563" t="s">
        <v>327</v>
      </c>
      <c r="C33" s="360">
        <f t="shared" ref="C33:E33" si="52">C25+C8</f>
        <v>2270</v>
      </c>
      <c r="D33" s="360">
        <f t="shared" si="52"/>
        <v>0</v>
      </c>
      <c r="E33" s="360">
        <f t="shared" si="52"/>
        <v>0</v>
      </c>
      <c r="F33" s="360">
        <f t="shared" si="0"/>
        <v>2270</v>
      </c>
      <c r="G33" s="360">
        <f t="shared" ref="G33:I33" si="53">G25+G8</f>
        <v>6276</v>
      </c>
      <c r="H33" s="360">
        <f t="shared" si="53"/>
        <v>0</v>
      </c>
      <c r="I33" s="360">
        <f t="shared" si="53"/>
        <v>0</v>
      </c>
      <c r="J33" s="360">
        <f t="shared" si="1"/>
        <v>6276</v>
      </c>
      <c r="K33" s="360">
        <f t="shared" ref="K33:M33" si="54">K25+K8</f>
        <v>2270</v>
      </c>
      <c r="L33" s="360">
        <f t="shared" si="54"/>
        <v>0</v>
      </c>
      <c r="M33" s="360">
        <f t="shared" si="54"/>
        <v>0</v>
      </c>
      <c r="N33" s="360">
        <f t="shared" si="2"/>
        <v>2270</v>
      </c>
      <c r="O33" s="360">
        <f t="shared" ref="O33:Q33" si="55">O25+O8</f>
        <v>6486</v>
      </c>
      <c r="P33" s="360">
        <f t="shared" si="55"/>
        <v>0</v>
      </c>
      <c r="Q33" s="360">
        <f t="shared" si="55"/>
        <v>0</v>
      </c>
      <c r="R33" s="360">
        <f t="shared" si="3"/>
        <v>6486</v>
      </c>
      <c r="S33" s="360">
        <f t="shared" ref="S33:U33" si="56">S25+S8</f>
        <v>2270</v>
      </c>
      <c r="T33" s="360">
        <f t="shared" si="56"/>
        <v>0</v>
      </c>
      <c r="U33" s="360">
        <f t="shared" si="56"/>
        <v>0</v>
      </c>
      <c r="V33" s="360">
        <f t="shared" si="4"/>
        <v>2270</v>
      </c>
      <c r="W33" s="360">
        <f t="shared" ref="W33:Y33" si="57">W25+W8</f>
        <v>6131</v>
      </c>
      <c r="X33" s="360">
        <f t="shared" si="57"/>
        <v>0</v>
      </c>
      <c r="Y33" s="360">
        <f t="shared" si="57"/>
        <v>0</v>
      </c>
      <c r="Z33" s="360">
        <f t="shared" si="5"/>
        <v>6131</v>
      </c>
      <c r="AA33" s="360">
        <f t="shared" ref="AA33:AC33" si="58">AA25+AA8</f>
        <v>6131</v>
      </c>
      <c r="AB33" s="360">
        <f t="shared" si="58"/>
        <v>0</v>
      </c>
      <c r="AC33" s="360">
        <f t="shared" si="58"/>
        <v>0</v>
      </c>
      <c r="AD33" s="360">
        <f t="shared" si="6"/>
        <v>6131</v>
      </c>
      <c r="AE33" s="360">
        <f t="shared" ref="AE33:AG33" si="59">AE25+AE8</f>
        <v>10677</v>
      </c>
      <c r="AF33" s="360">
        <f t="shared" si="59"/>
        <v>0</v>
      </c>
      <c r="AG33" s="360">
        <f t="shared" si="59"/>
        <v>0</v>
      </c>
      <c r="AH33" s="360">
        <f t="shared" si="7"/>
        <v>10677</v>
      </c>
    </row>
    <row r="34" spans="1:34" x14ac:dyDescent="0.25">
      <c r="A34" s="557" t="s">
        <v>328</v>
      </c>
      <c r="B34" s="558" t="s">
        <v>329</v>
      </c>
      <c r="C34" s="559">
        <f t="shared" ref="C34:AG34" si="60">C35</f>
        <v>690316</v>
      </c>
      <c r="D34" s="559">
        <f t="shared" si="60"/>
        <v>29094</v>
      </c>
      <c r="E34" s="559">
        <f t="shared" si="60"/>
        <v>4290</v>
      </c>
      <c r="F34" s="559">
        <f t="shared" si="0"/>
        <v>723700</v>
      </c>
      <c r="G34" s="559">
        <f t="shared" si="60"/>
        <v>727154</v>
      </c>
      <c r="H34" s="559">
        <f t="shared" si="60"/>
        <v>29094</v>
      </c>
      <c r="I34" s="559">
        <f t="shared" si="60"/>
        <v>4290</v>
      </c>
      <c r="J34" s="559">
        <f t="shared" si="1"/>
        <v>760538</v>
      </c>
      <c r="K34" s="559">
        <f t="shared" si="60"/>
        <v>731160</v>
      </c>
      <c r="L34" s="559">
        <f t="shared" si="60"/>
        <v>29094</v>
      </c>
      <c r="M34" s="559">
        <f t="shared" si="60"/>
        <v>4290</v>
      </c>
      <c r="N34" s="559">
        <f t="shared" si="2"/>
        <v>764544</v>
      </c>
      <c r="O34" s="559">
        <f t="shared" si="60"/>
        <v>685715</v>
      </c>
      <c r="P34" s="559">
        <f t="shared" si="60"/>
        <v>0</v>
      </c>
      <c r="Q34" s="559">
        <f t="shared" si="60"/>
        <v>0</v>
      </c>
      <c r="R34" s="559">
        <f t="shared" si="3"/>
        <v>685715</v>
      </c>
      <c r="S34" s="559">
        <f t="shared" si="60"/>
        <v>727953</v>
      </c>
      <c r="T34" s="559">
        <f t="shared" si="60"/>
        <v>29435</v>
      </c>
      <c r="U34" s="559">
        <f t="shared" si="60"/>
        <v>3277</v>
      </c>
      <c r="V34" s="559">
        <f t="shared" si="4"/>
        <v>760665</v>
      </c>
      <c r="W34" s="559">
        <f t="shared" si="60"/>
        <v>795318</v>
      </c>
      <c r="X34" s="559">
        <f t="shared" si="60"/>
        <v>29435</v>
      </c>
      <c r="Y34" s="559">
        <f t="shared" si="60"/>
        <v>3277</v>
      </c>
      <c r="Z34" s="559">
        <f t="shared" si="5"/>
        <v>828030</v>
      </c>
      <c r="AA34" s="559">
        <f t="shared" si="60"/>
        <v>795261</v>
      </c>
      <c r="AB34" s="559">
        <f t="shared" si="60"/>
        <v>29492</v>
      </c>
      <c r="AC34" s="559">
        <f t="shared" si="60"/>
        <v>3277</v>
      </c>
      <c r="AD34" s="559">
        <f t="shared" si="6"/>
        <v>828030</v>
      </c>
      <c r="AE34" s="559">
        <f t="shared" si="60"/>
        <v>800676</v>
      </c>
      <c r="AF34" s="559">
        <f t="shared" si="60"/>
        <v>29492</v>
      </c>
      <c r="AG34" s="559">
        <f t="shared" si="60"/>
        <v>3277</v>
      </c>
      <c r="AH34" s="559">
        <f t="shared" si="7"/>
        <v>833445</v>
      </c>
    </row>
    <row r="35" spans="1:34" x14ac:dyDescent="0.25">
      <c r="A35" s="560" t="s">
        <v>311</v>
      </c>
      <c r="B35" s="561" t="s">
        <v>330</v>
      </c>
      <c r="C35" s="562">
        <f t="shared" ref="C35:E35" si="61">SUM(C36:C37)</f>
        <v>690316</v>
      </c>
      <c r="D35" s="562">
        <f t="shared" si="61"/>
        <v>29094</v>
      </c>
      <c r="E35" s="562">
        <f t="shared" si="61"/>
        <v>4290</v>
      </c>
      <c r="F35" s="562">
        <f t="shared" si="0"/>
        <v>723700</v>
      </c>
      <c r="G35" s="562">
        <f t="shared" ref="G35:I35" si="62">SUM(G36:G37)</f>
        <v>727154</v>
      </c>
      <c r="H35" s="562">
        <f t="shared" si="62"/>
        <v>29094</v>
      </c>
      <c r="I35" s="562">
        <f t="shared" si="62"/>
        <v>4290</v>
      </c>
      <c r="J35" s="562">
        <f t="shared" si="1"/>
        <v>760538</v>
      </c>
      <c r="K35" s="562">
        <f t="shared" ref="K35:M35" si="63">SUM(K36:K37)</f>
        <v>731160</v>
      </c>
      <c r="L35" s="562">
        <f t="shared" si="63"/>
        <v>29094</v>
      </c>
      <c r="M35" s="562">
        <f t="shared" si="63"/>
        <v>4290</v>
      </c>
      <c r="N35" s="562">
        <f t="shared" si="2"/>
        <v>764544</v>
      </c>
      <c r="O35" s="562">
        <f t="shared" ref="O35:Q35" si="64">SUM(O36:O37)</f>
        <v>685715</v>
      </c>
      <c r="P35" s="562">
        <f t="shared" si="64"/>
        <v>0</v>
      </c>
      <c r="Q35" s="562">
        <f t="shared" si="64"/>
        <v>0</v>
      </c>
      <c r="R35" s="562">
        <f t="shared" si="3"/>
        <v>685715</v>
      </c>
      <c r="S35" s="562">
        <f t="shared" ref="S35:U35" si="65">SUM(S36:S37)</f>
        <v>727953</v>
      </c>
      <c r="T35" s="562">
        <f t="shared" si="65"/>
        <v>29435</v>
      </c>
      <c r="U35" s="562">
        <f t="shared" si="65"/>
        <v>3277</v>
      </c>
      <c r="V35" s="562">
        <f t="shared" si="4"/>
        <v>760665</v>
      </c>
      <c r="W35" s="562">
        <f t="shared" ref="W35:Y35" si="66">SUM(W36:W37)</f>
        <v>795318</v>
      </c>
      <c r="X35" s="562">
        <f t="shared" si="66"/>
        <v>29435</v>
      </c>
      <c r="Y35" s="562">
        <f t="shared" si="66"/>
        <v>3277</v>
      </c>
      <c r="Z35" s="562">
        <f t="shared" si="5"/>
        <v>828030</v>
      </c>
      <c r="AA35" s="562">
        <f t="shared" ref="AA35:AC35" si="67">SUM(AA36:AA37)</f>
        <v>795261</v>
      </c>
      <c r="AB35" s="562">
        <f t="shared" si="67"/>
        <v>29492</v>
      </c>
      <c r="AC35" s="562">
        <f t="shared" si="67"/>
        <v>3277</v>
      </c>
      <c r="AD35" s="562">
        <f t="shared" si="6"/>
        <v>828030</v>
      </c>
      <c r="AE35" s="562">
        <f t="shared" ref="AE35:AG35" si="68">SUM(AE36:AE37)</f>
        <v>800676</v>
      </c>
      <c r="AF35" s="562">
        <f t="shared" si="68"/>
        <v>29492</v>
      </c>
      <c r="AG35" s="562">
        <f t="shared" si="68"/>
        <v>3277</v>
      </c>
      <c r="AH35" s="562">
        <f t="shared" si="7"/>
        <v>833445</v>
      </c>
    </row>
    <row r="36" spans="1:34" x14ac:dyDescent="0.25">
      <c r="A36" s="522"/>
      <c r="B36" s="272" t="s">
        <v>331</v>
      </c>
      <c r="C36" s="546">
        <v>0</v>
      </c>
      <c r="D36" s="546">
        <v>0</v>
      </c>
      <c r="E36" s="546">
        <v>0</v>
      </c>
      <c r="F36" s="546">
        <f t="shared" si="0"/>
        <v>0</v>
      </c>
      <c r="G36" s="546">
        <v>6838</v>
      </c>
      <c r="H36" s="546">
        <v>0</v>
      </c>
      <c r="I36" s="546">
        <v>0</v>
      </c>
      <c r="J36" s="546">
        <f t="shared" si="1"/>
        <v>6838</v>
      </c>
      <c r="K36" s="546">
        <v>6137</v>
      </c>
      <c r="L36" s="546">
        <v>0</v>
      </c>
      <c r="M36" s="546">
        <v>0</v>
      </c>
      <c r="N36" s="546">
        <f t="shared" si="2"/>
        <v>6137</v>
      </c>
      <c r="O36" s="546">
        <v>6838</v>
      </c>
      <c r="P36" s="546">
        <v>0</v>
      </c>
      <c r="Q36" s="546">
        <v>0</v>
      </c>
      <c r="R36" s="546">
        <f t="shared" si="3"/>
        <v>6838</v>
      </c>
      <c r="S36" s="942">
        <v>0</v>
      </c>
      <c r="T36" s="942">
        <v>0</v>
      </c>
      <c r="U36" s="942">
        <v>0</v>
      </c>
      <c r="V36" s="942">
        <f t="shared" si="4"/>
        <v>0</v>
      </c>
      <c r="W36" s="546">
        <v>765</v>
      </c>
      <c r="X36" s="546">
        <v>0</v>
      </c>
      <c r="Y36" s="546">
        <v>0</v>
      </c>
      <c r="Z36" s="546">
        <f t="shared" si="5"/>
        <v>765</v>
      </c>
      <c r="AA36" s="546">
        <v>765</v>
      </c>
      <c r="AB36" s="546">
        <v>0</v>
      </c>
      <c r="AC36" s="546">
        <v>0</v>
      </c>
      <c r="AD36" s="546">
        <f t="shared" si="6"/>
        <v>765</v>
      </c>
      <c r="AE36" s="942">
        <v>765</v>
      </c>
      <c r="AF36" s="942">
        <v>0</v>
      </c>
      <c r="AG36" s="942">
        <v>0</v>
      </c>
      <c r="AH36" s="942">
        <f t="shared" si="7"/>
        <v>765</v>
      </c>
    </row>
    <row r="37" spans="1:34" x14ac:dyDescent="0.25">
      <c r="A37" s="522"/>
      <c r="B37" s="272" t="s">
        <v>332</v>
      </c>
      <c r="C37" s="546">
        <f t="shared" ref="C37:E37" si="69">C39+C45-C33-C36</f>
        <v>690316</v>
      </c>
      <c r="D37" s="546">
        <f t="shared" si="69"/>
        <v>29094</v>
      </c>
      <c r="E37" s="546">
        <f t="shared" si="69"/>
        <v>4290</v>
      </c>
      <c r="F37" s="546">
        <f t="shared" si="0"/>
        <v>723700</v>
      </c>
      <c r="G37" s="546">
        <f t="shared" ref="G37:I37" si="70">G39+G45-G33-G36</f>
        <v>720316</v>
      </c>
      <c r="H37" s="546">
        <f t="shared" si="70"/>
        <v>29094</v>
      </c>
      <c r="I37" s="546">
        <f t="shared" si="70"/>
        <v>4290</v>
      </c>
      <c r="J37" s="546">
        <f t="shared" si="1"/>
        <v>753700</v>
      </c>
      <c r="K37" s="546">
        <f t="shared" ref="K37:M37" si="71">K39+K45-K33-K36</f>
        <v>725023</v>
      </c>
      <c r="L37" s="546">
        <f t="shared" si="71"/>
        <v>29094</v>
      </c>
      <c r="M37" s="546">
        <f t="shared" si="71"/>
        <v>4290</v>
      </c>
      <c r="N37" s="546">
        <f t="shared" si="2"/>
        <v>758407</v>
      </c>
      <c r="O37" s="546">
        <v>678877</v>
      </c>
      <c r="P37" s="546"/>
      <c r="Q37" s="546"/>
      <c r="R37" s="546">
        <f t="shared" si="3"/>
        <v>678877</v>
      </c>
      <c r="S37" s="942">
        <f t="shared" ref="S37:U37" si="72">S39+S45-S33-S36</f>
        <v>727953</v>
      </c>
      <c r="T37" s="942">
        <f t="shared" si="72"/>
        <v>29435</v>
      </c>
      <c r="U37" s="942">
        <f t="shared" si="72"/>
        <v>3277</v>
      </c>
      <c r="V37" s="942">
        <f t="shared" si="4"/>
        <v>760665</v>
      </c>
      <c r="W37" s="546">
        <f t="shared" ref="W37:Y37" si="73">W39+W45-W33-W36</f>
        <v>794553</v>
      </c>
      <c r="X37" s="546">
        <f t="shared" si="73"/>
        <v>29435</v>
      </c>
      <c r="Y37" s="546">
        <f t="shared" si="73"/>
        <v>3277</v>
      </c>
      <c r="Z37" s="546">
        <f t="shared" si="5"/>
        <v>827265</v>
      </c>
      <c r="AA37" s="546">
        <f t="shared" ref="AA37:AC37" si="74">AA39+AA45-AA33-AA36</f>
        <v>794496</v>
      </c>
      <c r="AB37" s="546">
        <f t="shared" si="74"/>
        <v>29492</v>
      </c>
      <c r="AC37" s="546">
        <f t="shared" si="74"/>
        <v>3277</v>
      </c>
      <c r="AD37" s="546">
        <f t="shared" si="6"/>
        <v>827265</v>
      </c>
      <c r="AE37" s="942">
        <f t="shared" ref="AE37:AG37" si="75">AE39+AE45-AE33-AE36</f>
        <v>799911</v>
      </c>
      <c r="AF37" s="942">
        <f t="shared" si="75"/>
        <v>29492</v>
      </c>
      <c r="AG37" s="942">
        <f t="shared" si="75"/>
        <v>3277</v>
      </c>
      <c r="AH37" s="942">
        <f t="shared" si="7"/>
        <v>832680</v>
      </c>
    </row>
    <row r="38" spans="1:34" x14ac:dyDescent="0.25">
      <c r="A38" s="564"/>
      <c r="B38" s="565" t="s">
        <v>333</v>
      </c>
      <c r="C38" s="373">
        <f t="shared" ref="C38:E38" si="76">C34+C25+C8</f>
        <v>692586</v>
      </c>
      <c r="D38" s="373">
        <f t="shared" si="76"/>
        <v>29094</v>
      </c>
      <c r="E38" s="373">
        <f t="shared" si="76"/>
        <v>4290</v>
      </c>
      <c r="F38" s="373">
        <f t="shared" si="0"/>
        <v>725970</v>
      </c>
      <c r="G38" s="373">
        <f t="shared" ref="G38:I38" si="77">G34+G25+G8</f>
        <v>733430</v>
      </c>
      <c r="H38" s="373">
        <f t="shared" si="77"/>
        <v>29094</v>
      </c>
      <c r="I38" s="373">
        <f t="shared" si="77"/>
        <v>4290</v>
      </c>
      <c r="J38" s="373">
        <f t="shared" si="1"/>
        <v>766814</v>
      </c>
      <c r="K38" s="373">
        <f t="shared" ref="K38:M38" si="78">K34+K25+K8</f>
        <v>733430</v>
      </c>
      <c r="L38" s="373">
        <f t="shared" si="78"/>
        <v>29094</v>
      </c>
      <c r="M38" s="373">
        <f t="shared" si="78"/>
        <v>4290</v>
      </c>
      <c r="N38" s="373">
        <f t="shared" si="2"/>
        <v>766814</v>
      </c>
      <c r="O38" s="373">
        <f t="shared" ref="O38:Q38" si="79">O34+O25+O8</f>
        <v>692201</v>
      </c>
      <c r="P38" s="373">
        <f t="shared" si="79"/>
        <v>0</v>
      </c>
      <c r="Q38" s="373">
        <f t="shared" si="79"/>
        <v>0</v>
      </c>
      <c r="R38" s="373">
        <f t="shared" si="3"/>
        <v>692201</v>
      </c>
      <c r="S38" s="373">
        <f t="shared" ref="S38:U38" si="80">S34+S25+S8</f>
        <v>730223</v>
      </c>
      <c r="T38" s="373">
        <f t="shared" si="80"/>
        <v>29435</v>
      </c>
      <c r="U38" s="373">
        <f t="shared" si="80"/>
        <v>3277</v>
      </c>
      <c r="V38" s="373">
        <f t="shared" si="4"/>
        <v>762935</v>
      </c>
      <c r="W38" s="373">
        <f t="shared" ref="W38:Y38" si="81">W34+W25+W8</f>
        <v>801449</v>
      </c>
      <c r="X38" s="373">
        <f t="shared" si="81"/>
        <v>29435</v>
      </c>
      <c r="Y38" s="373">
        <f t="shared" si="81"/>
        <v>3277</v>
      </c>
      <c r="Z38" s="373">
        <f t="shared" si="5"/>
        <v>834161</v>
      </c>
      <c r="AA38" s="373">
        <f t="shared" ref="AA38:AC38" si="82">AA34+AA25+AA8</f>
        <v>801392</v>
      </c>
      <c r="AB38" s="373">
        <f t="shared" si="82"/>
        <v>29492</v>
      </c>
      <c r="AC38" s="373">
        <f t="shared" si="82"/>
        <v>3277</v>
      </c>
      <c r="AD38" s="373">
        <f t="shared" si="6"/>
        <v>834161</v>
      </c>
      <c r="AE38" s="373">
        <f t="shared" ref="AE38:AG38" si="83">AE34+AE25+AE8</f>
        <v>811353</v>
      </c>
      <c r="AF38" s="373">
        <f t="shared" si="83"/>
        <v>29492</v>
      </c>
      <c r="AG38" s="373">
        <f t="shared" si="83"/>
        <v>3277</v>
      </c>
      <c r="AH38" s="373">
        <f t="shared" si="7"/>
        <v>844122</v>
      </c>
    </row>
    <row r="39" spans="1:34" x14ac:dyDescent="0.25">
      <c r="A39" s="557" t="s">
        <v>309</v>
      </c>
      <c r="B39" s="558" t="s">
        <v>334</v>
      </c>
      <c r="C39" s="559">
        <f t="shared" ref="C39:E39" si="84">SUM(C40:C44)</f>
        <v>664646</v>
      </c>
      <c r="D39" s="559">
        <f t="shared" si="84"/>
        <v>29049</v>
      </c>
      <c r="E39" s="559">
        <f t="shared" si="84"/>
        <v>4290</v>
      </c>
      <c r="F39" s="559">
        <f t="shared" si="0"/>
        <v>697985</v>
      </c>
      <c r="G39" s="559">
        <f t="shared" ref="G39:I39" si="85">SUM(G40:G44)</f>
        <v>705490</v>
      </c>
      <c r="H39" s="559">
        <f t="shared" si="85"/>
        <v>29049</v>
      </c>
      <c r="I39" s="559">
        <f t="shared" si="85"/>
        <v>4290</v>
      </c>
      <c r="J39" s="559">
        <f t="shared" si="1"/>
        <v>738829</v>
      </c>
      <c r="K39" s="559">
        <f t="shared" ref="K39:M39" si="86">SUM(K40:K44)</f>
        <v>705490</v>
      </c>
      <c r="L39" s="559">
        <f t="shared" si="86"/>
        <v>29049</v>
      </c>
      <c r="M39" s="559">
        <f t="shared" si="86"/>
        <v>4290</v>
      </c>
      <c r="N39" s="559">
        <f t="shared" si="2"/>
        <v>738829</v>
      </c>
      <c r="O39" s="559">
        <f t="shared" ref="O39:Q39" si="87">SUM(O40:O44)</f>
        <v>642443</v>
      </c>
      <c r="P39" s="559">
        <f t="shared" si="87"/>
        <v>21078</v>
      </c>
      <c r="Q39" s="559">
        <f t="shared" si="87"/>
        <v>4037</v>
      </c>
      <c r="R39" s="559">
        <f t="shared" si="3"/>
        <v>667558</v>
      </c>
      <c r="S39" s="559">
        <f t="shared" ref="S39:U39" si="88">SUM(S40:S44)</f>
        <v>713677</v>
      </c>
      <c r="T39" s="559">
        <f t="shared" si="88"/>
        <v>29435</v>
      </c>
      <c r="U39" s="559">
        <f t="shared" si="88"/>
        <v>3277</v>
      </c>
      <c r="V39" s="559">
        <f t="shared" si="4"/>
        <v>746389</v>
      </c>
      <c r="W39" s="559">
        <f t="shared" ref="W39:Y39" si="89">SUM(W40:W44)</f>
        <v>772771</v>
      </c>
      <c r="X39" s="559">
        <f t="shared" si="89"/>
        <v>29435</v>
      </c>
      <c r="Y39" s="559">
        <f t="shared" si="89"/>
        <v>3277</v>
      </c>
      <c r="Z39" s="559">
        <f t="shared" si="5"/>
        <v>805483</v>
      </c>
      <c r="AA39" s="559">
        <f t="shared" ref="AA39:AC39" si="90">SUM(AA40:AA44)</f>
        <v>772714</v>
      </c>
      <c r="AB39" s="559">
        <f t="shared" si="90"/>
        <v>29492</v>
      </c>
      <c r="AC39" s="559">
        <f t="shared" si="90"/>
        <v>3277</v>
      </c>
      <c r="AD39" s="559">
        <f t="shared" si="6"/>
        <v>805483</v>
      </c>
      <c r="AE39" s="559">
        <f t="shared" ref="AE39:AG39" si="91">SUM(AE40:AE44)</f>
        <v>779798</v>
      </c>
      <c r="AF39" s="559">
        <f t="shared" si="91"/>
        <v>29492</v>
      </c>
      <c r="AG39" s="559">
        <f t="shared" si="91"/>
        <v>3277</v>
      </c>
      <c r="AH39" s="559">
        <f t="shared" si="7"/>
        <v>812567</v>
      </c>
    </row>
    <row r="40" spans="1:34" x14ac:dyDescent="0.25">
      <c r="A40" s="560" t="s">
        <v>311</v>
      </c>
      <c r="B40" s="561" t="s">
        <v>286</v>
      </c>
      <c r="C40" s="562">
        <f>'3B PH fel'!F7+'3B PH fel'!F13</f>
        <v>436052</v>
      </c>
      <c r="D40" s="562">
        <f>'3B PH fel'!F19+'3B PH fel'!F24</f>
        <v>21636</v>
      </c>
      <c r="E40" s="562">
        <f>'3B PH fel'!F32</f>
        <v>40</v>
      </c>
      <c r="F40" s="562">
        <f t="shared" si="0"/>
        <v>457728</v>
      </c>
      <c r="G40" s="562">
        <f>'3B PH fel'!J7+'3B PH fel'!J13</f>
        <v>464242</v>
      </c>
      <c r="H40" s="562">
        <f>'3B PH fel'!J19+'3B PH fel'!J24</f>
        <v>21636</v>
      </c>
      <c r="I40" s="562">
        <f>'3B PH fel'!J32</f>
        <v>40</v>
      </c>
      <c r="J40" s="562">
        <f t="shared" si="1"/>
        <v>485918</v>
      </c>
      <c r="K40" s="562">
        <f>'3B PH fel'!N7+'3B PH fel'!N13</f>
        <v>464242</v>
      </c>
      <c r="L40" s="562">
        <f>'3B PH fel'!N19+'3B PH fel'!N24</f>
        <v>21636</v>
      </c>
      <c r="M40" s="562">
        <f>'3B PH fel'!N32</f>
        <v>40</v>
      </c>
      <c r="N40" s="562">
        <f t="shared" si="2"/>
        <v>485918</v>
      </c>
      <c r="O40" s="562">
        <f>'3B PH fel'!R7+'3B PH fel'!R13</f>
        <v>423978</v>
      </c>
      <c r="P40" s="562">
        <f>'3B PH fel'!R19+'3B PH fel'!R24</f>
        <v>15597</v>
      </c>
      <c r="Q40" s="562">
        <f>'3B PH fel'!R32</f>
        <v>160</v>
      </c>
      <c r="R40" s="562">
        <f t="shared" si="3"/>
        <v>439735</v>
      </c>
      <c r="S40" s="940">
        <f>'3B PH fel'!V7+'3B PH fel'!V13</f>
        <v>449932</v>
      </c>
      <c r="T40" s="940">
        <f>'3B PH fel'!V19+'3B PH fel'!V24</f>
        <v>22112</v>
      </c>
      <c r="U40" s="940">
        <f>'3B PH fel'!V32</f>
        <v>40</v>
      </c>
      <c r="V40" s="940">
        <f t="shared" si="4"/>
        <v>472084</v>
      </c>
      <c r="W40" s="562">
        <f>'3B PH fel'!Z7+'3B PH fel'!Z13</f>
        <v>497977</v>
      </c>
      <c r="X40" s="562">
        <f>'3B PH fel'!Z19+'3B PH fel'!Z24</f>
        <v>22112</v>
      </c>
      <c r="Y40" s="562">
        <f>'3B PH fel'!Z32</f>
        <v>40</v>
      </c>
      <c r="Z40" s="562">
        <f t="shared" si="5"/>
        <v>520129</v>
      </c>
      <c r="AA40" s="562">
        <f>'3B PH fel'!AD7+'3B PH fel'!AD13</f>
        <v>497977</v>
      </c>
      <c r="AB40" s="562">
        <f>'3B PH fel'!AD19+'3B PH fel'!AD24</f>
        <v>22112</v>
      </c>
      <c r="AC40" s="562">
        <f>'3B PH fel'!AD32</f>
        <v>40</v>
      </c>
      <c r="AD40" s="562">
        <f t="shared" si="6"/>
        <v>520129</v>
      </c>
      <c r="AE40" s="940">
        <f>'3B PH fel'!AH7+'3B PH fel'!AH13</f>
        <v>502570</v>
      </c>
      <c r="AF40" s="940">
        <f>'3B PH fel'!AH19+'3B PH fel'!AH24</f>
        <v>22112</v>
      </c>
      <c r="AG40" s="940">
        <f>'3B PH fel'!AH32</f>
        <v>40</v>
      </c>
      <c r="AH40" s="940">
        <f t="shared" si="7"/>
        <v>524722</v>
      </c>
    </row>
    <row r="41" spans="1:34" ht="17.649999999999999" customHeight="1" x14ac:dyDescent="0.25">
      <c r="A41" s="560" t="s">
        <v>322</v>
      </c>
      <c r="B41" s="561" t="s">
        <v>335</v>
      </c>
      <c r="C41" s="562">
        <f>'3B PH fel'!F8+'3B PH fel'!F14</f>
        <v>89866</v>
      </c>
      <c r="D41" s="562">
        <f>'3B PH fel'!F20+'3B PH fel'!F25</f>
        <v>3928</v>
      </c>
      <c r="E41" s="562">
        <f>'3B PH fel'!F33</f>
        <v>16</v>
      </c>
      <c r="F41" s="562">
        <f t="shared" si="0"/>
        <v>93810</v>
      </c>
      <c r="G41" s="562">
        <f>'3B PH fel'!J8+'3B PH fel'!J14</f>
        <v>95312</v>
      </c>
      <c r="H41" s="562">
        <f>'3B PH fel'!J20+'3B PH fel'!J25</f>
        <v>3928</v>
      </c>
      <c r="I41" s="562">
        <f>'3B PH fel'!J33</f>
        <v>16</v>
      </c>
      <c r="J41" s="562">
        <f t="shared" si="1"/>
        <v>99256</v>
      </c>
      <c r="K41" s="562">
        <f>'3B PH fel'!N8+'3B PH fel'!N14</f>
        <v>95312</v>
      </c>
      <c r="L41" s="562">
        <f>'3B PH fel'!N20+'3B PH fel'!N25</f>
        <v>3928</v>
      </c>
      <c r="M41" s="562">
        <f>'3B PH fel'!N33</f>
        <v>16</v>
      </c>
      <c r="N41" s="562">
        <f t="shared" si="2"/>
        <v>99256</v>
      </c>
      <c r="O41" s="562">
        <f>'3B PH fel'!R8+'3B PH fel'!R14</f>
        <v>90086</v>
      </c>
      <c r="P41" s="562">
        <f>'3B PH fel'!R20+'3B PH fel'!R25</f>
        <v>3099</v>
      </c>
      <c r="Q41" s="562">
        <f>'3B PH fel'!R33</f>
        <v>0</v>
      </c>
      <c r="R41" s="562">
        <f t="shared" si="3"/>
        <v>93185</v>
      </c>
      <c r="S41" s="940">
        <f>'3B PH fel'!V8+'3B PH fel'!V14</f>
        <v>90021</v>
      </c>
      <c r="T41" s="940">
        <f>'3B PH fel'!V20+'3B PH fel'!V25</f>
        <v>4202</v>
      </c>
      <c r="U41" s="940">
        <f>'3B PH fel'!V33</f>
        <v>7</v>
      </c>
      <c r="V41" s="940">
        <f t="shared" si="4"/>
        <v>94230</v>
      </c>
      <c r="W41" s="562">
        <f>'3B PH fel'!Z8+'3B PH fel'!Z14</f>
        <v>99444</v>
      </c>
      <c r="X41" s="562">
        <f>'3B PH fel'!Z20+'3B PH fel'!Z25</f>
        <v>4202</v>
      </c>
      <c r="Y41" s="562">
        <f>'3B PH fel'!Z33</f>
        <v>7</v>
      </c>
      <c r="Z41" s="562">
        <f t="shared" si="5"/>
        <v>103653</v>
      </c>
      <c r="AA41" s="562">
        <f>'3B PH fel'!AD8+'3B PH fel'!AD14</f>
        <v>99444</v>
      </c>
      <c r="AB41" s="562">
        <f>'3B PH fel'!AD20+'3B PH fel'!AD25</f>
        <v>4202</v>
      </c>
      <c r="AC41" s="562">
        <f>'3B PH fel'!AD33</f>
        <v>7</v>
      </c>
      <c r="AD41" s="562">
        <f t="shared" si="6"/>
        <v>103653</v>
      </c>
      <c r="AE41" s="940">
        <f>'3B PH fel'!AH8+'3B PH fel'!AH14</f>
        <v>100266</v>
      </c>
      <c r="AF41" s="940">
        <f>'3B PH fel'!AH20+'3B PH fel'!AH25</f>
        <v>4202</v>
      </c>
      <c r="AG41" s="940">
        <f>'3B PH fel'!AH33</f>
        <v>7</v>
      </c>
      <c r="AH41" s="940">
        <f t="shared" si="7"/>
        <v>104475</v>
      </c>
    </row>
    <row r="42" spans="1:34" x14ac:dyDescent="0.25">
      <c r="A42" s="560" t="s">
        <v>315</v>
      </c>
      <c r="B42" s="561" t="s">
        <v>292</v>
      </c>
      <c r="C42" s="562">
        <f>'3B PH fel'!F9+'3B PH fel'!F15</f>
        <v>138728</v>
      </c>
      <c r="D42" s="562">
        <f>'3B PH fel'!F21+'3B PH fel'!F26</f>
        <v>3485</v>
      </c>
      <c r="E42" s="562">
        <f>'3B PH fel'!F34</f>
        <v>4234</v>
      </c>
      <c r="F42" s="562">
        <f t="shared" si="0"/>
        <v>146447</v>
      </c>
      <c r="G42" s="562">
        <f>'3B PH fel'!J9+'3B PH fel'!J15</f>
        <v>145936</v>
      </c>
      <c r="H42" s="562">
        <f>'3B PH fel'!J21+'3B PH fel'!J26</f>
        <v>3485</v>
      </c>
      <c r="I42" s="562">
        <f>'3B PH fel'!J34</f>
        <v>4234</v>
      </c>
      <c r="J42" s="562">
        <f t="shared" si="1"/>
        <v>153655</v>
      </c>
      <c r="K42" s="562">
        <f>'3B PH fel'!N9+'3B PH fel'!N15</f>
        <v>145936</v>
      </c>
      <c r="L42" s="562">
        <f>'3B PH fel'!N21+'3B PH fel'!N26</f>
        <v>3485</v>
      </c>
      <c r="M42" s="562">
        <f>'3B PH fel'!N34</f>
        <v>4234</v>
      </c>
      <c r="N42" s="562">
        <f t="shared" si="2"/>
        <v>153655</v>
      </c>
      <c r="O42" s="562">
        <f>'3B PH fel'!R9+'3B PH fel'!R15</f>
        <v>128379</v>
      </c>
      <c r="P42" s="562">
        <f>'3B PH fel'!R21+'3B PH fel'!R26</f>
        <v>2382</v>
      </c>
      <c r="Q42" s="562">
        <f>'3B PH fel'!R34</f>
        <v>3877</v>
      </c>
      <c r="R42" s="562">
        <f t="shared" si="3"/>
        <v>134638</v>
      </c>
      <c r="S42" s="940">
        <f>'3B PH fel'!V9+'3B PH fel'!V15</f>
        <v>173724</v>
      </c>
      <c r="T42" s="940">
        <f>'3B PH fel'!V21+'3B PH fel'!V26</f>
        <v>3121</v>
      </c>
      <c r="U42" s="940">
        <f>'3B PH fel'!V34</f>
        <v>3230</v>
      </c>
      <c r="V42" s="940">
        <f t="shared" si="4"/>
        <v>180075</v>
      </c>
      <c r="W42" s="562">
        <f>'3B PH fel'!Z9+'3B PH fel'!Z15</f>
        <v>175350</v>
      </c>
      <c r="X42" s="562">
        <f>'3B PH fel'!Z21+'3B PH fel'!Z26</f>
        <v>3121</v>
      </c>
      <c r="Y42" s="562">
        <f>'3B PH fel'!Z34</f>
        <v>3230</v>
      </c>
      <c r="Z42" s="562">
        <f t="shared" si="5"/>
        <v>181701</v>
      </c>
      <c r="AA42" s="562">
        <f>'3B PH fel'!AD9+'3B PH fel'!AD15</f>
        <v>175293</v>
      </c>
      <c r="AB42" s="562">
        <f>'3B PH fel'!AD21+'3B PH fel'!AD26</f>
        <v>3178</v>
      </c>
      <c r="AC42" s="562">
        <f>'3B PH fel'!AD34</f>
        <v>3230</v>
      </c>
      <c r="AD42" s="562">
        <f t="shared" si="6"/>
        <v>181701</v>
      </c>
      <c r="AE42" s="940">
        <f>'3B PH fel'!AH9+'3B PH fel'!AH15</f>
        <v>176962</v>
      </c>
      <c r="AF42" s="940">
        <f>'3B PH fel'!AH21+'3B PH fel'!AH26</f>
        <v>3178</v>
      </c>
      <c r="AG42" s="940">
        <f>'3B PH fel'!AH34</f>
        <v>3230</v>
      </c>
      <c r="AH42" s="940">
        <f t="shared" si="7"/>
        <v>183370</v>
      </c>
    </row>
    <row r="43" spans="1:34" x14ac:dyDescent="0.25">
      <c r="A43" s="560" t="s">
        <v>336</v>
      </c>
      <c r="B43" s="561" t="s">
        <v>337</v>
      </c>
      <c r="C43" s="562">
        <f>'3B PH fel'!C41</f>
        <v>0</v>
      </c>
      <c r="D43" s="562">
        <f>'3B PH fel'!D41</f>
        <v>0</v>
      </c>
      <c r="E43" s="562">
        <f>'3B PH fel'!E41</f>
        <v>0</v>
      </c>
      <c r="F43" s="562">
        <f t="shared" si="0"/>
        <v>0</v>
      </c>
      <c r="G43" s="562">
        <f>'3B PH fel'!G41</f>
        <v>0</v>
      </c>
      <c r="H43" s="562">
        <f>'3B PH fel'!H41</f>
        <v>0</v>
      </c>
      <c r="I43" s="562">
        <f>'3B PH fel'!I41</f>
        <v>0</v>
      </c>
      <c r="J43" s="562">
        <f t="shared" si="1"/>
        <v>0</v>
      </c>
      <c r="K43" s="562">
        <f>'3B PH fel'!K41</f>
        <v>0</v>
      </c>
      <c r="L43" s="562">
        <f>'3B PH fel'!L41</f>
        <v>0</v>
      </c>
      <c r="M43" s="562">
        <f>'3B PH fel'!M41</f>
        <v>0</v>
      </c>
      <c r="N43" s="562">
        <f t="shared" si="2"/>
        <v>0</v>
      </c>
      <c r="O43" s="562">
        <f>'3B PH fel'!O41</f>
        <v>0</v>
      </c>
      <c r="P43" s="562">
        <f>'3B PH fel'!P41</f>
        <v>0</v>
      </c>
      <c r="Q43" s="562">
        <f>'3B PH fel'!Q41</f>
        <v>0</v>
      </c>
      <c r="R43" s="562">
        <f t="shared" si="3"/>
        <v>0</v>
      </c>
      <c r="S43" s="940">
        <f>'3B PH fel'!S41</f>
        <v>0</v>
      </c>
      <c r="T43" s="940">
        <f>'3B PH fel'!T41</f>
        <v>0</v>
      </c>
      <c r="U43" s="940">
        <f>'3B PH fel'!U41</f>
        <v>0</v>
      </c>
      <c r="V43" s="940">
        <f t="shared" si="4"/>
        <v>0</v>
      </c>
      <c r="W43" s="562">
        <f>'3B PH fel'!W41</f>
        <v>0</v>
      </c>
      <c r="X43" s="562">
        <f>'3B PH fel'!X41</f>
        <v>0</v>
      </c>
      <c r="Y43" s="562">
        <f>'3B PH fel'!Y41</f>
        <v>0</v>
      </c>
      <c r="Z43" s="562">
        <f t="shared" si="5"/>
        <v>0</v>
      </c>
      <c r="AA43" s="562">
        <f>'3B PH fel'!AA41</f>
        <v>0</v>
      </c>
      <c r="AB43" s="562">
        <f>'3B PH fel'!AB41</f>
        <v>0</v>
      </c>
      <c r="AC43" s="562">
        <f>'3B PH fel'!AC41</f>
        <v>0</v>
      </c>
      <c r="AD43" s="562">
        <f t="shared" si="6"/>
        <v>0</v>
      </c>
      <c r="AE43" s="940">
        <f>'3B PH fel'!AE41</f>
        <v>0</v>
      </c>
      <c r="AF43" s="940">
        <f>'3B PH fel'!AF41</f>
        <v>0</v>
      </c>
      <c r="AG43" s="940">
        <f>'3B PH fel'!AG41</f>
        <v>0</v>
      </c>
      <c r="AH43" s="940">
        <f t="shared" si="7"/>
        <v>0</v>
      </c>
    </row>
    <row r="44" spans="1:34" x14ac:dyDescent="0.25">
      <c r="A44" s="560" t="s">
        <v>338</v>
      </c>
      <c r="B44" s="561" t="s">
        <v>339</v>
      </c>
      <c r="C44" s="562">
        <f>'3B PH fel'!C42</f>
        <v>0</v>
      </c>
      <c r="D44" s="562">
        <f>'3B PH fel'!D42</f>
        <v>0</v>
      </c>
      <c r="E44" s="562">
        <f>'3B PH fel'!E42</f>
        <v>0</v>
      </c>
      <c r="F44" s="562">
        <f t="shared" si="0"/>
        <v>0</v>
      </c>
      <c r="G44" s="562">
        <f>'3B PH fel'!G42</f>
        <v>0</v>
      </c>
      <c r="H44" s="562">
        <f>'3B PH fel'!H42</f>
        <v>0</v>
      </c>
      <c r="I44" s="562">
        <f>'3B PH fel'!I42</f>
        <v>0</v>
      </c>
      <c r="J44" s="562">
        <f t="shared" si="1"/>
        <v>0</v>
      </c>
      <c r="K44" s="562">
        <f>'3B PH fel'!K42</f>
        <v>0</v>
      </c>
      <c r="L44" s="562">
        <f>'3B PH fel'!L42</f>
        <v>0</v>
      </c>
      <c r="M44" s="562">
        <f>'3B PH fel'!M42</f>
        <v>0</v>
      </c>
      <c r="N44" s="562">
        <f t="shared" si="2"/>
        <v>0</v>
      </c>
      <c r="O44" s="562">
        <f>'3B PH fel'!O42</f>
        <v>0</v>
      </c>
      <c r="P44" s="562">
        <f>'3B PH fel'!P42</f>
        <v>0</v>
      </c>
      <c r="Q44" s="562">
        <f>'3B PH fel'!Q42</f>
        <v>0</v>
      </c>
      <c r="R44" s="562">
        <f t="shared" si="3"/>
        <v>0</v>
      </c>
      <c r="S44" s="940">
        <f>'3B PH fel'!S42</f>
        <v>0</v>
      </c>
      <c r="T44" s="940">
        <f>'3B PH fel'!T42</f>
        <v>0</v>
      </c>
      <c r="U44" s="940">
        <f>'3B PH fel'!U42</f>
        <v>0</v>
      </c>
      <c r="V44" s="940">
        <f t="shared" si="4"/>
        <v>0</v>
      </c>
      <c r="W44" s="562">
        <f>'3B PH fel'!W42</f>
        <v>0</v>
      </c>
      <c r="X44" s="562">
        <f>'3B PH fel'!X42</f>
        <v>0</v>
      </c>
      <c r="Y44" s="562">
        <f>'3B PH fel'!Y42</f>
        <v>0</v>
      </c>
      <c r="Z44" s="562">
        <f t="shared" si="5"/>
        <v>0</v>
      </c>
      <c r="AA44" s="562">
        <f>'3B PH fel'!AA42</f>
        <v>0</v>
      </c>
      <c r="AB44" s="562">
        <f>'3B PH fel'!AB42</f>
        <v>0</v>
      </c>
      <c r="AC44" s="562">
        <f>'3B PH fel'!AC42</f>
        <v>0</v>
      </c>
      <c r="AD44" s="562">
        <f t="shared" si="6"/>
        <v>0</v>
      </c>
      <c r="AE44" s="940">
        <f>'3B PH fel'!AE42</f>
        <v>0</v>
      </c>
      <c r="AF44" s="940">
        <f>'3B PH fel'!AF42</f>
        <v>0</v>
      </c>
      <c r="AG44" s="940">
        <f>'3B PH fel'!AG42</f>
        <v>0</v>
      </c>
      <c r="AH44" s="940">
        <f t="shared" si="7"/>
        <v>0</v>
      </c>
    </row>
    <row r="45" spans="1:34" x14ac:dyDescent="0.25">
      <c r="A45" s="557" t="s">
        <v>318</v>
      </c>
      <c r="B45" s="558" t="s">
        <v>340</v>
      </c>
      <c r="C45" s="559">
        <f t="shared" ref="C45:E45" si="92">SUM(C46:C48)</f>
        <v>27940</v>
      </c>
      <c r="D45" s="559">
        <f t="shared" si="92"/>
        <v>45</v>
      </c>
      <c r="E45" s="559">
        <f t="shared" si="92"/>
        <v>0</v>
      </c>
      <c r="F45" s="559">
        <f t="shared" si="0"/>
        <v>27985</v>
      </c>
      <c r="G45" s="559">
        <f t="shared" ref="G45:I45" si="93">SUM(G46:G48)</f>
        <v>27940</v>
      </c>
      <c r="H45" s="559">
        <f t="shared" si="93"/>
        <v>45</v>
      </c>
      <c r="I45" s="559">
        <f t="shared" si="93"/>
        <v>0</v>
      </c>
      <c r="J45" s="559">
        <f t="shared" si="1"/>
        <v>27985</v>
      </c>
      <c r="K45" s="559">
        <f t="shared" ref="K45:M45" si="94">SUM(K46:K48)</f>
        <v>27940</v>
      </c>
      <c r="L45" s="559">
        <f t="shared" si="94"/>
        <v>45</v>
      </c>
      <c r="M45" s="559">
        <f t="shared" si="94"/>
        <v>0</v>
      </c>
      <c r="N45" s="559">
        <f t="shared" si="2"/>
        <v>27985</v>
      </c>
      <c r="O45" s="559">
        <f t="shared" ref="O45:Q45" si="95">SUM(O46:O48)</f>
        <v>23217</v>
      </c>
      <c r="P45" s="559">
        <f t="shared" si="95"/>
        <v>295</v>
      </c>
      <c r="Q45" s="559">
        <f t="shared" si="95"/>
        <v>0</v>
      </c>
      <c r="R45" s="559">
        <f t="shared" si="3"/>
        <v>23512</v>
      </c>
      <c r="S45" s="559">
        <f t="shared" ref="S45:U45" si="96">SUM(S46:S48)</f>
        <v>16546</v>
      </c>
      <c r="T45" s="559">
        <f t="shared" si="96"/>
        <v>0</v>
      </c>
      <c r="U45" s="559">
        <f t="shared" si="96"/>
        <v>0</v>
      </c>
      <c r="V45" s="559">
        <f t="shared" si="4"/>
        <v>16546</v>
      </c>
      <c r="W45" s="559">
        <f t="shared" ref="W45:Y45" si="97">SUM(W46:W48)</f>
        <v>28678</v>
      </c>
      <c r="X45" s="559">
        <f t="shared" si="97"/>
        <v>0</v>
      </c>
      <c r="Y45" s="559">
        <f t="shared" si="97"/>
        <v>0</v>
      </c>
      <c r="Z45" s="559">
        <f t="shared" si="5"/>
        <v>28678</v>
      </c>
      <c r="AA45" s="559">
        <f t="shared" ref="AA45:AC45" si="98">SUM(AA46:AA48)</f>
        <v>28678</v>
      </c>
      <c r="AB45" s="559">
        <f t="shared" si="98"/>
        <v>0</v>
      </c>
      <c r="AC45" s="559">
        <f t="shared" si="98"/>
        <v>0</v>
      </c>
      <c r="AD45" s="559">
        <f t="shared" si="6"/>
        <v>28678</v>
      </c>
      <c r="AE45" s="559">
        <f t="shared" ref="AE45:AG45" si="99">SUM(AE46:AE48)</f>
        <v>31555</v>
      </c>
      <c r="AF45" s="559">
        <f t="shared" si="99"/>
        <v>0</v>
      </c>
      <c r="AG45" s="559">
        <f t="shared" si="99"/>
        <v>0</v>
      </c>
      <c r="AH45" s="559">
        <f t="shared" si="7"/>
        <v>31555</v>
      </c>
    </row>
    <row r="46" spans="1:34" x14ac:dyDescent="0.25">
      <c r="A46" s="560" t="s">
        <v>311</v>
      </c>
      <c r="B46" s="561" t="s">
        <v>341</v>
      </c>
      <c r="C46" s="562">
        <f>'3B PH fel'!F11</f>
        <v>27940</v>
      </c>
      <c r="D46" s="562">
        <f>'3B PH fel'!F22+'3B PH fel'!F27</f>
        <v>45</v>
      </c>
      <c r="E46" s="562">
        <f>'3B PH fel'!E43</f>
        <v>0</v>
      </c>
      <c r="F46" s="562">
        <f t="shared" si="0"/>
        <v>27985</v>
      </c>
      <c r="G46" s="562">
        <f>'3B PH fel'!J11</f>
        <v>27940</v>
      </c>
      <c r="H46" s="562">
        <f>'3B PH fel'!J22+'3B PH fel'!J27</f>
        <v>45</v>
      </c>
      <c r="I46" s="562">
        <f>'3B PH fel'!I43</f>
        <v>0</v>
      </c>
      <c r="J46" s="562">
        <f t="shared" si="1"/>
        <v>27985</v>
      </c>
      <c r="K46" s="562">
        <f>'3B PH fel'!N11</f>
        <v>27940</v>
      </c>
      <c r="L46" s="562">
        <f>'3B PH fel'!N22+'3B PH fel'!N27</f>
        <v>45</v>
      </c>
      <c r="M46" s="562">
        <f>'3B PH fel'!M43</f>
        <v>0</v>
      </c>
      <c r="N46" s="562">
        <f t="shared" si="2"/>
        <v>27985</v>
      </c>
      <c r="O46" s="562">
        <f>'3B PH fel'!R11</f>
        <v>23217</v>
      </c>
      <c r="P46" s="562">
        <f>'3B PH fel'!R22+'3B PH fel'!R27</f>
        <v>295</v>
      </c>
      <c r="Q46" s="562">
        <f>'3B PH fel'!Q43</f>
        <v>0</v>
      </c>
      <c r="R46" s="562">
        <f t="shared" si="3"/>
        <v>23512</v>
      </c>
      <c r="S46" s="940">
        <f>'3B PH fel'!V11</f>
        <v>16546</v>
      </c>
      <c r="T46" s="940">
        <f>'3B PH fel'!V22+'3B PH fel'!V27</f>
        <v>0</v>
      </c>
      <c r="U46" s="940">
        <f>'3B PH fel'!U43</f>
        <v>0</v>
      </c>
      <c r="V46" s="940">
        <f t="shared" si="4"/>
        <v>16546</v>
      </c>
      <c r="W46" s="562">
        <f>'3B PH fel'!Z11</f>
        <v>28678</v>
      </c>
      <c r="X46" s="562">
        <f>'3B PH fel'!Z22+'3B PH fel'!Z27</f>
        <v>0</v>
      </c>
      <c r="Y46" s="562">
        <f>'3B PH fel'!Y43</f>
        <v>0</v>
      </c>
      <c r="Z46" s="562">
        <f t="shared" si="5"/>
        <v>28678</v>
      </c>
      <c r="AA46" s="562">
        <f>'3B PH fel'!AD11</f>
        <v>28678</v>
      </c>
      <c r="AB46" s="562">
        <f>'3B PH fel'!AD22+'3B PH fel'!AD27</f>
        <v>0</v>
      </c>
      <c r="AC46" s="562">
        <f>'3B PH fel'!AC43</f>
        <v>0</v>
      </c>
      <c r="AD46" s="562">
        <f t="shared" si="6"/>
        <v>28678</v>
      </c>
      <c r="AE46" s="940">
        <f>'3B PH fel'!AH11+'3B PH fel'!AH16</f>
        <v>31555</v>
      </c>
      <c r="AF46" s="940">
        <f>'3B PH fel'!AH22+'3B PH fel'!AH27</f>
        <v>0</v>
      </c>
      <c r="AG46" s="940">
        <f>'3B PH fel'!AG43</f>
        <v>0</v>
      </c>
      <c r="AH46" s="940">
        <f t="shared" si="7"/>
        <v>31555</v>
      </c>
    </row>
    <row r="47" spans="1:34" x14ac:dyDescent="0.25">
      <c r="A47" s="560" t="s">
        <v>322</v>
      </c>
      <c r="B47" s="561" t="s">
        <v>342</v>
      </c>
      <c r="C47" s="562">
        <f>'3B PH fel'!C44</f>
        <v>0</v>
      </c>
      <c r="D47" s="562">
        <f>'3B PH fel'!D44</f>
        <v>0</v>
      </c>
      <c r="E47" s="562">
        <f>'3B PH fel'!E44</f>
        <v>0</v>
      </c>
      <c r="F47" s="562">
        <f t="shared" si="0"/>
        <v>0</v>
      </c>
      <c r="G47" s="562">
        <f>'3B PH fel'!G44</f>
        <v>0</v>
      </c>
      <c r="H47" s="562">
        <f>'3B PH fel'!H44</f>
        <v>0</v>
      </c>
      <c r="I47" s="562">
        <f>'3B PH fel'!I44</f>
        <v>0</v>
      </c>
      <c r="J47" s="562">
        <f t="shared" si="1"/>
        <v>0</v>
      </c>
      <c r="K47" s="562">
        <f>'3B PH fel'!K44</f>
        <v>0</v>
      </c>
      <c r="L47" s="562">
        <f>'3B PH fel'!L44</f>
        <v>0</v>
      </c>
      <c r="M47" s="562">
        <f>'3B PH fel'!M44</f>
        <v>0</v>
      </c>
      <c r="N47" s="562">
        <f t="shared" si="2"/>
        <v>0</v>
      </c>
      <c r="O47" s="562">
        <f>'3B PH fel'!O44</f>
        <v>0</v>
      </c>
      <c r="P47" s="562">
        <f>'3B PH fel'!P44</f>
        <v>0</v>
      </c>
      <c r="Q47" s="562">
        <f>'3B PH fel'!Q44</f>
        <v>0</v>
      </c>
      <c r="R47" s="562">
        <f t="shared" si="3"/>
        <v>0</v>
      </c>
      <c r="S47" s="940">
        <f>'3B PH fel'!S44</f>
        <v>0</v>
      </c>
      <c r="T47" s="940">
        <f>'3B PH fel'!T44</f>
        <v>0</v>
      </c>
      <c r="U47" s="940">
        <f>'3B PH fel'!U44</f>
        <v>0</v>
      </c>
      <c r="V47" s="940">
        <f t="shared" si="4"/>
        <v>0</v>
      </c>
      <c r="W47" s="562">
        <f>'3B PH fel'!W44</f>
        <v>0</v>
      </c>
      <c r="X47" s="562">
        <f>'3B PH fel'!X44</f>
        <v>0</v>
      </c>
      <c r="Y47" s="562">
        <f>'3B PH fel'!Y44</f>
        <v>0</v>
      </c>
      <c r="Z47" s="562">
        <f t="shared" si="5"/>
        <v>0</v>
      </c>
      <c r="AA47" s="562">
        <f>'3B PH fel'!AA44</f>
        <v>0</v>
      </c>
      <c r="AB47" s="562">
        <f>'3B PH fel'!AB44</f>
        <v>0</v>
      </c>
      <c r="AC47" s="562">
        <f>'3B PH fel'!AC44</f>
        <v>0</v>
      </c>
      <c r="AD47" s="562">
        <f t="shared" si="6"/>
        <v>0</v>
      </c>
      <c r="AE47" s="940">
        <f>'3B PH fel'!AE44</f>
        <v>0</v>
      </c>
      <c r="AF47" s="940">
        <f>'3B PH fel'!AF44</f>
        <v>0</v>
      </c>
      <c r="AG47" s="940">
        <f>'3B PH fel'!AG44</f>
        <v>0</v>
      </c>
      <c r="AH47" s="940">
        <f t="shared" si="7"/>
        <v>0</v>
      </c>
    </row>
    <row r="48" spans="1:34" x14ac:dyDescent="0.25">
      <c r="A48" s="560" t="s">
        <v>315</v>
      </c>
      <c r="B48" s="561" t="s">
        <v>343</v>
      </c>
      <c r="C48" s="562">
        <f>'3B PH fel'!C45</f>
        <v>0</v>
      </c>
      <c r="D48" s="562">
        <f>'3B PH fel'!D45</f>
        <v>0</v>
      </c>
      <c r="E48" s="562">
        <f>'3B PH fel'!E45</f>
        <v>0</v>
      </c>
      <c r="F48" s="562">
        <f t="shared" si="0"/>
        <v>0</v>
      </c>
      <c r="G48" s="562">
        <f>'3B PH fel'!G45</f>
        <v>0</v>
      </c>
      <c r="H48" s="562">
        <f>'3B PH fel'!H45</f>
        <v>0</v>
      </c>
      <c r="I48" s="562">
        <f>'3B PH fel'!I45</f>
        <v>0</v>
      </c>
      <c r="J48" s="562">
        <f t="shared" si="1"/>
        <v>0</v>
      </c>
      <c r="K48" s="562">
        <f>'3B PH fel'!K45</f>
        <v>0</v>
      </c>
      <c r="L48" s="562">
        <f>'3B PH fel'!L45</f>
        <v>0</v>
      </c>
      <c r="M48" s="562">
        <f>'3B PH fel'!M45</f>
        <v>0</v>
      </c>
      <c r="N48" s="562">
        <f t="shared" si="2"/>
        <v>0</v>
      </c>
      <c r="O48" s="562">
        <f>'3B PH fel'!O45</f>
        <v>0</v>
      </c>
      <c r="P48" s="562">
        <f>'3B PH fel'!P45</f>
        <v>0</v>
      </c>
      <c r="Q48" s="562">
        <f>'3B PH fel'!Q45</f>
        <v>0</v>
      </c>
      <c r="R48" s="562">
        <f t="shared" si="3"/>
        <v>0</v>
      </c>
      <c r="S48" s="940">
        <f>'3B PH fel'!S45</f>
        <v>0</v>
      </c>
      <c r="T48" s="940">
        <f>'3B PH fel'!T45</f>
        <v>0</v>
      </c>
      <c r="U48" s="940">
        <f>'3B PH fel'!U45</f>
        <v>0</v>
      </c>
      <c r="V48" s="940">
        <f t="shared" si="4"/>
        <v>0</v>
      </c>
      <c r="W48" s="562">
        <f>'3B PH fel'!W45</f>
        <v>0</v>
      </c>
      <c r="X48" s="562">
        <f>'3B PH fel'!X45</f>
        <v>0</v>
      </c>
      <c r="Y48" s="562">
        <f>'3B PH fel'!Y45</f>
        <v>0</v>
      </c>
      <c r="Z48" s="562">
        <f t="shared" si="5"/>
        <v>0</v>
      </c>
      <c r="AA48" s="562">
        <f>'3B PH fel'!AA45</f>
        <v>0</v>
      </c>
      <c r="AB48" s="562">
        <f>'3B PH fel'!AB45</f>
        <v>0</v>
      </c>
      <c r="AC48" s="562">
        <f>'3B PH fel'!AC45</f>
        <v>0</v>
      </c>
      <c r="AD48" s="562">
        <f t="shared" si="6"/>
        <v>0</v>
      </c>
      <c r="AE48" s="940">
        <f>'3B PH fel'!AE45</f>
        <v>0</v>
      </c>
      <c r="AF48" s="940">
        <f>'3B PH fel'!AF45</f>
        <v>0</v>
      </c>
      <c r="AG48" s="940">
        <f>'3B PH fel'!AG45</f>
        <v>0</v>
      </c>
      <c r="AH48" s="940">
        <f t="shared" si="7"/>
        <v>0</v>
      </c>
    </row>
    <row r="49" spans="1:34" x14ac:dyDescent="0.25">
      <c r="A49" s="564"/>
      <c r="B49" s="565" t="s">
        <v>344</v>
      </c>
      <c r="C49" s="373">
        <f t="shared" ref="C49:E49" si="100">C39+C45</f>
        <v>692586</v>
      </c>
      <c r="D49" s="373">
        <f t="shared" si="100"/>
        <v>29094</v>
      </c>
      <c r="E49" s="373">
        <f t="shared" si="100"/>
        <v>4290</v>
      </c>
      <c r="F49" s="373">
        <f t="shared" si="0"/>
        <v>725970</v>
      </c>
      <c r="G49" s="373">
        <f t="shared" ref="G49:I49" si="101">G39+G45</f>
        <v>733430</v>
      </c>
      <c r="H49" s="373">
        <f t="shared" si="101"/>
        <v>29094</v>
      </c>
      <c r="I49" s="373">
        <f t="shared" si="101"/>
        <v>4290</v>
      </c>
      <c r="J49" s="373">
        <f t="shared" si="1"/>
        <v>766814</v>
      </c>
      <c r="K49" s="373">
        <f t="shared" ref="K49:M49" si="102">K39+K45</f>
        <v>733430</v>
      </c>
      <c r="L49" s="373">
        <f t="shared" si="102"/>
        <v>29094</v>
      </c>
      <c r="M49" s="373">
        <f t="shared" si="102"/>
        <v>4290</v>
      </c>
      <c r="N49" s="373">
        <f t="shared" si="2"/>
        <v>766814</v>
      </c>
      <c r="O49" s="373">
        <f t="shared" ref="O49:Q49" si="103">O39+O45</f>
        <v>665660</v>
      </c>
      <c r="P49" s="373">
        <f t="shared" si="103"/>
        <v>21373</v>
      </c>
      <c r="Q49" s="373">
        <f t="shared" si="103"/>
        <v>4037</v>
      </c>
      <c r="R49" s="373">
        <f t="shared" si="3"/>
        <v>691070</v>
      </c>
      <c r="S49" s="373">
        <f t="shared" ref="S49:U49" si="104">S39+S45</f>
        <v>730223</v>
      </c>
      <c r="T49" s="373">
        <f t="shared" si="104"/>
        <v>29435</v>
      </c>
      <c r="U49" s="373">
        <f t="shared" si="104"/>
        <v>3277</v>
      </c>
      <c r="V49" s="373">
        <f t="shared" si="4"/>
        <v>762935</v>
      </c>
      <c r="W49" s="373">
        <f t="shared" ref="W49:Y49" si="105">W39+W45</f>
        <v>801449</v>
      </c>
      <c r="X49" s="373">
        <f t="shared" si="105"/>
        <v>29435</v>
      </c>
      <c r="Y49" s="373">
        <f t="shared" si="105"/>
        <v>3277</v>
      </c>
      <c r="Z49" s="373">
        <f t="shared" si="5"/>
        <v>834161</v>
      </c>
      <c r="AA49" s="373">
        <f t="shared" ref="AA49:AC49" si="106">AA39+AA45</f>
        <v>801392</v>
      </c>
      <c r="AB49" s="373">
        <f t="shared" si="106"/>
        <v>29492</v>
      </c>
      <c r="AC49" s="373">
        <f t="shared" si="106"/>
        <v>3277</v>
      </c>
      <c r="AD49" s="373">
        <f t="shared" si="6"/>
        <v>834161</v>
      </c>
      <c r="AE49" s="373">
        <f t="shared" ref="AE49:AG49" si="107">AE39+AE45</f>
        <v>811353</v>
      </c>
      <c r="AF49" s="373">
        <f t="shared" si="107"/>
        <v>29492</v>
      </c>
      <c r="AG49" s="373">
        <f t="shared" si="107"/>
        <v>3277</v>
      </c>
      <c r="AH49" s="373">
        <f t="shared" si="7"/>
        <v>844122</v>
      </c>
    </row>
    <row r="51" spans="1:34" x14ac:dyDescent="0.25">
      <c r="J51" s="530">
        <f>28643-J46</f>
        <v>658</v>
      </c>
    </row>
    <row r="52" spans="1:34" x14ac:dyDescent="0.25">
      <c r="J52" s="530">
        <f>738171-J39</f>
        <v>-658</v>
      </c>
    </row>
  </sheetData>
  <mergeCells count="10">
    <mergeCell ref="AE3:AH3"/>
    <mergeCell ref="AA3:AD3"/>
    <mergeCell ref="W3:Z3"/>
    <mergeCell ref="A3:A4"/>
    <mergeCell ref="B3:B4"/>
    <mergeCell ref="O3:R3"/>
    <mergeCell ref="S3:V3"/>
    <mergeCell ref="C3:F3"/>
    <mergeCell ref="K3:N3"/>
    <mergeCell ref="G3:J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43" fitToHeight="0" orientation="portrait" r:id="rId1"/>
  <headerFooter>
    <oddHeader>&amp;L3/A.  melléklet a ...../2020. (.......) önkormányzati rendelethez&amp;C&amp;"-,Félkövér"&amp;16
A Polgármesteri Hivatal 2019. évi bevételei és kiadásai jogcímenként és feladatonként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46"/>
  <sheetViews>
    <sheetView view="pageBreakPreview" topLeftCell="A7" zoomScale="75" zoomScaleNormal="100" zoomScaleSheetLayoutView="75" workbookViewId="0">
      <selection activeCell="AE7" sqref="AE7"/>
    </sheetView>
  </sheetViews>
  <sheetFormatPr defaultColWidth="9.140625" defaultRowHeight="15" x14ac:dyDescent="0.25"/>
  <cols>
    <col min="1" max="1" width="7.7109375" style="528" bestFit="1" customWidth="1"/>
    <col min="2" max="2" width="41.85546875" style="529" customWidth="1"/>
    <col min="3" max="3" width="10.85546875" style="553" hidden="1" customWidth="1"/>
    <col min="4" max="4" width="10.140625" style="553" hidden="1" customWidth="1"/>
    <col min="5" max="5" width="11.28515625" style="553" hidden="1" customWidth="1"/>
    <col min="6" max="6" width="10.7109375" style="530" hidden="1" customWidth="1"/>
    <col min="7" max="7" width="11" style="530" hidden="1" customWidth="1"/>
    <col min="8" max="8" width="10.28515625" style="283" hidden="1" customWidth="1"/>
    <col min="9" max="9" width="11.140625" style="283" hidden="1" customWidth="1"/>
    <col min="10" max="10" width="10.85546875" style="283" hidden="1" customWidth="1"/>
    <col min="11" max="12" width="10.28515625" style="283" hidden="1" customWidth="1"/>
    <col min="13" max="14" width="10.85546875" style="283" hidden="1" customWidth="1"/>
    <col min="15" max="16" width="10.28515625" style="283" hidden="1" customWidth="1"/>
    <col min="17" max="18" width="10.85546875" style="283" hidden="1" customWidth="1"/>
    <col min="19" max="19" width="10.28515625" style="283" customWidth="1"/>
    <col min="20" max="20" width="10.28515625" style="283" hidden="1" customWidth="1"/>
    <col min="21" max="22" width="10.85546875" style="283" customWidth="1"/>
    <col min="23" max="23" width="11.28515625" style="283" hidden="1" customWidth="1"/>
    <col min="24" max="24" width="10.7109375" style="283" hidden="1" customWidth="1"/>
    <col min="25" max="25" width="11.28515625" style="283" hidden="1" customWidth="1"/>
    <col min="26" max="26" width="11.7109375" style="283" hidden="1" customWidth="1"/>
    <col min="27" max="27" width="11.28515625" style="283" customWidth="1"/>
    <col min="28" max="28" width="10.7109375" style="283" hidden="1" customWidth="1"/>
    <col min="29" max="29" width="11.28515625" style="283" customWidth="1"/>
    <col min="30" max="30" width="11.7109375" style="283" customWidth="1"/>
    <col min="31" max="31" width="11.28515625" style="283" customWidth="1"/>
    <col min="32" max="32" width="10.7109375" style="283" hidden="1" customWidth="1"/>
    <col min="33" max="33" width="11.28515625" style="283" customWidth="1"/>
    <col min="34" max="34" width="11.7109375" style="283" customWidth="1"/>
    <col min="35" max="16384" width="9.140625" style="283"/>
  </cols>
  <sheetData>
    <row r="1" spans="1:34" ht="15" customHeight="1" x14ac:dyDescent="0.25">
      <c r="C1" s="532"/>
      <c r="D1" s="533"/>
      <c r="E1" s="534"/>
      <c r="F1" s="531"/>
      <c r="G1" s="532"/>
      <c r="H1" s="533"/>
      <c r="I1" s="534"/>
      <c r="N1" s="32"/>
      <c r="R1" s="32"/>
      <c r="V1" s="32"/>
      <c r="Z1" s="32"/>
      <c r="AD1" s="32"/>
      <c r="AH1" s="32" t="s">
        <v>302</v>
      </c>
    </row>
    <row r="2" spans="1:34" ht="60" x14ac:dyDescent="0.25">
      <c r="A2" s="993" t="s">
        <v>552</v>
      </c>
      <c r="B2" s="993" t="s">
        <v>306</v>
      </c>
      <c r="C2" s="555" t="s">
        <v>1369</v>
      </c>
      <c r="D2" s="555" t="s">
        <v>1316</v>
      </c>
      <c r="E2" s="555" t="s">
        <v>1318</v>
      </c>
      <c r="F2" s="520" t="s">
        <v>345</v>
      </c>
      <c r="G2" s="555" t="s">
        <v>1369</v>
      </c>
      <c r="H2" s="555" t="s">
        <v>1316</v>
      </c>
      <c r="I2" s="555" t="s">
        <v>1318</v>
      </c>
      <c r="J2" s="520" t="s">
        <v>345</v>
      </c>
      <c r="K2" s="555" t="s">
        <v>1369</v>
      </c>
      <c r="L2" s="555" t="s">
        <v>1316</v>
      </c>
      <c r="M2" s="555" t="s">
        <v>1318</v>
      </c>
      <c r="N2" s="520" t="s">
        <v>345</v>
      </c>
      <c r="O2" s="555" t="s">
        <v>1369</v>
      </c>
      <c r="P2" s="555" t="s">
        <v>1316</v>
      </c>
      <c r="Q2" s="555" t="s">
        <v>1318</v>
      </c>
      <c r="R2" s="640" t="s">
        <v>345</v>
      </c>
      <c r="S2" s="555" t="s">
        <v>1369</v>
      </c>
      <c r="T2" s="555" t="s">
        <v>1316</v>
      </c>
      <c r="U2" s="555" t="s">
        <v>1318</v>
      </c>
      <c r="V2" s="640" t="s">
        <v>345</v>
      </c>
      <c r="W2" s="555" t="s">
        <v>1369</v>
      </c>
      <c r="X2" s="555" t="s">
        <v>1316</v>
      </c>
      <c r="Y2" s="555" t="s">
        <v>1318</v>
      </c>
      <c r="Z2" s="856" t="s">
        <v>345</v>
      </c>
      <c r="AA2" s="555" t="s">
        <v>1369</v>
      </c>
      <c r="AB2" s="555" t="s">
        <v>1316</v>
      </c>
      <c r="AC2" s="555" t="s">
        <v>1318</v>
      </c>
      <c r="AD2" s="876" t="s">
        <v>345</v>
      </c>
      <c r="AE2" s="555" t="s">
        <v>1369</v>
      </c>
      <c r="AF2" s="555" t="s">
        <v>1316</v>
      </c>
      <c r="AG2" s="555" t="s">
        <v>1318</v>
      </c>
      <c r="AH2" s="896" t="s">
        <v>345</v>
      </c>
    </row>
    <row r="3" spans="1:34" s="247" customFormat="1" ht="30.4" customHeight="1" x14ac:dyDescent="0.25">
      <c r="A3" s="994"/>
      <c r="B3" s="994"/>
      <c r="C3" s="997" t="s">
        <v>1494</v>
      </c>
      <c r="D3" s="994"/>
      <c r="E3" s="994"/>
      <c r="F3" s="994"/>
      <c r="G3" s="997" t="s">
        <v>1517</v>
      </c>
      <c r="H3" s="994"/>
      <c r="I3" s="994"/>
      <c r="J3" s="994"/>
      <c r="K3" s="997" t="s">
        <v>1518</v>
      </c>
      <c r="L3" s="994"/>
      <c r="M3" s="994"/>
      <c r="N3" s="994"/>
      <c r="O3" s="997" t="s">
        <v>1496</v>
      </c>
      <c r="P3" s="994"/>
      <c r="Q3" s="994"/>
      <c r="R3" s="994"/>
      <c r="S3" s="988" t="s">
        <v>1499</v>
      </c>
      <c r="T3" s="989"/>
      <c r="U3" s="989"/>
      <c r="V3" s="990"/>
      <c r="W3" s="988" t="s">
        <v>1714</v>
      </c>
      <c r="X3" s="989"/>
      <c r="Y3" s="989"/>
      <c r="Z3" s="990"/>
      <c r="AA3" s="988" t="s">
        <v>1727</v>
      </c>
      <c r="AB3" s="989"/>
      <c r="AC3" s="989"/>
      <c r="AD3" s="990"/>
      <c r="AE3" s="988" t="s">
        <v>1741</v>
      </c>
      <c r="AF3" s="989"/>
      <c r="AG3" s="989"/>
      <c r="AH3" s="990"/>
    </row>
    <row r="4" spans="1:34" s="247" customFormat="1" x14ac:dyDescent="0.25">
      <c r="A4" s="535" t="s">
        <v>322</v>
      </c>
      <c r="B4" s="363" t="s">
        <v>656</v>
      </c>
      <c r="C4" s="536">
        <v>79</v>
      </c>
      <c r="D4" s="536">
        <v>0</v>
      </c>
      <c r="E4" s="536">
        <v>7</v>
      </c>
      <c r="F4" s="373">
        <v>725970</v>
      </c>
      <c r="G4" s="536">
        <v>79</v>
      </c>
      <c r="H4" s="536">
        <v>0</v>
      </c>
      <c r="I4" s="536">
        <v>7</v>
      </c>
      <c r="J4" s="373">
        <v>766814</v>
      </c>
      <c r="K4" s="536">
        <v>74</v>
      </c>
      <c r="L4" s="536">
        <v>0</v>
      </c>
      <c r="M4" s="536">
        <v>7</v>
      </c>
      <c r="N4" s="373">
        <v>766814</v>
      </c>
      <c r="O4" s="536">
        <v>74</v>
      </c>
      <c r="P4" s="536">
        <v>0</v>
      </c>
      <c r="Q4" s="536">
        <v>7</v>
      </c>
      <c r="R4" s="373">
        <v>691070</v>
      </c>
      <c r="S4" s="536">
        <v>79</v>
      </c>
      <c r="T4" s="536">
        <v>0</v>
      </c>
      <c r="U4" s="536">
        <v>7</v>
      </c>
      <c r="V4" s="373">
        <f>+V5+V17+V28</f>
        <v>762935</v>
      </c>
      <c r="W4" s="536">
        <v>79</v>
      </c>
      <c r="X4" s="536">
        <v>0</v>
      </c>
      <c r="Y4" s="536">
        <v>7</v>
      </c>
      <c r="Z4" s="373">
        <f>+Z5+Z17+Z28</f>
        <v>834161</v>
      </c>
      <c r="AA4" s="536">
        <v>79</v>
      </c>
      <c r="AB4" s="536">
        <v>0</v>
      </c>
      <c r="AC4" s="536">
        <v>7</v>
      </c>
      <c r="AD4" s="373">
        <f>+AD5+AD17+AD28</f>
        <v>834161</v>
      </c>
      <c r="AE4" s="536">
        <v>79</v>
      </c>
      <c r="AF4" s="536">
        <v>0</v>
      </c>
      <c r="AG4" s="536">
        <v>7</v>
      </c>
      <c r="AH4" s="373">
        <f>+AH5+AH17+AH28</f>
        <v>844122</v>
      </c>
    </row>
    <row r="5" spans="1:34" x14ac:dyDescent="0.25">
      <c r="A5" s="537" t="s">
        <v>309</v>
      </c>
      <c r="B5" s="538" t="s">
        <v>348</v>
      </c>
      <c r="C5" s="540">
        <v>74</v>
      </c>
      <c r="D5" s="540">
        <v>0</v>
      </c>
      <c r="E5" s="540">
        <v>7</v>
      </c>
      <c r="F5" s="539">
        <v>692586</v>
      </c>
      <c r="G5" s="540">
        <v>74</v>
      </c>
      <c r="H5" s="540">
        <v>0</v>
      </c>
      <c r="I5" s="540">
        <v>7</v>
      </c>
      <c r="J5" s="539">
        <v>733430</v>
      </c>
      <c r="K5" s="540">
        <v>69</v>
      </c>
      <c r="L5" s="540">
        <v>0</v>
      </c>
      <c r="M5" s="540">
        <v>7</v>
      </c>
      <c r="N5" s="539">
        <v>733430</v>
      </c>
      <c r="O5" s="540">
        <v>69</v>
      </c>
      <c r="P5" s="540">
        <v>0</v>
      </c>
      <c r="Q5" s="540">
        <v>7</v>
      </c>
      <c r="R5" s="539">
        <v>665660</v>
      </c>
      <c r="S5" s="540">
        <v>74</v>
      </c>
      <c r="T5" s="540">
        <v>0</v>
      </c>
      <c r="U5" s="540">
        <v>7</v>
      </c>
      <c r="V5" s="539">
        <f>+V6+V12</f>
        <v>730223</v>
      </c>
      <c r="W5" s="540">
        <v>74</v>
      </c>
      <c r="X5" s="540">
        <v>0</v>
      </c>
      <c r="Y5" s="540">
        <v>7</v>
      </c>
      <c r="Z5" s="539">
        <f>+Z6+Z12</f>
        <v>801449</v>
      </c>
      <c r="AA5" s="540">
        <v>74</v>
      </c>
      <c r="AB5" s="540">
        <v>0</v>
      </c>
      <c r="AC5" s="540">
        <v>7</v>
      </c>
      <c r="AD5" s="539">
        <f>+AD6+AD12</f>
        <v>801392</v>
      </c>
      <c r="AE5" s="540">
        <v>74</v>
      </c>
      <c r="AF5" s="540">
        <v>0</v>
      </c>
      <c r="AG5" s="540">
        <v>7</v>
      </c>
      <c r="AH5" s="539">
        <f>+AH6+AH12</f>
        <v>811353</v>
      </c>
    </row>
    <row r="6" spans="1:34" x14ac:dyDescent="0.25">
      <c r="A6" s="541" t="s">
        <v>311</v>
      </c>
      <c r="B6" s="527" t="s">
        <v>657</v>
      </c>
      <c r="C6" s="543">
        <v>74</v>
      </c>
      <c r="D6" s="543"/>
      <c r="E6" s="543">
        <v>7</v>
      </c>
      <c r="F6" s="542">
        <v>692586</v>
      </c>
      <c r="G6" s="543">
        <v>74</v>
      </c>
      <c r="H6" s="543"/>
      <c r="I6" s="543">
        <v>7</v>
      </c>
      <c r="J6" s="542">
        <v>729304</v>
      </c>
      <c r="K6" s="543">
        <v>69</v>
      </c>
      <c r="L6" s="543"/>
      <c r="M6" s="543">
        <v>7</v>
      </c>
      <c r="N6" s="542">
        <v>729304</v>
      </c>
      <c r="O6" s="543">
        <v>69</v>
      </c>
      <c r="P6" s="543"/>
      <c r="Q6" s="543">
        <v>7</v>
      </c>
      <c r="R6" s="542">
        <v>662152</v>
      </c>
      <c r="S6" s="939">
        <v>74</v>
      </c>
      <c r="T6" s="939"/>
      <c r="U6" s="939">
        <v>7</v>
      </c>
      <c r="V6" s="940">
        <f>SUM(V7:V11)</f>
        <v>721658</v>
      </c>
      <c r="W6" s="543">
        <v>74</v>
      </c>
      <c r="X6" s="543"/>
      <c r="Y6" s="543">
        <v>7</v>
      </c>
      <c r="Z6" s="542">
        <f>SUM(Z7:Z11)</f>
        <v>789023</v>
      </c>
      <c r="AA6" s="543">
        <v>74</v>
      </c>
      <c r="AB6" s="543"/>
      <c r="AC6" s="543">
        <v>7</v>
      </c>
      <c r="AD6" s="542">
        <f>SUM(AD7:AD11)</f>
        <v>788966</v>
      </c>
      <c r="AE6" s="939">
        <f>74+5</f>
        <v>79</v>
      </c>
      <c r="AF6" s="939"/>
      <c r="AG6" s="939">
        <v>7</v>
      </c>
      <c r="AH6" s="940">
        <f>SUM(AH7:AH11)</f>
        <v>794380</v>
      </c>
    </row>
    <row r="7" spans="1:34" x14ac:dyDescent="0.25">
      <c r="A7" s="544"/>
      <c r="B7" s="545" t="s">
        <v>286</v>
      </c>
      <c r="C7" s="547"/>
      <c r="D7" s="547"/>
      <c r="E7" s="547"/>
      <c r="F7" s="546">
        <v>436052</v>
      </c>
      <c r="G7" s="547"/>
      <c r="H7" s="547"/>
      <c r="I7" s="547"/>
      <c r="J7" s="546">
        <v>461069</v>
      </c>
      <c r="K7" s="547"/>
      <c r="L7" s="547"/>
      <c r="M7" s="547"/>
      <c r="N7" s="546">
        <v>461069</v>
      </c>
      <c r="O7" s="547"/>
      <c r="P7" s="547"/>
      <c r="Q7" s="547"/>
      <c r="R7" s="546">
        <v>421423</v>
      </c>
      <c r="S7" s="941"/>
      <c r="T7" s="941"/>
      <c r="U7" s="941"/>
      <c r="V7" s="942">
        <v>443812</v>
      </c>
      <c r="W7" s="547"/>
      <c r="X7" s="547"/>
      <c r="Y7" s="547"/>
      <c r="Z7" s="546">
        <f>443812+25104+20000</f>
        <v>488916</v>
      </c>
      <c r="AA7" s="547"/>
      <c r="AB7" s="547"/>
      <c r="AC7" s="547"/>
      <c r="AD7" s="546">
        <v>488916</v>
      </c>
      <c r="AE7" s="941"/>
      <c r="AF7" s="941"/>
      <c r="AG7" s="941"/>
      <c r="AH7" s="942">
        <f>488916+4593</f>
        <v>493509</v>
      </c>
    </row>
    <row r="8" spans="1:34" x14ac:dyDescent="0.25">
      <c r="A8" s="544"/>
      <c r="B8" s="545" t="s">
        <v>287</v>
      </c>
      <c r="C8" s="547"/>
      <c r="D8" s="547"/>
      <c r="E8" s="547"/>
      <c r="F8" s="546">
        <v>89866</v>
      </c>
      <c r="G8" s="547"/>
      <c r="H8" s="547"/>
      <c r="I8" s="547"/>
      <c r="J8" s="546">
        <v>94761</v>
      </c>
      <c r="K8" s="547"/>
      <c r="L8" s="547"/>
      <c r="M8" s="547"/>
      <c r="N8" s="546">
        <v>94761</v>
      </c>
      <c r="O8" s="547"/>
      <c r="P8" s="547"/>
      <c r="Q8" s="547"/>
      <c r="R8" s="546">
        <v>89535</v>
      </c>
      <c r="S8" s="941"/>
      <c r="T8" s="941"/>
      <c r="U8" s="941"/>
      <c r="V8" s="942">
        <v>88919</v>
      </c>
      <c r="W8" s="547"/>
      <c r="X8" s="547"/>
      <c r="Y8" s="547"/>
      <c r="Z8" s="546">
        <f>88919+4896+3900</f>
        <v>97715</v>
      </c>
      <c r="AA8" s="547"/>
      <c r="AB8" s="547"/>
      <c r="AC8" s="547"/>
      <c r="AD8" s="546">
        <v>97715</v>
      </c>
      <c r="AE8" s="941"/>
      <c r="AF8" s="941"/>
      <c r="AG8" s="941"/>
      <c r="AH8" s="942">
        <f>97715+821+1</f>
        <v>98537</v>
      </c>
    </row>
    <row r="9" spans="1:34" x14ac:dyDescent="0.25">
      <c r="A9" s="544"/>
      <c r="B9" s="545" t="s">
        <v>292</v>
      </c>
      <c r="C9" s="547"/>
      <c r="D9" s="547"/>
      <c r="E9" s="547"/>
      <c r="F9" s="546">
        <v>138728</v>
      </c>
      <c r="G9" s="547"/>
      <c r="H9" s="547"/>
      <c r="I9" s="547"/>
      <c r="J9" s="546">
        <v>145534</v>
      </c>
      <c r="K9" s="547"/>
      <c r="L9" s="547"/>
      <c r="M9" s="547"/>
      <c r="N9" s="546">
        <v>145534</v>
      </c>
      <c r="O9" s="547"/>
      <c r="P9" s="547"/>
      <c r="Q9" s="547"/>
      <c r="R9" s="546">
        <v>127977</v>
      </c>
      <c r="S9" s="941"/>
      <c r="T9" s="941"/>
      <c r="U9" s="941"/>
      <c r="V9" s="942">
        <v>172381</v>
      </c>
      <c r="W9" s="547"/>
      <c r="X9" s="547"/>
      <c r="Y9" s="547"/>
      <c r="Z9" s="546">
        <f>172381-5207+100+5675+765</f>
        <v>173714</v>
      </c>
      <c r="AA9" s="547"/>
      <c r="AB9" s="547"/>
      <c r="AC9" s="547"/>
      <c r="AD9" s="546">
        <f>173714-57</f>
        <v>173657</v>
      </c>
      <c r="AE9" s="941"/>
      <c r="AF9" s="941"/>
      <c r="AG9" s="941"/>
      <c r="AH9" s="942">
        <f>173657-1733-992</f>
        <v>170932</v>
      </c>
    </row>
    <row r="10" spans="1:34" ht="30" x14ac:dyDescent="0.25">
      <c r="A10" s="544"/>
      <c r="B10" s="545" t="s">
        <v>568</v>
      </c>
      <c r="C10" s="547"/>
      <c r="D10" s="547"/>
      <c r="E10" s="547"/>
      <c r="F10" s="546">
        <v>0</v>
      </c>
      <c r="G10" s="547"/>
      <c r="H10" s="547"/>
      <c r="I10" s="547"/>
      <c r="J10" s="546">
        <v>0</v>
      </c>
      <c r="K10" s="547"/>
      <c r="L10" s="547"/>
      <c r="M10" s="547"/>
      <c r="N10" s="546">
        <v>0</v>
      </c>
      <c r="O10" s="547"/>
      <c r="P10" s="547"/>
      <c r="Q10" s="547"/>
      <c r="R10" s="546"/>
      <c r="S10" s="941"/>
      <c r="T10" s="941"/>
      <c r="U10" s="941"/>
      <c r="V10" s="942"/>
      <c r="W10" s="547"/>
      <c r="X10" s="547"/>
      <c r="Y10" s="547"/>
      <c r="Z10" s="546"/>
      <c r="AA10" s="547"/>
      <c r="AB10" s="547"/>
      <c r="AC10" s="547"/>
      <c r="AD10" s="546"/>
      <c r="AE10" s="941"/>
      <c r="AF10" s="941"/>
      <c r="AG10" s="941"/>
      <c r="AH10" s="942"/>
    </row>
    <row r="11" spans="1:34" x14ac:dyDescent="0.25">
      <c r="A11" s="544"/>
      <c r="B11" s="545" t="s">
        <v>351</v>
      </c>
      <c r="C11" s="547"/>
      <c r="D11" s="547"/>
      <c r="E11" s="547"/>
      <c r="F11" s="546">
        <v>27940</v>
      </c>
      <c r="G11" s="547"/>
      <c r="H11" s="547"/>
      <c r="I11" s="547"/>
      <c r="J11" s="546">
        <v>27940</v>
      </c>
      <c r="K11" s="547"/>
      <c r="L11" s="547"/>
      <c r="M11" s="547"/>
      <c r="N11" s="546">
        <v>27940</v>
      </c>
      <c r="O11" s="547"/>
      <c r="P11" s="547"/>
      <c r="Q11" s="547"/>
      <c r="R11" s="546">
        <v>23217</v>
      </c>
      <c r="S11" s="941"/>
      <c r="T11" s="941"/>
      <c r="U11" s="941"/>
      <c r="V11" s="942">
        <v>16546</v>
      </c>
      <c r="W11" s="547"/>
      <c r="X11" s="547"/>
      <c r="Y11" s="547"/>
      <c r="Z11" s="546">
        <f>16546+5207+6925</f>
        <v>28678</v>
      </c>
      <c r="AA11" s="547"/>
      <c r="AB11" s="547"/>
      <c r="AC11" s="547"/>
      <c r="AD11" s="546">
        <v>28678</v>
      </c>
      <c r="AE11" s="941"/>
      <c r="AF11" s="941"/>
      <c r="AG11" s="941"/>
      <c r="AH11" s="942">
        <f>28678+1733+992-1</f>
        <v>31402</v>
      </c>
    </row>
    <row r="12" spans="1:34" s="548" customFormat="1" x14ac:dyDescent="0.25">
      <c r="A12" s="541" t="s">
        <v>322</v>
      </c>
      <c r="B12" s="527" t="s">
        <v>1464</v>
      </c>
      <c r="C12" s="543"/>
      <c r="D12" s="543"/>
      <c r="E12" s="543"/>
      <c r="F12" s="542"/>
      <c r="G12" s="543"/>
      <c r="H12" s="543"/>
      <c r="I12" s="543"/>
      <c r="J12" s="542">
        <v>4126</v>
      </c>
      <c r="K12" s="543"/>
      <c r="L12" s="543"/>
      <c r="M12" s="543"/>
      <c r="N12" s="542">
        <v>4126</v>
      </c>
      <c r="O12" s="543"/>
      <c r="P12" s="543"/>
      <c r="Q12" s="543"/>
      <c r="R12" s="542">
        <v>3508</v>
      </c>
      <c r="S12" s="939"/>
      <c r="T12" s="939"/>
      <c r="U12" s="939"/>
      <c r="V12" s="940">
        <v>8565</v>
      </c>
      <c r="W12" s="543"/>
      <c r="X12" s="543"/>
      <c r="Y12" s="543"/>
      <c r="Z12" s="542">
        <f>SUM(Z13:Z15)</f>
        <v>12426</v>
      </c>
      <c r="AA12" s="543"/>
      <c r="AB12" s="543"/>
      <c r="AC12" s="543"/>
      <c r="AD12" s="542">
        <f>SUM(AD13:AD15)</f>
        <v>12426</v>
      </c>
      <c r="AE12" s="939"/>
      <c r="AF12" s="939"/>
      <c r="AG12" s="939"/>
      <c r="AH12" s="940">
        <f>SUM(AH13:AH16)</f>
        <v>16973</v>
      </c>
    </row>
    <row r="13" spans="1:34" x14ac:dyDescent="0.25">
      <c r="A13" s="544"/>
      <c r="B13" s="545" t="s">
        <v>286</v>
      </c>
      <c r="C13" s="547"/>
      <c r="D13" s="547"/>
      <c r="E13" s="547"/>
      <c r="F13" s="546"/>
      <c r="G13" s="547"/>
      <c r="H13" s="547"/>
      <c r="I13" s="547"/>
      <c r="J13" s="546">
        <v>3173</v>
      </c>
      <c r="K13" s="547"/>
      <c r="L13" s="547"/>
      <c r="M13" s="547"/>
      <c r="N13" s="546">
        <v>3173</v>
      </c>
      <c r="O13" s="547"/>
      <c r="P13" s="547"/>
      <c r="Q13" s="547"/>
      <c r="R13" s="546">
        <v>2555</v>
      </c>
      <c r="S13" s="941"/>
      <c r="T13" s="941"/>
      <c r="U13" s="941"/>
      <c r="V13" s="942">
        <v>6120</v>
      </c>
      <c r="W13" s="547"/>
      <c r="X13" s="547"/>
      <c r="Y13" s="547"/>
      <c r="Z13" s="546">
        <f>6120+2941</f>
        <v>9061</v>
      </c>
      <c r="AA13" s="547"/>
      <c r="AB13" s="547"/>
      <c r="AC13" s="547"/>
      <c r="AD13" s="546">
        <f>6120+2941</f>
        <v>9061</v>
      </c>
      <c r="AE13" s="941"/>
      <c r="AF13" s="941"/>
      <c r="AG13" s="941"/>
      <c r="AH13" s="942">
        <f>6120+2941</f>
        <v>9061</v>
      </c>
    </row>
    <row r="14" spans="1:34" x14ac:dyDescent="0.25">
      <c r="A14" s="544"/>
      <c r="B14" s="545" t="s">
        <v>287</v>
      </c>
      <c r="C14" s="547"/>
      <c r="D14" s="547"/>
      <c r="E14" s="547"/>
      <c r="F14" s="546"/>
      <c r="G14" s="547"/>
      <c r="H14" s="547"/>
      <c r="I14" s="547"/>
      <c r="J14" s="546">
        <v>551</v>
      </c>
      <c r="K14" s="547"/>
      <c r="L14" s="547"/>
      <c r="M14" s="547"/>
      <c r="N14" s="546">
        <v>551</v>
      </c>
      <c r="O14" s="547"/>
      <c r="P14" s="547"/>
      <c r="Q14" s="547"/>
      <c r="R14" s="546">
        <v>551</v>
      </c>
      <c r="S14" s="941"/>
      <c r="T14" s="941"/>
      <c r="U14" s="941"/>
      <c r="V14" s="942">
        <v>1102</v>
      </c>
      <c r="W14" s="547"/>
      <c r="X14" s="547"/>
      <c r="Y14" s="547"/>
      <c r="Z14" s="546">
        <f>1102+627</f>
        <v>1729</v>
      </c>
      <c r="AA14" s="547"/>
      <c r="AB14" s="547"/>
      <c r="AC14" s="547"/>
      <c r="AD14" s="546">
        <f>1102+627</f>
        <v>1729</v>
      </c>
      <c r="AE14" s="941"/>
      <c r="AF14" s="941"/>
      <c r="AG14" s="941"/>
      <c r="AH14" s="942">
        <f>1102+627</f>
        <v>1729</v>
      </c>
    </row>
    <row r="15" spans="1:34" x14ac:dyDescent="0.25">
      <c r="A15" s="544"/>
      <c r="B15" s="545" t="s">
        <v>292</v>
      </c>
      <c r="C15" s="547"/>
      <c r="D15" s="547"/>
      <c r="E15" s="547"/>
      <c r="F15" s="546"/>
      <c r="G15" s="547"/>
      <c r="H15" s="547"/>
      <c r="I15" s="547"/>
      <c r="J15" s="546">
        <v>402</v>
      </c>
      <c r="K15" s="547"/>
      <c r="L15" s="547"/>
      <c r="M15" s="547"/>
      <c r="N15" s="546">
        <v>402</v>
      </c>
      <c r="O15" s="547"/>
      <c r="P15" s="547"/>
      <c r="Q15" s="547"/>
      <c r="R15" s="546">
        <v>402</v>
      </c>
      <c r="S15" s="941"/>
      <c r="T15" s="941"/>
      <c r="U15" s="941"/>
      <c r="V15" s="942">
        <v>1343</v>
      </c>
      <c r="W15" s="547"/>
      <c r="X15" s="547"/>
      <c r="Y15" s="547"/>
      <c r="Z15" s="546">
        <f>1343+293</f>
        <v>1636</v>
      </c>
      <c r="AA15" s="547"/>
      <c r="AB15" s="547"/>
      <c r="AC15" s="547"/>
      <c r="AD15" s="546">
        <f>1343+293</f>
        <v>1636</v>
      </c>
      <c r="AE15" s="941"/>
      <c r="AF15" s="941"/>
      <c r="AG15" s="941"/>
      <c r="AH15" s="942">
        <f>1636+4394</f>
        <v>6030</v>
      </c>
    </row>
    <row r="16" spans="1:34" x14ac:dyDescent="0.25">
      <c r="A16" s="544"/>
      <c r="B16" s="545" t="s">
        <v>351</v>
      </c>
      <c r="C16" s="547"/>
      <c r="D16" s="547"/>
      <c r="E16" s="547"/>
      <c r="F16" s="546"/>
      <c r="G16" s="547"/>
      <c r="H16" s="547"/>
      <c r="I16" s="547"/>
      <c r="J16" s="546"/>
      <c r="K16" s="547"/>
      <c r="L16" s="547"/>
      <c r="M16" s="547"/>
      <c r="N16" s="546"/>
      <c r="O16" s="547"/>
      <c r="P16" s="547"/>
      <c r="Q16" s="547"/>
      <c r="R16" s="546"/>
      <c r="S16" s="941"/>
      <c r="T16" s="941"/>
      <c r="U16" s="941"/>
      <c r="V16" s="942"/>
      <c r="W16" s="547"/>
      <c r="X16" s="547"/>
      <c r="Y16" s="547"/>
      <c r="Z16" s="546"/>
      <c r="AA16" s="547"/>
      <c r="AB16" s="547"/>
      <c r="AC16" s="547"/>
      <c r="AD16" s="546"/>
      <c r="AE16" s="941"/>
      <c r="AF16" s="941"/>
      <c r="AG16" s="941"/>
      <c r="AH16" s="942">
        <v>153</v>
      </c>
    </row>
    <row r="17" spans="1:34" x14ac:dyDescent="0.25">
      <c r="A17" s="537" t="s">
        <v>318</v>
      </c>
      <c r="B17" s="538" t="s">
        <v>353</v>
      </c>
      <c r="C17" s="540">
        <v>5</v>
      </c>
      <c r="D17" s="540">
        <v>0</v>
      </c>
      <c r="E17" s="540">
        <v>0</v>
      </c>
      <c r="F17" s="539">
        <v>29094</v>
      </c>
      <c r="G17" s="540">
        <v>5</v>
      </c>
      <c r="H17" s="540">
        <v>0</v>
      </c>
      <c r="I17" s="540">
        <v>0</v>
      </c>
      <c r="J17" s="539">
        <v>29094</v>
      </c>
      <c r="K17" s="540">
        <v>5</v>
      </c>
      <c r="L17" s="540">
        <v>0</v>
      </c>
      <c r="M17" s="540">
        <v>0</v>
      </c>
      <c r="N17" s="539">
        <v>29094</v>
      </c>
      <c r="O17" s="540">
        <v>5</v>
      </c>
      <c r="P17" s="540">
        <v>0</v>
      </c>
      <c r="Q17" s="540">
        <v>0</v>
      </c>
      <c r="R17" s="539">
        <v>21373</v>
      </c>
      <c r="S17" s="540">
        <v>5</v>
      </c>
      <c r="T17" s="540">
        <v>0</v>
      </c>
      <c r="U17" s="540">
        <v>0</v>
      </c>
      <c r="V17" s="539">
        <v>29435</v>
      </c>
      <c r="W17" s="540">
        <v>5</v>
      </c>
      <c r="X17" s="540">
        <v>0</v>
      </c>
      <c r="Y17" s="540">
        <v>0</v>
      </c>
      <c r="Z17" s="539">
        <v>29435</v>
      </c>
      <c r="AA17" s="540">
        <v>5</v>
      </c>
      <c r="AB17" s="540">
        <v>0</v>
      </c>
      <c r="AC17" s="540">
        <v>0</v>
      </c>
      <c r="AD17" s="539">
        <f>+AD18+AD23</f>
        <v>29492</v>
      </c>
      <c r="AE17" s="540">
        <v>5</v>
      </c>
      <c r="AF17" s="540">
        <v>0</v>
      </c>
      <c r="AG17" s="540">
        <v>0</v>
      </c>
      <c r="AH17" s="539">
        <f>+AH18+AH23</f>
        <v>29492</v>
      </c>
    </row>
    <row r="18" spans="1:34" s="548" customFormat="1" x14ac:dyDescent="0.25">
      <c r="A18" s="541" t="s">
        <v>311</v>
      </c>
      <c r="B18" s="527" t="s">
        <v>1408</v>
      </c>
      <c r="C18" s="543">
        <v>5</v>
      </c>
      <c r="D18" s="543"/>
      <c r="E18" s="543"/>
      <c r="F18" s="542">
        <v>24426</v>
      </c>
      <c r="G18" s="543">
        <v>5</v>
      </c>
      <c r="H18" s="543"/>
      <c r="I18" s="543"/>
      <c r="J18" s="542">
        <v>24426</v>
      </c>
      <c r="K18" s="543">
        <v>5</v>
      </c>
      <c r="L18" s="543"/>
      <c r="M18" s="543"/>
      <c r="N18" s="542">
        <v>24426</v>
      </c>
      <c r="O18" s="543">
        <v>5</v>
      </c>
      <c r="P18" s="543"/>
      <c r="Q18" s="543"/>
      <c r="R18" s="542">
        <v>17296</v>
      </c>
      <c r="S18" s="939">
        <v>4</v>
      </c>
      <c r="T18" s="939"/>
      <c r="U18" s="939"/>
      <c r="V18" s="940">
        <v>24343</v>
      </c>
      <c r="W18" s="543">
        <v>4</v>
      </c>
      <c r="X18" s="543"/>
      <c r="Y18" s="543"/>
      <c r="Z18" s="542">
        <v>24343</v>
      </c>
      <c r="AA18" s="543">
        <v>4</v>
      </c>
      <c r="AB18" s="543"/>
      <c r="AC18" s="543"/>
      <c r="AD18" s="542">
        <f>SUM(AD19:AD22)</f>
        <v>24400</v>
      </c>
      <c r="AE18" s="939">
        <v>4</v>
      </c>
      <c r="AF18" s="939"/>
      <c r="AG18" s="939"/>
      <c r="AH18" s="940">
        <f>SUM(AH19:AH22)</f>
        <v>24400</v>
      </c>
    </row>
    <row r="19" spans="1:34" x14ac:dyDescent="0.25">
      <c r="A19" s="544"/>
      <c r="B19" s="545" t="s">
        <v>286</v>
      </c>
      <c r="C19" s="547"/>
      <c r="D19" s="547"/>
      <c r="E19" s="547"/>
      <c r="F19" s="546">
        <v>18198</v>
      </c>
      <c r="G19" s="547"/>
      <c r="H19" s="547"/>
      <c r="I19" s="547"/>
      <c r="J19" s="546">
        <v>18198</v>
      </c>
      <c r="K19" s="547"/>
      <c r="L19" s="547"/>
      <c r="M19" s="547"/>
      <c r="N19" s="546">
        <v>18198</v>
      </c>
      <c r="O19" s="547"/>
      <c r="P19" s="547"/>
      <c r="Q19" s="547"/>
      <c r="R19" s="546">
        <v>12297</v>
      </c>
      <c r="S19" s="941"/>
      <c r="T19" s="941"/>
      <c r="U19" s="941"/>
      <c r="V19" s="942">
        <v>18198</v>
      </c>
      <c r="W19" s="547"/>
      <c r="X19" s="547"/>
      <c r="Y19" s="547"/>
      <c r="Z19" s="546">
        <v>18198</v>
      </c>
      <c r="AA19" s="547"/>
      <c r="AB19" s="547"/>
      <c r="AC19" s="547"/>
      <c r="AD19" s="546">
        <v>18198</v>
      </c>
      <c r="AE19" s="941"/>
      <c r="AF19" s="941"/>
      <c r="AG19" s="941"/>
      <c r="AH19" s="942">
        <v>18198</v>
      </c>
    </row>
    <row r="20" spans="1:34" x14ac:dyDescent="0.25">
      <c r="A20" s="544"/>
      <c r="B20" s="545" t="s">
        <v>287</v>
      </c>
      <c r="C20" s="547"/>
      <c r="D20" s="547"/>
      <c r="E20" s="547"/>
      <c r="F20" s="546">
        <v>3231</v>
      </c>
      <c r="G20" s="547"/>
      <c r="H20" s="547"/>
      <c r="I20" s="547"/>
      <c r="J20" s="546">
        <v>3231</v>
      </c>
      <c r="K20" s="547"/>
      <c r="L20" s="547"/>
      <c r="M20" s="547"/>
      <c r="N20" s="546">
        <v>3231</v>
      </c>
      <c r="O20" s="547"/>
      <c r="P20" s="547"/>
      <c r="Q20" s="547"/>
      <c r="R20" s="546">
        <v>2698</v>
      </c>
      <c r="S20" s="941"/>
      <c r="T20" s="941"/>
      <c r="U20" s="941"/>
      <c r="V20" s="942">
        <v>3458</v>
      </c>
      <c r="W20" s="547"/>
      <c r="X20" s="547"/>
      <c r="Y20" s="547"/>
      <c r="Z20" s="546">
        <v>3458</v>
      </c>
      <c r="AA20" s="547"/>
      <c r="AB20" s="547"/>
      <c r="AC20" s="547"/>
      <c r="AD20" s="546">
        <v>3458</v>
      </c>
      <c r="AE20" s="941"/>
      <c r="AF20" s="941"/>
      <c r="AG20" s="941"/>
      <c r="AH20" s="942">
        <v>3458</v>
      </c>
    </row>
    <row r="21" spans="1:34" x14ac:dyDescent="0.25">
      <c r="A21" s="544"/>
      <c r="B21" s="545" t="s">
        <v>292</v>
      </c>
      <c r="C21" s="547"/>
      <c r="D21" s="547"/>
      <c r="E21" s="547"/>
      <c r="F21" s="546">
        <v>2952</v>
      </c>
      <c r="G21" s="547"/>
      <c r="H21" s="547"/>
      <c r="I21" s="547"/>
      <c r="J21" s="546">
        <v>2952</v>
      </c>
      <c r="K21" s="547"/>
      <c r="L21" s="547"/>
      <c r="M21" s="547"/>
      <c r="N21" s="546">
        <v>2952</v>
      </c>
      <c r="O21" s="547"/>
      <c r="P21" s="547"/>
      <c r="Q21" s="547"/>
      <c r="R21" s="546">
        <v>2006</v>
      </c>
      <c r="S21" s="941"/>
      <c r="T21" s="941"/>
      <c r="U21" s="941"/>
      <c r="V21" s="942">
        <v>2687</v>
      </c>
      <c r="W21" s="547"/>
      <c r="X21" s="547"/>
      <c r="Y21" s="547"/>
      <c r="Z21" s="546">
        <v>2687</v>
      </c>
      <c r="AA21" s="547"/>
      <c r="AB21" s="547"/>
      <c r="AC21" s="547"/>
      <c r="AD21" s="546">
        <f>2687+57</f>
        <v>2744</v>
      </c>
      <c r="AE21" s="941"/>
      <c r="AF21" s="941"/>
      <c r="AG21" s="941"/>
      <c r="AH21" s="942">
        <f>2687+57</f>
        <v>2744</v>
      </c>
    </row>
    <row r="22" spans="1:34" x14ac:dyDescent="0.25">
      <c r="A22" s="544"/>
      <c r="B22" s="545" t="s">
        <v>351</v>
      </c>
      <c r="C22" s="547"/>
      <c r="D22" s="547"/>
      <c r="E22" s="547"/>
      <c r="F22" s="546">
        <v>45</v>
      </c>
      <c r="G22" s="547"/>
      <c r="H22" s="547"/>
      <c r="I22" s="547"/>
      <c r="J22" s="546">
        <v>45</v>
      </c>
      <c r="K22" s="547"/>
      <c r="L22" s="547"/>
      <c r="M22" s="547"/>
      <c r="N22" s="546">
        <v>45</v>
      </c>
      <c r="O22" s="547"/>
      <c r="P22" s="547"/>
      <c r="Q22" s="547"/>
      <c r="R22" s="546">
        <v>295</v>
      </c>
      <c r="S22" s="941"/>
      <c r="T22" s="941"/>
      <c r="U22" s="941"/>
      <c r="V22" s="942">
        <v>0</v>
      </c>
      <c r="W22" s="547"/>
      <c r="X22" s="547"/>
      <c r="Y22" s="547"/>
      <c r="Z22" s="546">
        <v>0</v>
      </c>
      <c r="AA22" s="547"/>
      <c r="AB22" s="547"/>
      <c r="AC22" s="547"/>
      <c r="AD22" s="546">
        <v>0</v>
      </c>
      <c r="AE22" s="941"/>
      <c r="AF22" s="941"/>
      <c r="AG22" s="941"/>
      <c r="AH22" s="942">
        <v>0</v>
      </c>
    </row>
    <row r="23" spans="1:34" s="548" customFormat="1" x14ac:dyDescent="0.25">
      <c r="A23" s="541" t="s">
        <v>322</v>
      </c>
      <c r="B23" s="527" t="s">
        <v>1409</v>
      </c>
      <c r="C23" s="543"/>
      <c r="D23" s="543"/>
      <c r="E23" s="543"/>
      <c r="F23" s="542">
        <v>4668</v>
      </c>
      <c r="G23" s="543"/>
      <c r="H23" s="543"/>
      <c r="I23" s="543"/>
      <c r="J23" s="542">
        <v>4668</v>
      </c>
      <c r="K23" s="543"/>
      <c r="L23" s="543"/>
      <c r="M23" s="543"/>
      <c r="N23" s="542">
        <v>4668</v>
      </c>
      <c r="O23" s="543"/>
      <c r="P23" s="543"/>
      <c r="Q23" s="543"/>
      <c r="R23" s="542">
        <v>4077</v>
      </c>
      <c r="S23" s="939">
        <v>1</v>
      </c>
      <c r="T23" s="939"/>
      <c r="U23" s="939"/>
      <c r="V23" s="940">
        <v>5092</v>
      </c>
      <c r="W23" s="543">
        <v>1</v>
      </c>
      <c r="X23" s="543"/>
      <c r="Y23" s="543"/>
      <c r="Z23" s="542">
        <v>5092</v>
      </c>
      <c r="AA23" s="543">
        <v>1</v>
      </c>
      <c r="AB23" s="543"/>
      <c r="AC23" s="543"/>
      <c r="AD23" s="542">
        <v>5092</v>
      </c>
      <c r="AE23" s="939">
        <v>1</v>
      </c>
      <c r="AF23" s="939"/>
      <c r="AG23" s="939"/>
      <c r="AH23" s="940">
        <v>5092</v>
      </c>
    </row>
    <row r="24" spans="1:34" x14ac:dyDescent="0.25">
      <c r="A24" s="544"/>
      <c r="B24" s="545" t="s">
        <v>286</v>
      </c>
      <c r="C24" s="547"/>
      <c r="D24" s="547"/>
      <c r="E24" s="547"/>
      <c r="F24" s="546">
        <v>3438</v>
      </c>
      <c r="G24" s="547"/>
      <c r="H24" s="547"/>
      <c r="I24" s="547"/>
      <c r="J24" s="546">
        <v>3438</v>
      </c>
      <c r="K24" s="547"/>
      <c r="L24" s="547"/>
      <c r="M24" s="547"/>
      <c r="N24" s="546">
        <v>3438</v>
      </c>
      <c r="O24" s="547"/>
      <c r="P24" s="547"/>
      <c r="Q24" s="547"/>
      <c r="R24" s="546">
        <v>3300</v>
      </c>
      <c r="S24" s="941"/>
      <c r="T24" s="941"/>
      <c r="U24" s="941"/>
      <c r="V24" s="942">
        <v>3914</v>
      </c>
      <c r="W24" s="547"/>
      <c r="X24" s="547"/>
      <c r="Y24" s="547"/>
      <c r="Z24" s="546">
        <v>3914</v>
      </c>
      <c r="AA24" s="547"/>
      <c r="AB24" s="547"/>
      <c r="AC24" s="547"/>
      <c r="AD24" s="546">
        <v>3914</v>
      </c>
      <c r="AE24" s="941"/>
      <c r="AF24" s="941"/>
      <c r="AG24" s="941"/>
      <c r="AH24" s="942">
        <v>3914</v>
      </c>
    </row>
    <row r="25" spans="1:34" x14ac:dyDescent="0.25">
      <c r="A25" s="544"/>
      <c r="B25" s="545" t="s">
        <v>287</v>
      </c>
      <c r="C25" s="547"/>
      <c r="D25" s="547"/>
      <c r="E25" s="547"/>
      <c r="F25" s="546">
        <v>697</v>
      </c>
      <c r="G25" s="547"/>
      <c r="H25" s="547"/>
      <c r="I25" s="547"/>
      <c r="J25" s="546">
        <v>697</v>
      </c>
      <c r="K25" s="547"/>
      <c r="L25" s="547"/>
      <c r="M25" s="547"/>
      <c r="N25" s="546">
        <v>697</v>
      </c>
      <c r="O25" s="547"/>
      <c r="P25" s="547"/>
      <c r="Q25" s="547"/>
      <c r="R25" s="546">
        <v>401</v>
      </c>
      <c r="S25" s="941"/>
      <c r="T25" s="941"/>
      <c r="U25" s="941"/>
      <c r="V25" s="942">
        <v>744</v>
      </c>
      <c r="W25" s="547"/>
      <c r="X25" s="547"/>
      <c r="Y25" s="547"/>
      <c r="Z25" s="546">
        <v>744</v>
      </c>
      <c r="AA25" s="547"/>
      <c r="AB25" s="547"/>
      <c r="AC25" s="547"/>
      <c r="AD25" s="546">
        <v>744</v>
      </c>
      <c r="AE25" s="941"/>
      <c r="AF25" s="941"/>
      <c r="AG25" s="941"/>
      <c r="AH25" s="942">
        <v>744</v>
      </c>
    </row>
    <row r="26" spans="1:34" x14ac:dyDescent="0.25">
      <c r="A26" s="544"/>
      <c r="B26" s="545" t="s">
        <v>292</v>
      </c>
      <c r="C26" s="547"/>
      <c r="D26" s="547"/>
      <c r="E26" s="547"/>
      <c r="F26" s="546">
        <v>533</v>
      </c>
      <c r="G26" s="547"/>
      <c r="H26" s="547"/>
      <c r="I26" s="547"/>
      <c r="J26" s="546">
        <v>533</v>
      </c>
      <c r="K26" s="547"/>
      <c r="L26" s="547"/>
      <c r="M26" s="547"/>
      <c r="N26" s="546">
        <v>533</v>
      </c>
      <c r="O26" s="547"/>
      <c r="P26" s="547"/>
      <c r="Q26" s="547"/>
      <c r="R26" s="546">
        <v>376</v>
      </c>
      <c r="S26" s="941"/>
      <c r="T26" s="941"/>
      <c r="U26" s="941"/>
      <c r="V26" s="942">
        <v>434</v>
      </c>
      <c r="W26" s="547"/>
      <c r="X26" s="547"/>
      <c r="Y26" s="547"/>
      <c r="Z26" s="546">
        <v>434</v>
      </c>
      <c r="AA26" s="547"/>
      <c r="AB26" s="547"/>
      <c r="AC26" s="547"/>
      <c r="AD26" s="546">
        <v>434</v>
      </c>
      <c r="AE26" s="941"/>
      <c r="AF26" s="941"/>
      <c r="AG26" s="941"/>
      <c r="AH26" s="942">
        <v>434</v>
      </c>
    </row>
    <row r="27" spans="1:34" x14ac:dyDescent="0.25">
      <c r="A27" s="544"/>
      <c r="B27" s="545" t="s">
        <v>351</v>
      </c>
      <c r="C27" s="547"/>
      <c r="D27" s="547"/>
      <c r="E27" s="547"/>
      <c r="F27" s="546"/>
      <c r="G27" s="547"/>
      <c r="H27" s="547"/>
      <c r="I27" s="547"/>
      <c r="J27" s="546"/>
      <c r="K27" s="547"/>
      <c r="L27" s="547"/>
      <c r="M27" s="547"/>
      <c r="N27" s="546"/>
      <c r="O27" s="547"/>
      <c r="P27" s="547"/>
      <c r="Q27" s="547"/>
      <c r="R27" s="546"/>
      <c r="S27" s="941"/>
      <c r="T27" s="941"/>
      <c r="U27" s="941"/>
      <c r="V27" s="942"/>
      <c r="W27" s="547"/>
      <c r="X27" s="547"/>
      <c r="Y27" s="547"/>
      <c r="Z27" s="546"/>
      <c r="AA27" s="547"/>
      <c r="AB27" s="547"/>
      <c r="AC27" s="547"/>
      <c r="AD27" s="546"/>
      <c r="AE27" s="941"/>
      <c r="AF27" s="941"/>
      <c r="AG27" s="941"/>
      <c r="AH27" s="942"/>
    </row>
    <row r="28" spans="1:34" x14ac:dyDescent="0.25">
      <c r="A28" s="537" t="s">
        <v>328</v>
      </c>
      <c r="B28" s="538" t="s">
        <v>660</v>
      </c>
      <c r="C28" s="540"/>
      <c r="D28" s="540"/>
      <c r="E28" s="540"/>
      <c r="F28" s="539">
        <v>4290</v>
      </c>
      <c r="G28" s="540"/>
      <c r="H28" s="540"/>
      <c r="I28" s="540"/>
      <c r="J28" s="539">
        <v>4290</v>
      </c>
      <c r="K28" s="540"/>
      <c r="L28" s="540"/>
      <c r="M28" s="540"/>
      <c r="N28" s="539">
        <v>4290</v>
      </c>
      <c r="O28" s="540"/>
      <c r="P28" s="540"/>
      <c r="Q28" s="540"/>
      <c r="R28" s="539">
        <v>4037</v>
      </c>
      <c r="S28" s="540"/>
      <c r="T28" s="540"/>
      <c r="U28" s="540"/>
      <c r="V28" s="539">
        <v>3277</v>
      </c>
      <c r="W28" s="540"/>
      <c r="X28" s="540"/>
      <c r="Y28" s="540"/>
      <c r="Z28" s="539">
        <v>3277</v>
      </c>
      <c r="AA28" s="540"/>
      <c r="AB28" s="540"/>
      <c r="AC28" s="540"/>
      <c r="AD28" s="539">
        <v>3277</v>
      </c>
      <c r="AE28" s="540"/>
      <c r="AF28" s="540"/>
      <c r="AG28" s="540"/>
      <c r="AH28" s="539">
        <v>3277</v>
      </c>
    </row>
    <row r="29" spans="1:34" s="548" customFormat="1" x14ac:dyDescent="0.25">
      <c r="A29" s="541" t="s">
        <v>311</v>
      </c>
      <c r="B29" s="527" t="s">
        <v>661</v>
      </c>
      <c r="C29" s="543"/>
      <c r="D29" s="543"/>
      <c r="E29" s="543"/>
      <c r="F29" s="542">
        <v>0</v>
      </c>
      <c r="G29" s="543"/>
      <c r="H29" s="543"/>
      <c r="I29" s="543"/>
      <c r="J29" s="542">
        <v>0</v>
      </c>
      <c r="K29" s="543"/>
      <c r="L29" s="543"/>
      <c r="M29" s="543"/>
      <c r="N29" s="542">
        <v>0</v>
      </c>
      <c r="O29" s="543"/>
      <c r="P29" s="543"/>
      <c r="Q29" s="543"/>
      <c r="R29" s="542">
        <v>0</v>
      </c>
      <c r="S29" s="939"/>
      <c r="T29" s="939"/>
      <c r="U29" s="939"/>
      <c r="V29" s="940">
        <v>0</v>
      </c>
      <c r="W29" s="543"/>
      <c r="X29" s="543"/>
      <c r="Y29" s="543"/>
      <c r="Z29" s="542">
        <v>0</v>
      </c>
      <c r="AA29" s="543"/>
      <c r="AB29" s="543"/>
      <c r="AC29" s="543"/>
      <c r="AD29" s="542">
        <v>0</v>
      </c>
      <c r="AE29" s="939"/>
      <c r="AF29" s="939"/>
      <c r="AG29" s="939"/>
      <c r="AH29" s="940">
        <v>0</v>
      </c>
    </row>
    <row r="30" spans="1:34" x14ac:dyDescent="0.25">
      <c r="A30" s="544"/>
      <c r="B30" s="545" t="s">
        <v>337</v>
      </c>
      <c r="C30" s="547"/>
      <c r="D30" s="547"/>
      <c r="E30" s="547"/>
      <c r="F30" s="546">
        <v>0</v>
      </c>
      <c r="G30" s="547"/>
      <c r="H30" s="547"/>
      <c r="I30" s="547"/>
      <c r="J30" s="546">
        <v>0</v>
      </c>
      <c r="K30" s="547"/>
      <c r="L30" s="547"/>
      <c r="M30" s="547"/>
      <c r="N30" s="546">
        <v>0</v>
      </c>
      <c r="O30" s="547"/>
      <c r="P30" s="547"/>
      <c r="Q30" s="547"/>
      <c r="R30" s="546">
        <v>0</v>
      </c>
      <c r="S30" s="941"/>
      <c r="T30" s="941"/>
      <c r="U30" s="941"/>
      <c r="V30" s="942">
        <v>0</v>
      </c>
      <c r="W30" s="547"/>
      <c r="X30" s="547"/>
      <c r="Y30" s="547"/>
      <c r="Z30" s="546">
        <v>0</v>
      </c>
      <c r="AA30" s="547"/>
      <c r="AB30" s="547"/>
      <c r="AC30" s="547"/>
      <c r="AD30" s="546">
        <v>0</v>
      </c>
      <c r="AE30" s="941"/>
      <c r="AF30" s="941"/>
      <c r="AG30" s="941"/>
      <c r="AH30" s="942">
        <v>0</v>
      </c>
    </row>
    <row r="31" spans="1:34" s="548" customFormat="1" x14ac:dyDescent="0.25">
      <c r="A31" s="541" t="s">
        <v>322</v>
      </c>
      <c r="B31" s="527" t="s">
        <v>662</v>
      </c>
      <c r="C31" s="543"/>
      <c r="D31" s="543"/>
      <c r="E31" s="543"/>
      <c r="F31" s="542">
        <v>4290</v>
      </c>
      <c r="G31" s="543"/>
      <c r="H31" s="543"/>
      <c r="I31" s="543"/>
      <c r="J31" s="542">
        <v>4290</v>
      </c>
      <c r="K31" s="543"/>
      <c r="L31" s="543"/>
      <c r="M31" s="543"/>
      <c r="N31" s="542">
        <v>4290</v>
      </c>
      <c r="O31" s="543"/>
      <c r="P31" s="543"/>
      <c r="Q31" s="543"/>
      <c r="R31" s="542">
        <v>4037</v>
      </c>
      <c r="S31" s="939"/>
      <c r="T31" s="939"/>
      <c r="U31" s="939"/>
      <c r="V31" s="940">
        <v>3277</v>
      </c>
      <c r="W31" s="543"/>
      <c r="X31" s="543"/>
      <c r="Y31" s="543"/>
      <c r="Z31" s="542">
        <v>3277</v>
      </c>
      <c r="AA31" s="543"/>
      <c r="AB31" s="543"/>
      <c r="AC31" s="543"/>
      <c r="AD31" s="542">
        <v>3277</v>
      </c>
      <c r="AE31" s="939"/>
      <c r="AF31" s="939"/>
      <c r="AG31" s="939"/>
      <c r="AH31" s="940">
        <v>3277</v>
      </c>
    </row>
    <row r="32" spans="1:34" s="551" customFormat="1" x14ac:dyDescent="0.25">
      <c r="A32" s="549"/>
      <c r="B32" s="545" t="s">
        <v>286</v>
      </c>
      <c r="C32" s="547"/>
      <c r="D32" s="547"/>
      <c r="E32" s="547"/>
      <c r="F32" s="550">
        <v>40</v>
      </c>
      <c r="G32" s="547"/>
      <c r="H32" s="547"/>
      <c r="I32" s="547"/>
      <c r="J32" s="550">
        <v>40</v>
      </c>
      <c r="K32" s="547"/>
      <c r="L32" s="547"/>
      <c r="M32" s="547"/>
      <c r="N32" s="550">
        <v>40</v>
      </c>
      <c r="O32" s="547"/>
      <c r="P32" s="547"/>
      <c r="Q32" s="547"/>
      <c r="R32" s="550">
        <v>160</v>
      </c>
      <c r="S32" s="941"/>
      <c r="T32" s="941"/>
      <c r="U32" s="941"/>
      <c r="V32" s="943">
        <v>40</v>
      </c>
      <c r="W32" s="547"/>
      <c r="X32" s="547"/>
      <c r="Y32" s="547"/>
      <c r="Z32" s="550">
        <v>40</v>
      </c>
      <c r="AA32" s="547"/>
      <c r="AB32" s="547"/>
      <c r="AC32" s="547"/>
      <c r="AD32" s="550">
        <v>40</v>
      </c>
      <c r="AE32" s="941"/>
      <c r="AF32" s="941"/>
      <c r="AG32" s="941"/>
      <c r="AH32" s="943">
        <v>40</v>
      </c>
    </row>
    <row r="33" spans="1:34" s="551" customFormat="1" x14ac:dyDescent="0.25">
      <c r="A33" s="549"/>
      <c r="B33" s="552" t="s">
        <v>287</v>
      </c>
      <c r="C33" s="547"/>
      <c r="D33" s="547"/>
      <c r="E33" s="547"/>
      <c r="F33" s="550">
        <v>16</v>
      </c>
      <c r="G33" s="547"/>
      <c r="H33" s="547"/>
      <c r="I33" s="547"/>
      <c r="J33" s="550">
        <v>16</v>
      </c>
      <c r="K33" s="547"/>
      <c r="L33" s="547"/>
      <c r="M33" s="547"/>
      <c r="N33" s="550">
        <v>16</v>
      </c>
      <c r="O33" s="547"/>
      <c r="P33" s="547"/>
      <c r="Q33" s="547"/>
      <c r="R33" s="550">
        <v>0</v>
      </c>
      <c r="S33" s="941"/>
      <c r="T33" s="941"/>
      <c r="U33" s="941"/>
      <c r="V33" s="943">
        <v>7</v>
      </c>
      <c r="W33" s="547"/>
      <c r="X33" s="547"/>
      <c r="Y33" s="547"/>
      <c r="Z33" s="550">
        <v>7</v>
      </c>
      <c r="AA33" s="547"/>
      <c r="AB33" s="547"/>
      <c r="AC33" s="547"/>
      <c r="AD33" s="550">
        <v>7</v>
      </c>
      <c r="AE33" s="941"/>
      <c r="AF33" s="941"/>
      <c r="AG33" s="941"/>
      <c r="AH33" s="943">
        <v>7</v>
      </c>
    </row>
    <row r="34" spans="1:34" x14ac:dyDescent="0.25">
      <c r="A34" s="544"/>
      <c r="B34" s="545" t="s">
        <v>292</v>
      </c>
      <c r="C34" s="547"/>
      <c r="D34" s="547"/>
      <c r="E34" s="547"/>
      <c r="F34" s="546">
        <v>4234</v>
      </c>
      <c r="G34" s="547"/>
      <c r="H34" s="547"/>
      <c r="I34" s="547"/>
      <c r="J34" s="546">
        <v>4234</v>
      </c>
      <c r="K34" s="547"/>
      <c r="L34" s="547"/>
      <c r="M34" s="547"/>
      <c r="N34" s="546">
        <v>4234</v>
      </c>
      <c r="O34" s="547"/>
      <c r="P34" s="547"/>
      <c r="Q34" s="547"/>
      <c r="R34" s="546">
        <v>3877</v>
      </c>
      <c r="S34" s="941"/>
      <c r="T34" s="941"/>
      <c r="U34" s="941"/>
      <c r="V34" s="942">
        <v>3230</v>
      </c>
      <c r="W34" s="547"/>
      <c r="X34" s="547"/>
      <c r="Y34" s="547"/>
      <c r="Z34" s="546">
        <v>3230</v>
      </c>
      <c r="AA34" s="547"/>
      <c r="AB34" s="547"/>
      <c r="AC34" s="547"/>
      <c r="AD34" s="546">
        <v>3230</v>
      </c>
      <c r="AE34" s="941"/>
      <c r="AF34" s="941"/>
      <c r="AG34" s="941"/>
      <c r="AH34" s="942">
        <v>3230</v>
      </c>
    </row>
    <row r="35" spans="1:34" x14ac:dyDescent="0.25">
      <c r="A35" s="544"/>
      <c r="B35" s="545" t="s">
        <v>351</v>
      </c>
      <c r="C35" s="547"/>
      <c r="D35" s="547"/>
      <c r="E35" s="547"/>
      <c r="F35" s="546">
        <v>0</v>
      </c>
      <c r="G35" s="547"/>
      <c r="H35" s="547"/>
      <c r="I35" s="547"/>
      <c r="J35" s="546">
        <v>0</v>
      </c>
      <c r="K35" s="547"/>
      <c r="L35" s="547"/>
      <c r="M35" s="547"/>
      <c r="N35" s="546">
        <v>0</v>
      </c>
      <c r="O35" s="547"/>
      <c r="P35" s="547"/>
      <c r="Q35" s="547"/>
      <c r="R35" s="546">
        <v>0</v>
      </c>
      <c r="S35" s="941"/>
      <c r="T35" s="941"/>
      <c r="U35" s="941"/>
      <c r="V35" s="942">
        <v>0</v>
      </c>
      <c r="W35" s="547"/>
      <c r="X35" s="547"/>
      <c r="Y35" s="547"/>
      <c r="Z35" s="546">
        <v>0</v>
      </c>
      <c r="AA35" s="547"/>
      <c r="AB35" s="547"/>
      <c r="AC35" s="547"/>
      <c r="AD35" s="546">
        <v>0</v>
      </c>
      <c r="AE35" s="941"/>
      <c r="AF35" s="941"/>
      <c r="AG35" s="941"/>
      <c r="AH35" s="942">
        <v>0</v>
      </c>
    </row>
    <row r="37" spans="1:34" x14ac:dyDescent="0.25">
      <c r="F37" s="530">
        <v>-4668</v>
      </c>
    </row>
    <row r="38" spans="1:34" x14ac:dyDescent="0.25">
      <c r="B38" s="529" t="s">
        <v>286</v>
      </c>
    </row>
    <row r="39" spans="1:34" x14ac:dyDescent="0.25">
      <c r="B39" s="529" t="s">
        <v>287</v>
      </c>
    </row>
    <row r="40" spans="1:34" x14ac:dyDescent="0.25">
      <c r="B40" s="529" t="s">
        <v>292</v>
      </c>
    </row>
    <row r="41" spans="1:34" x14ac:dyDescent="0.25">
      <c r="B41" s="529" t="s">
        <v>337</v>
      </c>
    </row>
    <row r="42" spans="1:34" x14ac:dyDescent="0.25">
      <c r="B42" s="529" t="s">
        <v>339</v>
      </c>
    </row>
    <row r="43" spans="1:34" x14ac:dyDescent="0.25">
      <c r="B43" s="529" t="s">
        <v>351</v>
      </c>
    </row>
    <row r="44" spans="1:34" x14ac:dyDescent="0.25">
      <c r="B44" s="529" t="s">
        <v>342</v>
      </c>
    </row>
    <row r="45" spans="1:34" x14ac:dyDescent="0.25">
      <c r="B45" s="529" t="s">
        <v>343</v>
      </c>
    </row>
    <row r="46" spans="1:34" x14ac:dyDescent="0.25">
      <c r="B46" s="554" t="s">
        <v>1302</v>
      </c>
    </row>
  </sheetData>
  <mergeCells count="10">
    <mergeCell ref="AE3:AH3"/>
    <mergeCell ref="AA3:AD3"/>
    <mergeCell ref="A2:A3"/>
    <mergeCell ref="B2:B3"/>
    <mergeCell ref="G3:J3"/>
    <mergeCell ref="K3:N3"/>
    <mergeCell ref="W3:Z3"/>
    <mergeCell ref="O3:R3"/>
    <mergeCell ref="S3:V3"/>
    <mergeCell ref="C3:F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50" fitToHeight="0" pageOrder="overThenDown" orientation="portrait" r:id="rId1"/>
  <headerFooter>
    <oddHeader>&amp;L3/B.  melléklet a ...../2020. (.......) önkormányzati rendelethez&amp;C&amp;"-,Félkövér"&amp;16
A Polgármesteri Hivatal 2019. évi kiadásai feladatonként részletes bontásban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9" sqref="O9"/>
    </sheetView>
  </sheetViews>
  <sheetFormatPr defaultRowHeight="15" x14ac:dyDescent="0.25"/>
  <cols>
    <col min="1" max="1" width="7.140625" style="31" customWidth="1"/>
    <col min="2" max="2" width="50" customWidth="1"/>
    <col min="3" max="3" width="10.7109375" hidden="1" customWidth="1"/>
    <col min="4" max="4" width="9" hidden="1" customWidth="1"/>
    <col min="5" max="5" width="10.7109375" hidden="1" customWidth="1"/>
    <col min="6" max="10" width="9" hidden="1" customWidth="1"/>
    <col min="11" max="11" width="11" hidden="1" customWidth="1"/>
    <col min="12" max="13" width="9" hidden="1" customWidth="1"/>
    <col min="14" max="14" width="10.28515625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x14ac:dyDescent="0.25">
      <c r="A3" s="346" t="s">
        <v>304</v>
      </c>
      <c r="B3" s="346" t="s">
        <v>1516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60.75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1729</v>
      </c>
      <c r="V4" s="1005"/>
      <c r="W4" s="1006"/>
      <c r="X4" s="1004" t="s">
        <v>1743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12.5</v>
      </c>
      <c r="D6" s="349"/>
      <c r="E6" s="349">
        <f t="shared" ref="E6:E46" si="0">SUM(C6:D6)</f>
        <v>12.5</v>
      </c>
      <c r="F6" s="349">
        <v>13</v>
      </c>
      <c r="G6" s="349"/>
      <c r="H6" s="349">
        <f t="shared" ref="H6:H46" si="1">SUM(F6:G6)</f>
        <v>13</v>
      </c>
      <c r="I6" s="349">
        <v>12.5</v>
      </c>
      <c r="J6" s="349"/>
      <c r="K6" s="349">
        <f t="shared" ref="K6:K46" si="2">SUM(I6:J6)</f>
        <v>12.5</v>
      </c>
      <c r="L6" s="349">
        <v>13</v>
      </c>
      <c r="M6" s="349"/>
      <c r="N6" s="349">
        <f t="shared" ref="N6:N46" si="3">SUM(L6:M6)</f>
        <v>13</v>
      </c>
      <c r="O6" s="936">
        <v>13</v>
      </c>
      <c r="P6" s="936"/>
      <c r="Q6" s="936">
        <f t="shared" ref="Q6:Q46" si="4">SUM(O6:P6)</f>
        <v>13</v>
      </c>
      <c r="R6" s="349">
        <v>13</v>
      </c>
      <c r="S6" s="349"/>
      <c r="T6" s="349">
        <f t="shared" ref="T6:T46" si="5">SUM(R6:S6)</f>
        <v>13</v>
      </c>
      <c r="U6" s="349">
        <v>13</v>
      </c>
      <c r="V6" s="349"/>
      <c r="W6" s="349">
        <f t="shared" ref="W6:W46" si="6">SUM(U6:V6)</f>
        <v>13</v>
      </c>
      <c r="X6" s="936">
        <v>13</v>
      </c>
      <c r="Y6" s="936"/>
      <c r="Z6" s="936">
        <f t="shared" ref="Z6:Z46" si="7">SUM(X6:Y6)</f>
        <v>13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572</v>
      </c>
      <c r="D8" s="352">
        <f t="shared" si="8"/>
        <v>0</v>
      </c>
      <c r="E8" s="352">
        <f t="shared" si="0"/>
        <v>572</v>
      </c>
      <c r="F8" s="352">
        <f t="shared" ref="F8:G8" si="9">F9+F11+F20</f>
        <v>572</v>
      </c>
      <c r="G8" s="352">
        <f t="shared" si="9"/>
        <v>0</v>
      </c>
      <c r="H8" s="352">
        <f t="shared" si="1"/>
        <v>572</v>
      </c>
      <c r="I8" s="352">
        <f t="shared" ref="I8:J8" si="10">I9+I11+I20</f>
        <v>572</v>
      </c>
      <c r="J8" s="352">
        <f t="shared" si="10"/>
        <v>0</v>
      </c>
      <c r="K8" s="352">
        <f t="shared" si="2"/>
        <v>572</v>
      </c>
      <c r="L8" s="352">
        <f t="shared" ref="L8:M8" si="11">L9+L11+L20</f>
        <v>1902</v>
      </c>
      <c r="M8" s="352">
        <f t="shared" si="11"/>
        <v>0</v>
      </c>
      <c r="N8" s="352">
        <f t="shared" si="3"/>
        <v>1902</v>
      </c>
      <c r="O8" s="352">
        <f t="shared" ref="O8:P8" si="12">O9+O11+O20</f>
        <v>1350</v>
      </c>
      <c r="P8" s="352">
        <f t="shared" si="12"/>
        <v>0</v>
      </c>
      <c r="Q8" s="352">
        <f t="shared" si="4"/>
        <v>1350</v>
      </c>
      <c r="R8" s="352">
        <f t="shared" ref="R8:S8" si="13">R9+R11+R20</f>
        <v>1350</v>
      </c>
      <c r="S8" s="352">
        <f t="shared" si="13"/>
        <v>0</v>
      </c>
      <c r="T8" s="352">
        <f t="shared" si="5"/>
        <v>1350</v>
      </c>
      <c r="U8" s="352">
        <f t="shared" ref="U8:V8" si="14">U9+U11+U20</f>
        <v>1350</v>
      </c>
      <c r="V8" s="352">
        <f t="shared" si="14"/>
        <v>0</v>
      </c>
      <c r="W8" s="352">
        <f t="shared" si="6"/>
        <v>1350</v>
      </c>
      <c r="X8" s="352">
        <f t="shared" ref="X8:Y8" si="15">X9+X11+X20</f>
        <v>1350</v>
      </c>
      <c r="Y8" s="352">
        <f t="shared" si="15"/>
        <v>0</v>
      </c>
      <c r="Z8" s="352">
        <f t="shared" si="7"/>
        <v>1350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SUM(C12:C19)</f>
        <v>572</v>
      </c>
      <c r="D11" s="355">
        <f t="shared" si="17"/>
        <v>0</v>
      </c>
      <c r="E11" s="355">
        <f t="shared" si="0"/>
        <v>572</v>
      </c>
      <c r="F11" s="355">
        <f t="shared" ref="F11:G11" si="18">SUM(F12:F19)</f>
        <v>572</v>
      </c>
      <c r="G11" s="355">
        <f t="shared" si="18"/>
        <v>0</v>
      </c>
      <c r="H11" s="355">
        <f t="shared" si="1"/>
        <v>572</v>
      </c>
      <c r="I11" s="355">
        <f t="shared" ref="I11:J11" si="19">SUM(I12:I19)</f>
        <v>572</v>
      </c>
      <c r="J11" s="355">
        <f t="shared" si="19"/>
        <v>0</v>
      </c>
      <c r="K11" s="355">
        <f t="shared" si="2"/>
        <v>572</v>
      </c>
      <c r="L11" s="355">
        <f t="shared" ref="L11:M11" si="20">SUM(L12:L19)</f>
        <v>1902</v>
      </c>
      <c r="M11" s="355">
        <f t="shared" si="20"/>
        <v>0</v>
      </c>
      <c r="N11" s="355">
        <f t="shared" si="3"/>
        <v>1902</v>
      </c>
      <c r="O11" s="355">
        <f t="shared" ref="O11:P11" si="21">SUM(O12:O19)</f>
        <v>1350</v>
      </c>
      <c r="P11" s="355">
        <f t="shared" si="21"/>
        <v>0</v>
      </c>
      <c r="Q11" s="355">
        <f t="shared" si="4"/>
        <v>1350</v>
      </c>
      <c r="R11" s="355">
        <f t="shared" ref="R11:S11" si="22">SUM(R12:R19)</f>
        <v>1350</v>
      </c>
      <c r="S11" s="355">
        <f t="shared" si="22"/>
        <v>0</v>
      </c>
      <c r="T11" s="355">
        <f t="shared" si="5"/>
        <v>1350</v>
      </c>
      <c r="U11" s="355">
        <f t="shared" ref="U11:V11" si="23">SUM(U12:U19)</f>
        <v>1350</v>
      </c>
      <c r="V11" s="355">
        <f t="shared" si="23"/>
        <v>0</v>
      </c>
      <c r="W11" s="355">
        <f t="shared" si="6"/>
        <v>1350</v>
      </c>
      <c r="X11" s="355">
        <f t="shared" ref="X11:Y11" si="24">SUM(X12:X19)</f>
        <v>1350</v>
      </c>
      <c r="Y11" s="355">
        <f t="shared" si="24"/>
        <v>0</v>
      </c>
      <c r="Z11" s="355">
        <f t="shared" si="7"/>
        <v>1350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273">
        <v>0</v>
      </c>
      <c r="D13" s="273">
        <v>0</v>
      </c>
      <c r="E13" s="273">
        <f t="shared" si="0"/>
        <v>0</v>
      </c>
      <c r="F13" s="273">
        <v>0</v>
      </c>
      <c r="G13" s="273">
        <v>0</v>
      </c>
      <c r="H13" s="273">
        <f t="shared" si="1"/>
        <v>0</v>
      </c>
      <c r="I13" s="273">
        <v>0</v>
      </c>
      <c r="J13" s="273">
        <v>0</v>
      </c>
      <c r="K13" s="273">
        <f t="shared" si="2"/>
        <v>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450</v>
      </c>
      <c r="D15" s="273">
        <v>0</v>
      </c>
      <c r="E15" s="273">
        <f t="shared" si="0"/>
        <v>450</v>
      </c>
      <c r="F15" s="273">
        <v>450</v>
      </c>
      <c r="G15" s="273">
        <v>0</v>
      </c>
      <c r="H15" s="273">
        <f t="shared" si="1"/>
        <v>450</v>
      </c>
      <c r="I15" s="273">
        <v>450</v>
      </c>
      <c r="J15" s="273">
        <v>0</v>
      </c>
      <c r="K15" s="273">
        <f t="shared" si="2"/>
        <v>450</v>
      </c>
      <c r="L15" s="273">
        <v>1341</v>
      </c>
      <c r="M15" s="273">
        <v>0</v>
      </c>
      <c r="N15" s="273">
        <f t="shared" si="3"/>
        <v>1341</v>
      </c>
      <c r="O15" s="923">
        <v>1000</v>
      </c>
      <c r="P15" s="923">
        <v>0</v>
      </c>
      <c r="Q15" s="923">
        <f t="shared" si="4"/>
        <v>1000</v>
      </c>
      <c r="R15" s="273">
        <v>1000</v>
      </c>
      <c r="S15" s="273">
        <v>0</v>
      </c>
      <c r="T15" s="273">
        <f t="shared" si="5"/>
        <v>1000</v>
      </c>
      <c r="U15" s="273">
        <v>1000</v>
      </c>
      <c r="V15" s="273">
        <v>0</v>
      </c>
      <c r="W15" s="273">
        <f t="shared" si="6"/>
        <v>1000</v>
      </c>
      <c r="X15" s="923">
        <v>1000</v>
      </c>
      <c r="Y15" s="923">
        <v>0</v>
      </c>
      <c r="Z15" s="923">
        <f t="shared" si="7"/>
        <v>1000</v>
      </c>
    </row>
    <row r="16" spans="1:26" x14ac:dyDescent="0.25">
      <c r="A16" s="392"/>
      <c r="B16" s="356" t="s">
        <v>665</v>
      </c>
      <c r="C16" s="273">
        <v>122</v>
      </c>
      <c r="D16" s="273">
        <v>0</v>
      </c>
      <c r="E16" s="273">
        <f t="shared" si="0"/>
        <v>122</v>
      </c>
      <c r="F16" s="273">
        <v>122</v>
      </c>
      <c r="G16" s="273">
        <v>0</v>
      </c>
      <c r="H16" s="273">
        <f t="shared" si="1"/>
        <v>122</v>
      </c>
      <c r="I16" s="273">
        <v>122</v>
      </c>
      <c r="J16" s="273">
        <v>0</v>
      </c>
      <c r="K16" s="273">
        <f t="shared" si="2"/>
        <v>122</v>
      </c>
      <c r="L16" s="273">
        <v>410</v>
      </c>
      <c r="M16" s="273">
        <v>0</v>
      </c>
      <c r="N16" s="273">
        <f t="shared" si="3"/>
        <v>410</v>
      </c>
      <c r="O16" s="923">
        <v>350</v>
      </c>
      <c r="P16" s="923">
        <v>0</v>
      </c>
      <c r="Q16" s="923">
        <f t="shared" si="4"/>
        <v>350</v>
      </c>
      <c r="R16" s="273">
        <v>350</v>
      </c>
      <c r="S16" s="273">
        <v>0</v>
      </c>
      <c r="T16" s="273">
        <f t="shared" si="5"/>
        <v>350</v>
      </c>
      <c r="U16" s="273">
        <v>350</v>
      </c>
      <c r="V16" s="273">
        <v>0</v>
      </c>
      <c r="W16" s="273">
        <f t="shared" si="6"/>
        <v>350</v>
      </c>
      <c r="X16" s="923">
        <v>350</v>
      </c>
      <c r="Y16" s="923">
        <v>0</v>
      </c>
      <c r="Z16" s="923">
        <f t="shared" si="7"/>
        <v>350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151</v>
      </c>
      <c r="M17" s="273">
        <v>0</v>
      </c>
      <c r="N17" s="273">
        <f t="shared" si="3"/>
        <v>151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0</v>
      </c>
      <c r="M19" s="273">
        <v>0</v>
      </c>
      <c r="N19" s="273">
        <f t="shared" si="3"/>
        <v>0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Y20" si="25">C21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C24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C29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C8+C22</f>
        <v>572</v>
      </c>
      <c r="D30" s="360">
        <f t="shared" si="44"/>
        <v>0</v>
      </c>
      <c r="E30" s="360">
        <f t="shared" si="0"/>
        <v>572</v>
      </c>
      <c r="F30" s="360">
        <f t="shared" ref="F30:G30" si="45">F8+F22</f>
        <v>572</v>
      </c>
      <c r="G30" s="360">
        <f t="shared" si="45"/>
        <v>0</v>
      </c>
      <c r="H30" s="360">
        <f t="shared" si="1"/>
        <v>572</v>
      </c>
      <c r="I30" s="360">
        <f t="shared" ref="I30:J30" si="46">I8+I22</f>
        <v>572</v>
      </c>
      <c r="J30" s="360">
        <f t="shared" si="46"/>
        <v>0</v>
      </c>
      <c r="K30" s="360">
        <f t="shared" si="2"/>
        <v>572</v>
      </c>
      <c r="L30" s="360">
        <f t="shared" ref="L30:M30" si="47">L8+L22</f>
        <v>1902</v>
      </c>
      <c r="M30" s="360">
        <f t="shared" si="47"/>
        <v>0</v>
      </c>
      <c r="N30" s="360">
        <f t="shared" si="3"/>
        <v>1902</v>
      </c>
      <c r="O30" s="360">
        <f t="shared" ref="O30:P30" si="48">O8+O22</f>
        <v>1350</v>
      </c>
      <c r="P30" s="360">
        <f t="shared" si="48"/>
        <v>0</v>
      </c>
      <c r="Q30" s="360">
        <f t="shared" si="4"/>
        <v>1350</v>
      </c>
      <c r="R30" s="360">
        <f t="shared" ref="R30:S30" si="49">R8+R22</f>
        <v>1350</v>
      </c>
      <c r="S30" s="360">
        <f t="shared" si="49"/>
        <v>0</v>
      </c>
      <c r="T30" s="360">
        <f t="shared" si="5"/>
        <v>1350</v>
      </c>
      <c r="U30" s="360">
        <f t="shared" ref="U30:V30" si="50">U8+U22</f>
        <v>1350</v>
      </c>
      <c r="V30" s="360">
        <f t="shared" si="50"/>
        <v>0</v>
      </c>
      <c r="W30" s="360">
        <f t="shared" si="6"/>
        <v>1350</v>
      </c>
      <c r="X30" s="360">
        <f t="shared" ref="X30:Y30" si="51">X8+X22</f>
        <v>1350</v>
      </c>
      <c r="Y30" s="360">
        <f t="shared" si="51"/>
        <v>0</v>
      </c>
      <c r="Z30" s="360">
        <f t="shared" si="7"/>
        <v>1350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87047</v>
      </c>
      <c r="D31" s="352">
        <f t="shared" si="52"/>
        <v>0</v>
      </c>
      <c r="E31" s="352">
        <f t="shared" si="0"/>
        <v>87047</v>
      </c>
      <c r="F31" s="352">
        <f t="shared" si="52"/>
        <v>87953</v>
      </c>
      <c r="G31" s="352">
        <f t="shared" si="52"/>
        <v>0</v>
      </c>
      <c r="H31" s="352">
        <f t="shared" si="1"/>
        <v>87953</v>
      </c>
      <c r="I31" s="352">
        <f t="shared" si="52"/>
        <v>87953</v>
      </c>
      <c r="J31" s="352">
        <f t="shared" si="52"/>
        <v>0</v>
      </c>
      <c r="K31" s="352">
        <f t="shared" si="2"/>
        <v>87953</v>
      </c>
      <c r="L31" s="352">
        <f t="shared" si="52"/>
        <v>75122</v>
      </c>
      <c r="M31" s="352">
        <f t="shared" si="52"/>
        <v>0</v>
      </c>
      <c r="N31" s="352">
        <f t="shared" si="3"/>
        <v>75122</v>
      </c>
      <c r="O31" s="352">
        <f t="shared" si="52"/>
        <v>81252.040000000008</v>
      </c>
      <c r="P31" s="352">
        <f t="shared" si="52"/>
        <v>0</v>
      </c>
      <c r="Q31" s="352">
        <f t="shared" si="4"/>
        <v>81252.040000000008</v>
      </c>
      <c r="R31" s="352">
        <f t="shared" si="52"/>
        <v>82393</v>
      </c>
      <c r="S31" s="352">
        <f t="shared" si="52"/>
        <v>0</v>
      </c>
      <c r="T31" s="352">
        <f t="shared" si="5"/>
        <v>82393</v>
      </c>
      <c r="U31" s="352">
        <f t="shared" si="52"/>
        <v>82393</v>
      </c>
      <c r="V31" s="352">
        <f t="shared" si="52"/>
        <v>0</v>
      </c>
      <c r="W31" s="352">
        <f t="shared" si="6"/>
        <v>82393</v>
      </c>
      <c r="X31" s="352">
        <f t="shared" si="52"/>
        <v>82428</v>
      </c>
      <c r="Y31" s="352">
        <f t="shared" si="52"/>
        <v>0</v>
      </c>
      <c r="Z31" s="352">
        <f t="shared" si="7"/>
        <v>82428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87047</v>
      </c>
      <c r="D32" s="355">
        <f t="shared" si="53"/>
        <v>0</v>
      </c>
      <c r="E32" s="355">
        <f t="shared" si="0"/>
        <v>87047</v>
      </c>
      <c r="F32" s="355">
        <f t="shared" ref="F32:G32" si="54">SUM(F33:F34)</f>
        <v>87953</v>
      </c>
      <c r="G32" s="355">
        <f t="shared" si="54"/>
        <v>0</v>
      </c>
      <c r="H32" s="355">
        <f t="shared" si="1"/>
        <v>87953</v>
      </c>
      <c r="I32" s="355">
        <f t="shared" ref="I32:J32" si="55">SUM(I33:I34)</f>
        <v>87953</v>
      </c>
      <c r="J32" s="355">
        <f t="shared" si="55"/>
        <v>0</v>
      </c>
      <c r="K32" s="355">
        <f t="shared" si="2"/>
        <v>87953</v>
      </c>
      <c r="L32" s="355">
        <f t="shared" ref="L32:M32" si="56">SUM(L33:L34)</f>
        <v>75122</v>
      </c>
      <c r="M32" s="355">
        <f t="shared" si="56"/>
        <v>0</v>
      </c>
      <c r="N32" s="355">
        <f t="shared" si="3"/>
        <v>75122</v>
      </c>
      <c r="O32" s="355">
        <f t="shared" ref="O32:P32" si="57">SUM(O33:O34)</f>
        <v>81252.040000000008</v>
      </c>
      <c r="P32" s="355">
        <f t="shared" si="57"/>
        <v>0</v>
      </c>
      <c r="Q32" s="355">
        <f t="shared" si="4"/>
        <v>81252.040000000008</v>
      </c>
      <c r="R32" s="355">
        <f t="shared" ref="R32:S32" si="58">SUM(R33:R34)</f>
        <v>82393</v>
      </c>
      <c r="S32" s="355">
        <f t="shared" si="58"/>
        <v>0</v>
      </c>
      <c r="T32" s="355">
        <f t="shared" si="5"/>
        <v>82393</v>
      </c>
      <c r="U32" s="355">
        <f t="shared" ref="U32:V32" si="59">SUM(U33:U34)</f>
        <v>82393</v>
      </c>
      <c r="V32" s="355">
        <f t="shared" si="59"/>
        <v>0</v>
      </c>
      <c r="W32" s="355">
        <f t="shared" si="6"/>
        <v>82393</v>
      </c>
      <c r="X32" s="355">
        <f t="shared" ref="X32:Y32" si="60">SUM(X33:X34)</f>
        <v>82428</v>
      </c>
      <c r="Y32" s="355">
        <f t="shared" si="60"/>
        <v>0</v>
      </c>
      <c r="Z32" s="355">
        <f t="shared" si="7"/>
        <v>82428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906</v>
      </c>
      <c r="G33" s="273">
        <v>0</v>
      </c>
      <c r="H33" s="273">
        <f t="shared" si="1"/>
        <v>906</v>
      </c>
      <c r="I33" s="273">
        <v>377</v>
      </c>
      <c r="J33" s="273">
        <v>0</v>
      </c>
      <c r="K33" s="273">
        <f t="shared" si="2"/>
        <v>377</v>
      </c>
      <c r="L33" s="273">
        <v>906</v>
      </c>
      <c r="M33" s="273">
        <v>0</v>
      </c>
      <c r="N33" s="273">
        <f t="shared" si="3"/>
        <v>906</v>
      </c>
      <c r="O33" s="923"/>
      <c r="P33" s="923">
        <v>0</v>
      </c>
      <c r="Q33" s="923">
        <f t="shared" si="4"/>
        <v>0</v>
      </c>
      <c r="R33" s="273">
        <v>1141</v>
      </c>
      <c r="S33" s="273">
        <v>0</v>
      </c>
      <c r="T33" s="273">
        <f t="shared" si="5"/>
        <v>1141</v>
      </c>
      <c r="U33" s="273">
        <v>1141</v>
      </c>
      <c r="V33" s="273">
        <v>0</v>
      </c>
      <c r="W33" s="273">
        <f t="shared" si="6"/>
        <v>1141</v>
      </c>
      <c r="X33" s="923">
        <v>1141</v>
      </c>
      <c r="Y33" s="923">
        <v>0</v>
      </c>
      <c r="Z33" s="923">
        <f t="shared" si="7"/>
        <v>1141</v>
      </c>
    </row>
    <row r="34" spans="1:26" x14ac:dyDescent="0.25">
      <c r="A34" s="392"/>
      <c r="B34" s="358" t="s">
        <v>332</v>
      </c>
      <c r="C34" s="273">
        <f t="shared" ref="C34:D34" si="61">C46-C30-C33</f>
        <v>87047</v>
      </c>
      <c r="D34" s="273">
        <f t="shared" si="61"/>
        <v>0</v>
      </c>
      <c r="E34" s="273">
        <f t="shared" si="0"/>
        <v>87047</v>
      </c>
      <c r="F34" s="273">
        <f t="shared" ref="F34:G34" si="62">F46-F30-F33</f>
        <v>87047</v>
      </c>
      <c r="G34" s="273">
        <f t="shared" si="62"/>
        <v>0</v>
      </c>
      <c r="H34" s="273">
        <f t="shared" si="1"/>
        <v>87047</v>
      </c>
      <c r="I34" s="273">
        <f t="shared" ref="I34:J34" si="63">I46-I30-I33</f>
        <v>87576</v>
      </c>
      <c r="J34" s="273">
        <f t="shared" si="63"/>
        <v>0</v>
      </c>
      <c r="K34" s="273">
        <f t="shared" si="2"/>
        <v>87576</v>
      </c>
      <c r="L34" s="273">
        <v>74216</v>
      </c>
      <c r="M34" s="273">
        <f t="shared" ref="M34" si="64">M46-M30-M33</f>
        <v>0</v>
      </c>
      <c r="N34" s="273">
        <f t="shared" si="3"/>
        <v>74216</v>
      </c>
      <c r="O34" s="923">
        <f t="shared" ref="O34:P34" si="65">O46-O30-O33</f>
        <v>81252.040000000008</v>
      </c>
      <c r="P34" s="923">
        <f t="shared" si="65"/>
        <v>0</v>
      </c>
      <c r="Q34" s="923">
        <f t="shared" si="4"/>
        <v>81252.040000000008</v>
      </c>
      <c r="R34" s="273">
        <f t="shared" ref="R34:S34" si="66">R46-R30-R33</f>
        <v>81252</v>
      </c>
      <c r="S34" s="273">
        <f t="shared" si="66"/>
        <v>0</v>
      </c>
      <c r="T34" s="273">
        <f t="shared" si="5"/>
        <v>81252</v>
      </c>
      <c r="U34" s="273">
        <f t="shared" ref="U34:V34" si="67">U46-U30-U33</f>
        <v>81252</v>
      </c>
      <c r="V34" s="273">
        <f t="shared" si="67"/>
        <v>0</v>
      </c>
      <c r="W34" s="273">
        <f t="shared" si="6"/>
        <v>81252</v>
      </c>
      <c r="X34" s="923">
        <f t="shared" ref="X34:Y34" si="68">X46-X30-X33</f>
        <v>81287</v>
      </c>
      <c r="Y34" s="923">
        <f t="shared" si="68"/>
        <v>0</v>
      </c>
      <c r="Z34" s="923">
        <f t="shared" si="7"/>
        <v>81287</v>
      </c>
    </row>
    <row r="35" spans="1:26" x14ac:dyDescent="0.25">
      <c r="A35" s="361"/>
      <c r="B35" s="362" t="s">
        <v>333</v>
      </c>
      <c r="C35" s="333">
        <f t="shared" ref="C35:D35" si="69">C30+C31</f>
        <v>87619</v>
      </c>
      <c r="D35" s="333">
        <f t="shared" si="69"/>
        <v>0</v>
      </c>
      <c r="E35" s="333">
        <f t="shared" si="0"/>
        <v>87619</v>
      </c>
      <c r="F35" s="333">
        <f t="shared" ref="F35:G35" si="70">F30+F31</f>
        <v>88525</v>
      </c>
      <c r="G35" s="333">
        <f t="shared" si="70"/>
        <v>0</v>
      </c>
      <c r="H35" s="333">
        <f t="shared" si="1"/>
        <v>88525</v>
      </c>
      <c r="I35" s="333">
        <f t="shared" ref="I35:J35" si="71">I30+I31</f>
        <v>88525</v>
      </c>
      <c r="J35" s="333">
        <f t="shared" si="71"/>
        <v>0</v>
      </c>
      <c r="K35" s="333">
        <f t="shared" si="2"/>
        <v>88525</v>
      </c>
      <c r="L35" s="333">
        <f t="shared" ref="L35:M35" si="72">L30+L31</f>
        <v>77024</v>
      </c>
      <c r="M35" s="333">
        <f t="shared" si="72"/>
        <v>0</v>
      </c>
      <c r="N35" s="333">
        <f t="shared" si="3"/>
        <v>77024</v>
      </c>
      <c r="O35" s="333">
        <f t="shared" ref="O35:P35" si="73">O30+O31</f>
        <v>82602.040000000008</v>
      </c>
      <c r="P35" s="333">
        <f t="shared" si="73"/>
        <v>0</v>
      </c>
      <c r="Q35" s="333">
        <f t="shared" si="4"/>
        <v>82602.040000000008</v>
      </c>
      <c r="R35" s="333">
        <f t="shared" ref="R35:S35" si="74">R30+R31</f>
        <v>83743</v>
      </c>
      <c r="S35" s="333">
        <f t="shared" si="74"/>
        <v>0</v>
      </c>
      <c r="T35" s="333">
        <f t="shared" si="5"/>
        <v>83743</v>
      </c>
      <c r="U35" s="333">
        <f t="shared" ref="U35:V35" si="75">U30+U31</f>
        <v>83743</v>
      </c>
      <c r="V35" s="333">
        <f t="shared" si="75"/>
        <v>0</v>
      </c>
      <c r="W35" s="333">
        <f t="shared" si="6"/>
        <v>83743</v>
      </c>
      <c r="X35" s="333">
        <f t="shared" ref="X35:Y35" si="76">X30+X31</f>
        <v>83778</v>
      </c>
      <c r="Y35" s="333">
        <f t="shared" si="76"/>
        <v>0</v>
      </c>
      <c r="Z35" s="333">
        <f t="shared" si="7"/>
        <v>83778</v>
      </c>
    </row>
    <row r="36" spans="1:26" x14ac:dyDescent="0.25">
      <c r="A36" s="350" t="s">
        <v>309</v>
      </c>
      <c r="B36" s="351" t="s">
        <v>334</v>
      </c>
      <c r="C36" s="352">
        <f t="shared" ref="C36:D36" si="77">SUM(C37:C41)</f>
        <v>85719</v>
      </c>
      <c r="D36" s="352">
        <f t="shared" si="77"/>
        <v>0</v>
      </c>
      <c r="E36" s="352">
        <f t="shared" si="0"/>
        <v>85719</v>
      </c>
      <c r="F36" s="352">
        <f>SUM(F37:F41)</f>
        <v>86625</v>
      </c>
      <c r="G36" s="352">
        <f t="shared" ref="G36" si="78">SUM(G37:G41)</f>
        <v>0</v>
      </c>
      <c r="H36" s="352">
        <f t="shared" si="1"/>
        <v>86625</v>
      </c>
      <c r="I36" s="352">
        <f>SUM(I37:I41)</f>
        <v>86625</v>
      </c>
      <c r="J36" s="352">
        <f t="shared" ref="J36" si="79">SUM(J37:J41)</f>
        <v>0</v>
      </c>
      <c r="K36" s="352">
        <f t="shared" si="2"/>
        <v>86625</v>
      </c>
      <c r="L36" s="352">
        <f>SUM(L37:L41)</f>
        <v>74936</v>
      </c>
      <c r="M36" s="352">
        <f t="shared" ref="M36" si="80">SUM(M37:M41)</f>
        <v>0</v>
      </c>
      <c r="N36" s="352">
        <f t="shared" si="3"/>
        <v>74936</v>
      </c>
      <c r="O36" s="352">
        <f>SUM(O37:O41)</f>
        <v>81132.040000000008</v>
      </c>
      <c r="P36" s="352">
        <f t="shared" ref="P36" si="81">SUM(P37:P41)</f>
        <v>0</v>
      </c>
      <c r="Q36" s="352">
        <f t="shared" si="4"/>
        <v>81132.040000000008</v>
      </c>
      <c r="R36" s="352">
        <f>SUM(R37:R41)</f>
        <v>82273</v>
      </c>
      <c r="S36" s="352">
        <f t="shared" ref="S36" si="82">SUM(S37:S41)</f>
        <v>0</v>
      </c>
      <c r="T36" s="352">
        <f t="shared" si="5"/>
        <v>82273</v>
      </c>
      <c r="U36" s="352">
        <f>SUM(U37:U41)</f>
        <v>82273</v>
      </c>
      <c r="V36" s="352">
        <f t="shared" ref="V36" si="83">SUM(V37:V41)</f>
        <v>0</v>
      </c>
      <c r="W36" s="352">
        <f t="shared" si="6"/>
        <v>82273</v>
      </c>
      <c r="X36" s="352">
        <f>SUM(X37:X41)</f>
        <v>82308</v>
      </c>
      <c r="Y36" s="352">
        <f t="shared" ref="Y36" si="84">SUM(Y37:Y41)</f>
        <v>0</v>
      </c>
      <c r="Z36" s="352">
        <f t="shared" si="7"/>
        <v>82308</v>
      </c>
    </row>
    <row r="37" spans="1:26" x14ac:dyDescent="0.25">
      <c r="A37" s="353" t="s">
        <v>311</v>
      </c>
      <c r="B37" s="354" t="s">
        <v>286</v>
      </c>
      <c r="C37" s="355">
        <f>'5 GSZNR fel'!E9+'5 GSZNR fel'!E15</f>
        <v>57874</v>
      </c>
      <c r="D37" s="355">
        <f>'5 GSZNR fel'!D9+'5 GSZNR fel'!D15</f>
        <v>0</v>
      </c>
      <c r="E37" s="355">
        <f t="shared" si="0"/>
        <v>57874</v>
      </c>
      <c r="F37" s="355">
        <f>'5 GSZNR fel'!H9+'5 GSZNR fel'!H15</f>
        <v>57874</v>
      </c>
      <c r="G37" s="355">
        <f>'5 GSZNR fel'!I9+'5 GSZNR fel'!I15</f>
        <v>0</v>
      </c>
      <c r="H37" s="355">
        <f t="shared" si="1"/>
        <v>57874</v>
      </c>
      <c r="I37" s="355">
        <f>'5 GSZNR fel'!K9+'5 GSZNR fel'!K15</f>
        <v>57874</v>
      </c>
      <c r="J37" s="355">
        <f>'5 GSZNR fel'!L9+'5 GSZNR fel'!L15</f>
        <v>0</v>
      </c>
      <c r="K37" s="355">
        <f t="shared" si="2"/>
        <v>57874</v>
      </c>
      <c r="L37" s="355">
        <f>'5 GSZNR fel'!N9+'5 GSZNR fel'!N15</f>
        <v>49127</v>
      </c>
      <c r="M37" s="355">
        <f>'5 GSZNR fel'!L9+'5 GSZNR fel'!L15</f>
        <v>0</v>
      </c>
      <c r="N37" s="355">
        <f t="shared" si="3"/>
        <v>49127</v>
      </c>
      <c r="O37" s="921">
        <f>'5 GSZNR fel'!Q9+'5 GSZNR fel'!Q15</f>
        <v>52685</v>
      </c>
      <c r="P37" s="921">
        <f>'5 GSZNR fel'!P9+'5 GSZNR fel'!P15</f>
        <v>0</v>
      </c>
      <c r="Q37" s="921">
        <f t="shared" si="4"/>
        <v>52685</v>
      </c>
      <c r="R37" s="355">
        <f>'5 GSZNR fel'!T9+'5 GSZNR fel'!T15</f>
        <v>52685</v>
      </c>
      <c r="S37" s="355">
        <f>'5 GSZNR fel'!S9+'5 GSZNR fel'!S15</f>
        <v>0</v>
      </c>
      <c r="T37" s="355">
        <f t="shared" si="5"/>
        <v>52685</v>
      </c>
      <c r="U37" s="355">
        <f>'5 GSZNR fel'!W9+'5 GSZNR fel'!W15</f>
        <v>52685</v>
      </c>
      <c r="V37" s="355">
        <f>'5 GSZNR fel'!V9+'5 GSZNR fel'!V15</f>
        <v>0</v>
      </c>
      <c r="W37" s="355">
        <f t="shared" si="6"/>
        <v>52685</v>
      </c>
      <c r="X37" s="921">
        <f>'5 GSZNR fel'!Z9+'5 GSZNR fel'!Z15</f>
        <v>52715</v>
      </c>
      <c r="Y37" s="921">
        <f>'5 GSZNR fel'!Y9+'5 GSZNR fel'!Y15</f>
        <v>0</v>
      </c>
      <c r="Z37" s="921">
        <f t="shared" si="7"/>
        <v>52715</v>
      </c>
    </row>
    <row r="38" spans="1:26" x14ac:dyDescent="0.25">
      <c r="A38" s="353" t="s">
        <v>322</v>
      </c>
      <c r="B38" s="354" t="s">
        <v>335</v>
      </c>
      <c r="C38" s="355">
        <f>'5 GSZNR fel'!E10+'5 GSZNR fel'!E16</f>
        <v>11250</v>
      </c>
      <c r="D38" s="355">
        <f>'5 GSZNR fel'!D10+'5 GSZNR fel'!D16</f>
        <v>0</v>
      </c>
      <c r="E38" s="355">
        <f t="shared" si="0"/>
        <v>11250</v>
      </c>
      <c r="F38" s="355">
        <f>'5 GSZNR fel'!H10+'5 GSZNR fel'!H16</f>
        <v>11250</v>
      </c>
      <c r="G38" s="355">
        <f>'5 GSZNR fel'!I10+'5 GSZNR fel'!I16</f>
        <v>0</v>
      </c>
      <c r="H38" s="355">
        <f t="shared" si="1"/>
        <v>11250</v>
      </c>
      <c r="I38" s="355">
        <f>'5 GSZNR fel'!K10+'5 GSZNR fel'!K16</f>
        <v>11250</v>
      </c>
      <c r="J38" s="355">
        <f>'5 GSZNR fel'!L10+'5 GSZNR fel'!L16</f>
        <v>0</v>
      </c>
      <c r="K38" s="355">
        <f t="shared" si="2"/>
        <v>11250</v>
      </c>
      <c r="L38" s="355">
        <f>'5 GSZNR fel'!N10+'5 GSZNR fel'!N16</f>
        <v>10223</v>
      </c>
      <c r="M38" s="355">
        <f>'5 GSZNR fel'!L10+'5 GSZNR fel'!L16</f>
        <v>0</v>
      </c>
      <c r="N38" s="355">
        <f t="shared" si="3"/>
        <v>10223</v>
      </c>
      <c r="O38" s="921">
        <f>'5 GSZNR fel'!Q10+'5 GSZNR fel'!Q16</f>
        <v>11064</v>
      </c>
      <c r="P38" s="921">
        <f>'5 GSZNR fel'!P10+'5 GSZNR fel'!P16</f>
        <v>0</v>
      </c>
      <c r="Q38" s="921">
        <f t="shared" si="4"/>
        <v>11064</v>
      </c>
      <c r="R38" s="355">
        <f>'5 GSZNR fel'!T10+'5 GSZNR fel'!T16</f>
        <v>11064</v>
      </c>
      <c r="S38" s="355">
        <f>'5 GSZNR fel'!S10+'5 GSZNR fel'!S16</f>
        <v>0</v>
      </c>
      <c r="T38" s="355">
        <f t="shared" si="5"/>
        <v>11064</v>
      </c>
      <c r="U38" s="355">
        <f>'5 GSZNR fel'!W10+'5 GSZNR fel'!W16</f>
        <v>11064</v>
      </c>
      <c r="V38" s="355">
        <f>'5 GSZNR fel'!V10+'5 GSZNR fel'!V16</f>
        <v>0</v>
      </c>
      <c r="W38" s="355">
        <f t="shared" si="6"/>
        <v>11064</v>
      </c>
      <c r="X38" s="921">
        <f>'5 GSZNR fel'!Z10+'5 GSZNR fel'!Z16</f>
        <v>11069</v>
      </c>
      <c r="Y38" s="921">
        <f>'5 GSZNR fel'!Y10+'5 GSZNR fel'!Y16</f>
        <v>0</v>
      </c>
      <c r="Z38" s="921">
        <f t="shared" si="7"/>
        <v>11069</v>
      </c>
    </row>
    <row r="39" spans="1:26" x14ac:dyDescent="0.25">
      <c r="A39" s="353" t="s">
        <v>315</v>
      </c>
      <c r="B39" s="354" t="s">
        <v>292</v>
      </c>
      <c r="C39" s="355">
        <f>'5 GSZNR fel'!E11+'5 GSZNR fel'!E17</f>
        <v>16595</v>
      </c>
      <c r="D39" s="355">
        <f>'5 GSZNR fel'!D11+'5 GSZNR fel'!D17</f>
        <v>0</v>
      </c>
      <c r="E39" s="355">
        <f t="shared" si="0"/>
        <v>16595</v>
      </c>
      <c r="F39" s="355">
        <f>'5 GSZNR fel'!H11+'5 GSZNR fel'!H17</f>
        <v>16657</v>
      </c>
      <c r="G39" s="355">
        <f>'5 GSZNR fel'!I11+'5 GSZNR fel'!I17</f>
        <v>0</v>
      </c>
      <c r="H39" s="355">
        <f t="shared" si="1"/>
        <v>16657</v>
      </c>
      <c r="I39" s="355">
        <f>'5 GSZNR fel'!K11+'5 GSZNR fel'!K17</f>
        <v>16657</v>
      </c>
      <c r="J39" s="355">
        <f>'5 GSZNR fel'!L11+'5 GSZNR fel'!L17</f>
        <v>0</v>
      </c>
      <c r="K39" s="355">
        <f t="shared" si="2"/>
        <v>16657</v>
      </c>
      <c r="L39" s="355">
        <f>'5 GSZNR fel'!N11+'5 GSZNR fel'!N17</f>
        <v>14742</v>
      </c>
      <c r="M39" s="355">
        <f>'5 GSZNR fel'!L11+'5 GSZNR fel'!L17</f>
        <v>0</v>
      </c>
      <c r="N39" s="355">
        <f t="shared" si="3"/>
        <v>14742</v>
      </c>
      <c r="O39" s="921">
        <f>'5 GSZNR fel'!Q11+'5 GSZNR fel'!Q17</f>
        <v>17383.04</v>
      </c>
      <c r="P39" s="921">
        <f>'5 GSZNR fel'!P11+'5 GSZNR fel'!P17</f>
        <v>0</v>
      </c>
      <c r="Q39" s="921">
        <f t="shared" si="4"/>
        <v>17383.04</v>
      </c>
      <c r="R39" s="355">
        <f>'5 GSZNR fel'!T11+'5 GSZNR fel'!T17</f>
        <v>18524</v>
      </c>
      <c r="S39" s="355">
        <f>'5 GSZNR fel'!S11+'5 GSZNR fel'!S17</f>
        <v>0</v>
      </c>
      <c r="T39" s="355">
        <f t="shared" si="5"/>
        <v>18524</v>
      </c>
      <c r="U39" s="355">
        <f>'5 GSZNR fel'!W11+'5 GSZNR fel'!W17</f>
        <v>18524</v>
      </c>
      <c r="V39" s="355">
        <f>'5 GSZNR fel'!V11+'5 GSZNR fel'!V17</f>
        <v>0</v>
      </c>
      <c r="W39" s="355">
        <f t="shared" si="6"/>
        <v>18524</v>
      </c>
      <c r="X39" s="921">
        <f>'5 GSZNR fel'!Z11+'5 GSZNR fel'!Z17</f>
        <v>18524</v>
      </c>
      <c r="Y39" s="921">
        <f>'5 GSZNR fel'!Y11+'5 GSZNR fel'!Y17</f>
        <v>0</v>
      </c>
      <c r="Z39" s="921">
        <f t="shared" si="7"/>
        <v>18524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fel'!H12</f>
        <v>844</v>
      </c>
      <c r="G41" s="355">
        <v>0</v>
      </c>
      <c r="H41" s="355">
        <f t="shared" si="1"/>
        <v>844</v>
      </c>
      <c r="I41" s="355">
        <f>+'5 GSZNR fel'!K12</f>
        <v>844</v>
      </c>
      <c r="J41" s="355">
        <v>0</v>
      </c>
      <c r="K41" s="355">
        <f t="shared" si="2"/>
        <v>844</v>
      </c>
      <c r="L41" s="355">
        <f>+'5 GSZNR fel'!N12</f>
        <v>844</v>
      </c>
      <c r="M41" s="355">
        <f>+'5 GSZNR fel'!L12</f>
        <v>0</v>
      </c>
      <c r="N41" s="355">
        <f t="shared" si="3"/>
        <v>844</v>
      </c>
      <c r="O41" s="921">
        <f>+'5 GSZNR fel'!Q12</f>
        <v>0</v>
      </c>
      <c r="P41" s="921">
        <f>+'5 GSZNR fel'!P12</f>
        <v>0</v>
      </c>
      <c r="Q41" s="921">
        <f t="shared" si="4"/>
        <v>0</v>
      </c>
      <c r="R41" s="355">
        <f>+'5 GSZNR fel'!T12</f>
        <v>0</v>
      </c>
      <c r="S41" s="355">
        <f>+'5 GSZNR fel'!S12</f>
        <v>0</v>
      </c>
      <c r="T41" s="355">
        <f t="shared" si="5"/>
        <v>0</v>
      </c>
      <c r="U41" s="355">
        <f>+'5 GSZNR fel'!W12</f>
        <v>0</v>
      </c>
      <c r="V41" s="355">
        <f>+'5 GSZNR fel'!V12</f>
        <v>0</v>
      </c>
      <c r="W41" s="355">
        <f t="shared" si="6"/>
        <v>0</v>
      </c>
      <c r="X41" s="921">
        <f>+'5 GSZNR fel'!Z12</f>
        <v>0</v>
      </c>
      <c r="Y41" s="921">
        <f>+'5 GSZNR fel'!Y12</f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5">SUM(C43:C45)</f>
        <v>1900</v>
      </c>
      <c r="D42" s="352">
        <f t="shared" si="85"/>
        <v>0</v>
      </c>
      <c r="E42" s="352">
        <f t="shared" si="0"/>
        <v>1900</v>
      </c>
      <c r="F42" s="352">
        <f>SUM(F43:F45)</f>
        <v>1900</v>
      </c>
      <c r="G42" s="352">
        <f t="shared" ref="G42" si="86">SUM(G43:G45)</f>
        <v>0</v>
      </c>
      <c r="H42" s="352">
        <f t="shared" si="1"/>
        <v>1900</v>
      </c>
      <c r="I42" s="352">
        <f>SUM(I43:I45)</f>
        <v>1900</v>
      </c>
      <c r="J42" s="352">
        <f t="shared" ref="J42" si="87">SUM(J43:J45)</f>
        <v>0</v>
      </c>
      <c r="K42" s="352">
        <f t="shared" si="2"/>
        <v>1900</v>
      </c>
      <c r="L42" s="352">
        <f>SUM(L43:L45)</f>
        <v>1049</v>
      </c>
      <c r="M42" s="352">
        <f t="shared" ref="M42" si="88">SUM(M43:M45)</f>
        <v>0</v>
      </c>
      <c r="N42" s="352">
        <f t="shared" si="3"/>
        <v>1049</v>
      </c>
      <c r="O42" s="352">
        <f>SUM(O43:O45)</f>
        <v>1470</v>
      </c>
      <c r="P42" s="352">
        <f t="shared" ref="P42" si="89">SUM(P43:P45)</f>
        <v>0</v>
      </c>
      <c r="Q42" s="352">
        <f t="shared" si="4"/>
        <v>1470</v>
      </c>
      <c r="R42" s="352">
        <f>SUM(R43:R45)</f>
        <v>1470</v>
      </c>
      <c r="S42" s="352">
        <f t="shared" ref="S42" si="90">SUM(S43:S45)</f>
        <v>0</v>
      </c>
      <c r="T42" s="352">
        <f t="shared" si="5"/>
        <v>1470</v>
      </c>
      <c r="U42" s="352">
        <f>SUM(U43:U45)</f>
        <v>1470</v>
      </c>
      <c r="V42" s="352">
        <f t="shared" ref="V42" si="91">SUM(V43:V45)</f>
        <v>0</v>
      </c>
      <c r="W42" s="352">
        <f t="shared" si="6"/>
        <v>1470</v>
      </c>
      <c r="X42" s="352">
        <f>SUM(X43:X45)</f>
        <v>1470</v>
      </c>
      <c r="Y42" s="352">
        <f t="shared" ref="Y42" si="92">SUM(Y43:Y45)</f>
        <v>0</v>
      </c>
      <c r="Z42" s="352">
        <f t="shared" si="7"/>
        <v>1470</v>
      </c>
    </row>
    <row r="43" spans="1:26" x14ac:dyDescent="0.25">
      <c r="A43" s="353" t="s">
        <v>311</v>
      </c>
      <c r="B43" s="354" t="s">
        <v>341</v>
      </c>
      <c r="C43" s="355">
        <f>'5 GSZNR fel'!E13+'5 GSZNR fel'!E18</f>
        <v>1900</v>
      </c>
      <c r="D43" s="355">
        <f>'5 GSZNR fel'!D13+'5 GSZNR fel'!D18</f>
        <v>0</v>
      </c>
      <c r="E43" s="355">
        <f t="shared" si="0"/>
        <v>1900</v>
      </c>
      <c r="F43" s="355">
        <f>'5 GSZNR fel'!H13+'5 GSZNR fel'!H18</f>
        <v>1900</v>
      </c>
      <c r="G43" s="355">
        <f>'5 GSZNR fel'!I13+'5 GSZNR fel'!I18</f>
        <v>0</v>
      </c>
      <c r="H43" s="355">
        <f t="shared" si="1"/>
        <v>1900</v>
      </c>
      <c r="I43" s="355">
        <f>'5 GSZNR fel'!K13+'5 GSZNR fel'!K18</f>
        <v>1900</v>
      </c>
      <c r="J43" s="355">
        <f>'5 GSZNR fel'!L13+'5 GSZNR fel'!L18</f>
        <v>0</v>
      </c>
      <c r="K43" s="355">
        <f t="shared" si="2"/>
        <v>1900</v>
      </c>
      <c r="L43" s="355">
        <f>'5 GSZNR fel'!N13+'5 GSZNR fel'!N18</f>
        <v>1049</v>
      </c>
      <c r="M43" s="355">
        <f>'5 GSZNR fel'!L13+'5 GSZNR fel'!L18</f>
        <v>0</v>
      </c>
      <c r="N43" s="355">
        <f t="shared" si="3"/>
        <v>1049</v>
      </c>
      <c r="O43" s="921">
        <f>'5 GSZNR fel'!Q13+'5 GSZNR fel'!Q18</f>
        <v>1470</v>
      </c>
      <c r="P43" s="921">
        <f>'5 GSZNR fel'!P13+'5 GSZNR fel'!P18</f>
        <v>0</v>
      </c>
      <c r="Q43" s="921">
        <f t="shared" si="4"/>
        <v>1470</v>
      </c>
      <c r="R43" s="355">
        <f>'5 GSZNR fel'!T13+'5 GSZNR fel'!T18</f>
        <v>1470</v>
      </c>
      <c r="S43" s="355">
        <f>'5 GSZNR fel'!S13+'5 GSZNR fel'!S18</f>
        <v>0</v>
      </c>
      <c r="T43" s="355">
        <f t="shared" si="5"/>
        <v>1470</v>
      </c>
      <c r="U43" s="355">
        <f>'5 GSZNR fel'!W13+'5 GSZNR fel'!W18</f>
        <v>1470</v>
      </c>
      <c r="V43" s="355">
        <f>'5 GSZNR fel'!V13+'5 GSZNR fel'!V18</f>
        <v>0</v>
      </c>
      <c r="W43" s="355">
        <f t="shared" si="6"/>
        <v>1470</v>
      </c>
      <c r="X43" s="921">
        <f>'5 GSZNR fel'!Z13+'5 GSZNR fel'!Z18</f>
        <v>1470</v>
      </c>
      <c r="Y43" s="921">
        <f>'5 GSZNR fel'!Y13+'5 GSZNR fel'!Y18</f>
        <v>0</v>
      </c>
      <c r="Z43" s="921">
        <f t="shared" si="7"/>
        <v>1470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3">C36+C42</f>
        <v>87619</v>
      </c>
      <c r="D46" s="333">
        <f t="shared" si="93"/>
        <v>0</v>
      </c>
      <c r="E46" s="333">
        <f t="shared" si="0"/>
        <v>87619</v>
      </c>
      <c r="F46" s="333">
        <f t="shared" ref="F46:G46" si="94">F36+F42</f>
        <v>88525</v>
      </c>
      <c r="G46" s="333">
        <f t="shared" si="94"/>
        <v>0</v>
      </c>
      <c r="H46" s="333">
        <f t="shared" si="1"/>
        <v>88525</v>
      </c>
      <c r="I46" s="333">
        <f t="shared" ref="I46:J46" si="95">I36+I42</f>
        <v>88525</v>
      </c>
      <c r="J46" s="333">
        <f t="shared" si="95"/>
        <v>0</v>
      </c>
      <c r="K46" s="333">
        <f t="shared" si="2"/>
        <v>88525</v>
      </c>
      <c r="L46" s="333">
        <f t="shared" ref="L46:M46" si="96">L36+L42</f>
        <v>75985</v>
      </c>
      <c r="M46" s="333">
        <f t="shared" si="96"/>
        <v>0</v>
      </c>
      <c r="N46" s="333">
        <f t="shared" si="3"/>
        <v>75985</v>
      </c>
      <c r="O46" s="333">
        <f t="shared" ref="O46:P46" si="97">O36+O42</f>
        <v>82602.040000000008</v>
      </c>
      <c r="P46" s="333">
        <f t="shared" si="97"/>
        <v>0</v>
      </c>
      <c r="Q46" s="333">
        <f t="shared" si="4"/>
        <v>82602.040000000008</v>
      </c>
      <c r="R46" s="333">
        <f t="shared" ref="R46:S46" si="98">R36+R42</f>
        <v>83743</v>
      </c>
      <c r="S46" s="333">
        <f t="shared" si="98"/>
        <v>0</v>
      </c>
      <c r="T46" s="333">
        <f t="shared" si="5"/>
        <v>83743</v>
      </c>
      <c r="U46" s="333">
        <f t="shared" ref="U46:V46" si="99">U36+U42</f>
        <v>83743</v>
      </c>
      <c r="V46" s="333">
        <f t="shared" si="99"/>
        <v>0</v>
      </c>
      <c r="W46" s="333">
        <f t="shared" si="6"/>
        <v>83743</v>
      </c>
      <c r="X46" s="333">
        <f t="shared" ref="X46:Y46" si="100">X36+X42</f>
        <v>83778</v>
      </c>
      <c r="Y46" s="333">
        <f t="shared" si="100"/>
        <v>0</v>
      </c>
      <c r="Z46" s="333">
        <f t="shared" si="7"/>
        <v>83778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1" fitToHeight="0" orientation="portrait" copies="2" r:id="rId1"/>
  <headerFooter>
    <oddHeader>&amp;L4/A.  melléklet a ...../2020. (.......) önkormányzati rendelethez&amp;C&amp;"-,Félkövér"&amp;16
A Walla József Óvoda 2019. évi bevételei és kiadásai jogcímenként és feladatonként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7" sqref="O7"/>
    </sheetView>
  </sheetViews>
  <sheetFormatPr defaultRowHeight="15" x14ac:dyDescent="0.25"/>
  <cols>
    <col min="1" max="1" width="7.140625" style="31" customWidth="1"/>
    <col min="2" max="2" width="56.28515625" customWidth="1"/>
    <col min="3" max="3" width="10" hidden="1" customWidth="1"/>
    <col min="4" max="4" width="9" hidden="1" customWidth="1"/>
    <col min="5" max="5" width="12.140625" hidden="1" customWidth="1"/>
    <col min="6" max="10" width="9" hidden="1" customWidth="1"/>
    <col min="11" max="11" width="10.7109375" hidden="1" customWidth="1"/>
    <col min="12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15" customHeight="1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ht="15" customHeight="1" x14ac:dyDescent="0.25">
      <c r="A3" s="346" t="s">
        <v>304</v>
      </c>
      <c r="B3" s="346" t="s">
        <v>1515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57.75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1730</v>
      </c>
      <c r="V4" s="1005"/>
      <c r="W4" s="1006"/>
      <c r="X4" s="1004" t="s">
        <v>1742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32</v>
      </c>
      <c r="D6" s="349"/>
      <c r="E6" s="349">
        <f t="shared" ref="E6:E46" si="0">SUM(C6:D6)</f>
        <v>32</v>
      </c>
      <c r="F6" s="349">
        <v>32</v>
      </c>
      <c r="G6" s="349"/>
      <c r="H6" s="349">
        <f t="shared" ref="H6:H46" si="1">SUM(F6:G6)</f>
        <v>32</v>
      </c>
      <c r="I6" s="349">
        <v>32</v>
      </c>
      <c r="J6" s="349"/>
      <c r="K6" s="349">
        <f t="shared" ref="K6:K46" si="2">SUM(I6:J6)</f>
        <v>32</v>
      </c>
      <c r="L6" s="349">
        <v>32</v>
      </c>
      <c r="M6" s="349"/>
      <c r="N6" s="349">
        <f t="shared" ref="N6:N46" si="3">SUM(L6:M6)</f>
        <v>32</v>
      </c>
      <c r="O6" s="936">
        <v>32</v>
      </c>
      <c r="P6" s="936"/>
      <c r="Q6" s="936">
        <f t="shared" ref="Q6:Q46" si="4">SUM(O6:P6)</f>
        <v>32</v>
      </c>
      <c r="R6" s="349">
        <v>32</v>
      </c>
      <c r="S6" s="349"/>
      <c r="T6" s="349">
        <f t="shared" ref="T6:T46" si="5">SUM(R6:S6)</f>
        <v>32</v>
      </c>
      <c r="U6" s="349">
        <v>32</v>
      </c>
      <c r="V6" s="349"/>
      <c r="W6" s="349">
        <f t="shared" ref="W6:W46" si="6">SUM(U6:V6)</f>
        <v>32</v>
      </c>
      <c r="X6" s="936">
        <v>32</v>
      </c>
      <c r="Y6" s="936"/>
      <c r="Z6" s="936">
        <f t="shared" ref="Z6:Z46" si="7">SUM(X6:Y6)</f>
        <v>32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3759</v>
      </c>
      <c r="D8" s="352">
        <f t="shared" si="8"/>
        <v>0</v>
      </c>
      <c r="E8" s="352">
        <f t="shared" si="0"/>
        <v>3759</v>
      </c>
      <c r="F8" s="352">
        <f t="shared" ref="F8:G8" si="9">F9+F11+F20</f>
        <v>3759</v>
      </c>
      <c r="G8" s="352">
        <f t="shared" si="9"/>
        <v>0</v>
      </c>
      <c r="H8" s="352">
        <f t="shared" si="1"/>
        <v>3759</v>
      </c>
      <c r="I8" s="352">
        <f t="shared" ref="I8:J8" si="10">I9+I11+I20</f>
        <v>3759</v>
      </c>
      <c r="J8" s="352">
        <f t="shared" si="10"/>
        <v>0</v>
      </c>
      <c r="K8" s="352">
        <f t="shared" si="2"/>
        <v>3759</v>
      </c>
      <c r="L8" s="352">
        <f t="shared" ref="L8:M8" si="11">L9+L11+L20</f>
        <v>6523</v>
      </c>
      <c r="M8" s="352">
        <f t="shared" si="11"/>
        <v>0</v>
      </c>
      <c r="N8" s="352">
        <f t="shared" si="3"/>
        <v>6523</v>
      </c>
      <c r="O8" s="352">
        <f t="shared" ref="O8:P8" si="12">O9+O11+O20</f>
        <v>5400</v>
      </c>
      <c r="P8" s="352">
        <f t="shared" si="12"/>
        <v>0</v>
      </c>
      <c r="Q8" s="352">
        <f t="shared" si="4"/>
        <v>5400</v>
      </c>
      <c r="R8" s="352">
        <f t="shared" ref="R8:S8" si="13">R9+R11+R20</f>
        <v>5400</v>
      </c>
      <c r="S8" s="352">
        <f t="shared" si="13"/>
        <v>0</v>
      </c>
      <c r="T8" s="352">
        <f t="shared" si="5"/>
        <v>5400</v>
      </c>
      <c r="U8" s="352">
        <f t="shared" ref="U8:V8" si="14">U9+U11+U20</f>
        <v>5400</v>
      </c>
      <c r="V8" s="352">
        <f t="shared" si="14"/>
        <v>0</v>
      </c>
      <c r="W8" s="352">
        <f t="shared" si="6"/>
        <v>5400</v>
      </c>
      <c r="X8" s="352">
        <f t="shared" ref="X8:Y8" si="15">X9+X11+X20</f>
        <v>5400</v>
      </c>
      <c r="Y8" s="352">
        <f t="shared" si="15"/>
        <v>0</v>
      </c>
      <c r="Z8" s="352">
        <f t="shared" si="7"/>
        <v>5400</v>
      </c>
    </row>
    <row r="9" spans="1:26" x14ac:dyDescent="0.25">
      <c r="A9" s="353" t="s">
        <v>311</v>
      </c>
      <c r="B9" s="354" t="s">
        <v>312</v>
      </c>
      <c r="C9" s="355">
        <f t="shared" ref="C9:R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ref="S9" si="17">S10</f>
        <v>0</v>
      </c>
      <c r="T9" s="355">
        <f t="shared" si="5"/>
        <v>0</v>
      </c>
      <c r="U9" s="355">
        <f t="shared" ref="U9:Y9" si="18">U10</f>
        <v>0</v>
      </c>
      <c r="V9" s="355">
        <f t="shared" si="18"/>
        <v>0</v>
      </c>
      <c r="W9" s="355">
        <f t="shared" si="6"/>
        <v>0</v>
      </c>
      <c r="X9" s="355">
        <f t="shared" si="18"/>
        <v>0</v>
      </c>
      <c r="Y9" s="355">
        <f t="shared" si="18"/>
        <v>0</v>
      </c>
      <c r="Z9" s="355">
        <f t="shared" si="7"/>
        <v>0</v>
      </c>
    </row>
    <row r="10" spans="1:26" ht="30.4" hidden="1" customHeight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9">C12+C13+C14+C15+C16+C17+C18+C19</f>
        <v>3759</v>
      </c>
      <c r="D11" s="355">
        <f t="shared" si="19"/>
        <v>0</v>
      </c>
      <c r="E11" s="355">
        <f t="shared" si="0"/>
        <v>3759</v>
      </c>
      <c r="F11" s="355">
        <f t="shared" ref="F11:G11" si="20">F12+F13+F14+F15+F16+F17+F18+F19</f>
        <v>3759</v>
      </c>
      <c r="G11" s="355">
        <f t="shared" si="20"/>
        <v>0</v>
      </c>
      <c r="H11" s="355">
        <f t="shared" si="1"/>
        <v>3759</v>
      </c>
      <c r="I11" s="355">
        <f t="shared" ref="I11:J11" si="21">I12+I13+I14+I15+I16+I17+I18+I19</f>
        <v>3759</v>
      </c>
      <c r="J11" s="355">
        <f t="shared" si="21"/>
        <v>0</v>
      </c>
      <c r="K11" s="355">
        <f t="shared" si="2"/>
        <v>3759</v>
      </c>
      <c r="L11" s="355">
        <f t="shared" ref="L11:M11" si="22">L12+L13+L14+L15+L16+L17+L18+L19</f>
        <v>6523</v>
      </c>
      <c r="M11" s="355">
        <f t="shared" si="22"/>
        <v>0</v>
      </c>
      <c r="N11" s="355">
        <f t="shared" si="3"/>
        <v>6523</v>
      </c>
      <c r="O11" s="355">
        <f t="shared" ref="O11:P11" si="23">O12+O13+O14+O15+O16+O17+O18+O19</f>
        <v>5400</v>
      </c>
      <c r="P11" s="355">
        <f t="shared" si="23"/>
        <v>0</v>
      </c>
      <c r="Q11" s="355">
        <f t="shared" si="4"/>
        <v>5400</v>
      </c>
      <c r="R11" s="355">
        <f t="shared" ref="R11:S11" si="24">R12+R13+R14+R15+R16+R17+R18+R19</f>
        <v>5400</v>
      </c>
      <c r="S11" s="355">
        <f t="shared" si="24"/>
        <v>0</v>
      </c>
      <c r="T11" s="355">
        <f t="shared" si="5"/>
        <v>5400</v>
      </c>
      <c r="U11" s="355">
        <f t="shared" ref="U11:V11" si="25">U12+U13+U14+U15+U16+U17+U18+U19</f>
        <v>5400</v>
      </c>
      <c r="V11" s="355">
        <f t="shared" si="25"/>
        <v>0</v>
      </c>
      <c r="W11" s="355">
        <f t="shared" si="6"/>
        <v>5400</v>
      </c>
      <c r="X11" s="355">
        <f t="shared" ref="X11:Y11" si="26">X12+X13+X14+X15+X16+X17+X18+X19</f>
        <v>5400</v>
      </c>
      <c r="Y11" s="355">
        <f t="shared" si="26"/>
        <v>0</v>
      </c>
      <c r="Z11" s="355">
        <f t="shared" si="7"/>
        <v>5400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357">
        <v>0</v>
      </c>
      <c r="D13" s="357">
        <v>0</v>
      </c>
      <c r="E13" s="357">
        <f t="shared" si="0"/>
        <v>0</v>
      </c>
      <c r="F13" s="357">
        <v>0</v>
      </c>
      <c r="G13" s="357">
        <v>0</v>
      </c>
      <c r="H13" s="357">
        <f t="shared" si="1"/>
        <v>0</v>
      </c>
      <c r="I13" s="357">
        <v>0</v>
      </c>
      <c r="J13" s="357">
        <v>0</v>
      </c>
      <c r="K13" s="357">
        <f t="shared" si="2"/>
        <v>0</v>
      </c>
      <c r="L13" s="357">
        <v>0</v>
      </c>
      <c r="M13" s="357">
        <v>0</v>
      </c>
      <c r="N13" s="357">
        <f t="shared" si="3"/>
        <v>0</v>
      </c>
      <c r="O13" s="937">
        <v>0</v>
      </c>
      <c r="P13" s="937">
        <v>0</v>
      </c>
      <c r="Q13" s="937">
        <f t="shared" si="4"/>
        <v>0</v>
      </c>
      <c r="R13" s="357">
        <v>0</v>
      </c>
      <c r="S13" s="357">
        <v>0</v>
      </c>
      <c r="T13" s="357">
        <f t="shared" si="5"/>
        <v>0</v>
      </c>
      <c r="U13" s="357">
        <v>0</v>
      </c>
      <c r="V13" s="357">
        <v>0</v>
      </c>
      <c r="W13" s="357">
        <f t="shared" si="6"/>
        <v>0</v>
      </c>
      <c r="X13" s="937">
        <v>0</v>
      </c>
      <c r="Y13" s="937">
        <v>0</v>
      </c>
      <c r="Z13" s="937">
        <f t="shared" si="7"/>
        <v>0</v>
      </c>
    </row>
    <row r="14" spans="1:26" x14ac:dyDescent="0.25">
      <c r="A14" s="392"/>
      <c r="B14" s="356" t="s">
        <v>663</v>
      </c>
      <c r="C14" s="357">
        <v>0</v>
      </c>
      <c r="D14" s="357">
        <v>0</v>
      </c>
      <c r="E14" s="357">
        <f t="shared" si="0"/>
        <v>0</v>
      </c>
      <c r="F14" s="357">
        <v>0</v>
      </c>
      <c r="G14" s="357">
        <v>0</v>
      </c>
      <c r="H14" s="357">
        <f t="shared" si="1"/>
        <v>0</v>
      </c>
      <c r="I14" s="357">
        <v>0</v>
      </c>
      <c r="J14" s="357">
        <v>0</v>
      </c>
      <c r="K14" s="357">
        <f t="shared" si="2"/>
        <v>0</v>
      </c>
      <c r="L14" s="357">
        <v>0</v>
      </c>
      <c r="M14" s="357">
        <v>0</v>
      </c>
      <c r="N14" s="357">
        <f t="shared" si="3"/>
        <v>0</v>
      </c>
      <c r="O14" s="937">
        <v>0</v>
      </c>
      <c r="P14" s="937">
        <v>0</v>
      </c>
      <c r="Q14" s="937">
        <f t="shared" si="4"/>
        <v>0</v>
      </c>
      <c r="R14" s="357">
        <v>0</v>
      </c>
      <c r="S14" s="357">
        <v>0</v>
      </c>
      <c r="T14" s="357">
        <f t="shared" si="5"/>
        <v>0</v>
      </c>
      <c r="U14" s="357">
        <v>0</v>
      </c>
      <c r="V14" s="357">
        <v>0</v>
      </c>
      <c r="W14" s="357">
        <f t="shared" si="6"/>
        <v>0</v>
      </c>
      <c r="X14" s="937">
        <v>0</v>
      </c>
      <c r="Y14" s="937">
        <v>0</v>
      </c>
      <c r="Z14" s="937">
        <f t="shared" si="7"/>
        <v>0</v>
      </c>
    </row>
    <row r="15" spans="1:26" x14ac:dyDescent="0.25">
      <c r="A15" s="392"/>
      <c r="B15" s="356" t="s">
        <v>664</v>
      </c>
      <c r="C15" s="273">
        <v>2960</v>
      </c>
      <c r="D15" s="273">
        <v>0</v>
      </c>
      <c r="E15" s="273">
        <f t="shared" si="0"/>
        <v>2960</v>
      </c>
      <c r="F15" s="273">
        <v>2960</v>
      </c>
      <c r="G15" s="273">
        <v>0</v>
      </c>
      <c r="H15" s="273">
        <f t="shared" si="1"/>
        <v>2960</v>
      </c>
      <c r="I15" s="273">
        <v>2960</v>
      </c>
      <c r="J15" s="273">
        <v>0</v>
      </c>
      <c r="K15" s="273">
        <f t="shared" si="2"/>
        <v>2960</v>
      </c>
      <c r="L15" s="273">
        <v>4464</v>
      </c>
      <c r="M15" s="273">
        <v>0</v>
      </c>
      <c r="N15" s="273">
        <f t="shared" si="3"/>
        <v>4464</v>
      </c>
      <c r="O15" s="923">
        <v>4200</v>
      </c>
      <c r="P15" s="923">
        <v>0</v>
      </c>
      <c r="Q15" s="923">
        <f t="shared" si="4"/>
        <v>4200</v>
      </c>
      <c r="R15" s="273">
        <v>4200</v>
      </c>
      <c r="S15" s="273">
        <v>0</v>
      </c>
      <c r="T15" s="273">
        <f t="shared" si="5"/>
        <v>4200</v>
      </c>
      <c r="U15" s="273">
        <v>4200</v>
      </c>
      <c r="V15" s="273">
        <v>0</v>
      </c>
      <c r="W15" s="273">
        <f t="shared" si="6"/>
        <v>4200</v>
      </c>
      <c r="X15" s="923">
        <v>4200</v>
      </c>
      <c r="Y15" s="923">
        <v>0</v>
      </c>
      <c r="Z15" s="923">
        <f t="shared" si="7"/>
        <v>4200</v>
      </c>
    </row>
    <row r="16" spans="1:26" x14ac:dyDescent="0.25">
      <c r="A16" s="392"/>
      <c r="B16" s="356" t="s">
        <v>665</v>
      </c>
      <c r="C16" s="273">
        <v>799</v>
      </c>
      <c r="D16" s="273">
        <v>0</v>
      </c>
      <c r="E16" s="273">
        <f t="shared" si="0"/>
        <v>799</v>
      </c>
      <c r="F16" s="273">
        <v>799</v>
      </c>
      <c r="G16" s="273">
        <v>0</v>
      </c>
      <c r="H16" s="273">
        <f t="shared" si="1"/>
        <v>799</v>
      </c>
      <c r="I16" s="273">
        <v>799</v>
      </c>
      <c r="J16" s="273">
        <v>0</v>
      </c>
      <c r="K16" s="273">
        <f t="shared" si="2"/>
        <v>799</v>
      </c>
      <c r="L16" s="273">
        <v>1210</v>
      </c>
      <c r="M16" s="273">
        <v>0</v>
      </c>
      <c r="N16" s="273">
        <f t="shared" si="3"/>
        <v>1210</v>
      </c>
      <c r="O16" s="923">
        <v>1200</v>
      </c>
      <c r="P16" s="923">
        <v>0</v>
      </c>
      <c r="Q16" s="923">
        <f t="shared" si="4"/>
        <v>1200</v>
      </c>
      <c r="R16" s="273">
        <v>1200</v>
      </c>
      <c r="S16" s="273">
        <v>0</v>
      </c>
      <c r="T16" s="273">
        <f t="shared" si="5"/>
        <v>1200</v>
      </c>
      <c r="U16" s="273">
        <v>1200</v>
      </c>
      <c r="V16" s="273">
        <v>0</v>
      </c>
      <c r="W16" s="273">
        <f t="shared" si="6"/>
        <v>1200</v>
      </c>
      <c r="X16" s="923">
        <v>1200</v>
      </c>
      <c r="Y16" s="923">
        <v>0</v>
      </c>
      <c r="Z16" s="923">
        <f t="shared" si="7"/>
        <v>1200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849</v>
      </c>
      <c r="M17" s="273">
        <v>0</v>
      </c>
      <c r="N17" s="273">
        <f t="shared" si="3"/>
        <v>849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0</v>
      </c>
      <c r="M19" s="273">
        <v>0</v>
      </c>
      <c r="N19" s="273">
        <f t="shared" si="3"/>
        <v>0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R20" si="27">SUM(C21:C21)</f>
        <v>0</v>
      </c>
      <c r="D20" s="355">
        <f t="shared" si="27"/>
        <v>0</v>
      </c>
      <c r="E20" s="355">
        <f t="shared" si="0"/>
        <v>0</v>
      </c>
      <c r="F20" s="355">
        <f t="shared" si="27"/>
        <v>0</v>
      </c>
      <c r="G20" s="355">
        <f t="shared" si="27"/>
        <v>0</v>
      </c>
      <c r="H20" s="355">
        <f t="shared" si="1"/>
        <v>0</v>
      </c>
      <c r="I20" s="355">
        <f t="shared" si="27"/>
        <v>0</v>
      </c>
      <c r="J20" s="355">
        <f t="shared" si="27"/>
        <v>0</v>
      </c>
      <c r="K20" s="355">
        <f t="shared" si="2"/>
        <v>0</v>
      </c>
      <c r="L20" s="355">
        <f t="shared" si="27"/>
        <v>0</v>
      </c>
      <c r="M20" s="355">
        <f t="shared" si="27"/>
        <v>0</v>
      </c>
      <c r="N20" s="355">
        <f t="shared" si="3"/>
        <v>0</v>
      </c>
      <c r="O20" s="355">
        <f t="shared" si="27"/>
        <v>0</v>
      </c>
      <c r="P20" s="355">
        <f t="shared" si="27"/>
        <v>0</v>
      </c>
      <c r="Q20" s="355">
        <f t="shared" si="4"/>
        <v>0</v>
      </c>
      <c r="R20" s="355">
        <f t="shared" si="27"/>
        <v>0</v>
      </c>
      <c r="S20" s="355">
        <f t="shared" ref="S20" si="28">SUM(S21:S21)</f>
        <v>0</v>
      </c>
      <c r="T20" s="355">
        <f t="shared" si="5"/>
        <v>0</v>
      </c>
      <c r="U20" s="355">
        <f t="shared" ref="U20" si="29">SUM(U21:U21)</f>
        <v>0</v>
      </c>
      <c r="V20" s="355">
        <f t="shared" ref="V20" si="30">SUM(V21:V21)</f>
        <v>0</v>
      </c>
      <c r="W20" s="355">
        <f t="shared" si="6"/>
        <v>0</v>
      </c>
      <c r="X20" s="355">
        <f t="shared" ref="X20:Y20" si="31">SUM(X21:X21)</f>
        <v>0</v>
      </c>
      <c r="Y20" s="355">
        <f t="shared" si="31"/>
        <v>0</v>
      </c>
      <c r="Z20" s="355">
        <f t="shared" si="7"/>
        <v>0</v>
      </c>
    </row>
    <row r="21" spans="1:26" ht="15" hidden="1" customHeight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32">C23+C25+C28</f>
        <v>0</v>
      </c>
      <c r="D22" s="352">
        <f t="shared" si="32"/>
        <v>0</v>
      </c>
      <c r="E22" s="352">
        <f t="shared" si="0"/>
        <v>0</v>
      </c>
      <c r="F22" s="352">
        <f t="shared" ref="F22:G22" si="33">F23+F25+F28</f>
        <v>0</v>
      </c>
      <c r="G22" s="352">
        <f t="shared" si="33"/>
        <v>0</v>
      </c>
      <c r="H22" s="352">
        <f t="shared" si="1"/>
        <v>0</v>
      </c>
      <c r="I22" s="352">
        <f t="shared" ref="I22:J22" si="34">I23+I25+I28</f>
        <v>0</v>
      </c>
      <c r="J22" s="352">
        <f t="shared" si="34"/>
        <v>0</v>
      </c>
      <c r="K22" s="352">
        <f t="shared" si="2"/>
        <v>0</v>
      </c>
      <c r="L22" s="352">
        <f t="shared" ref="L22:M22" si="35">L23+L25+L28</f>
        <v>0</v>
      </c>
      <c r="M22" s="352">
        <f t="shared" si="35"/>
        <v>0</v>
      </c>
      <c r="N22" s="352">
        <f t="shared" si="3"/>
        <v>0</v>
      </c>
      <c r="O22" s="352">
        <f t="shared" ref="O22:P22" si="36">O23+O25+O28</f>
        <v>0</v>
      </c>
      <c r="P22" s="352">
        <f t="shared" si="36"/>
        <v>0</v>
      </c>
      <c r="Q22" s="352">
        <f t="shared" si="4"/>
        <v>0</v>
      </c>
      <c r="R22" s="352">
        <f t="shared" ref="R22:S22" si="37">R23+R25+R28</f>
        <v>0</v>
      </c>
      <c r="S22" s="352">
        <f t="shared" si="37"/>
        <v>0</v>
      </c>
      <c r="T22" s="352">
        <f t="shared" si="5"/>
        <v>0</v>
      </c>
      <c r="U22" s="352">
        <f t="shared" ref="U22:V22" si="38">U23+U25+U28</f>
        <v>0</v>
      </c>
      <c r="V22" s="352">
        <f t="shared" si="38"/>
        <v>0</v>
      </c>
      <c r="W22" s="352">
        <f t="shared" si="6"/>
        <v>0</v>
      </c>
      <c r="X22" s="352">
        <f t="shared" ref="X22:Y22" si="39">X23+X25+X28</f>
        <v>0</v>
      </c>
      <c r="Y22" s="352">
        <f t="shared" si="39"/>
        <v>0</v>
      </c>
      <c r="Z22" s="352">
        <f t="shared" si="7"/>
        <v>0</v>
      </c>
    </row>
    <row r="23" spans="1:26" ht="15" hidden="1" customHeight="1" x14ac:dyDescent="0.25">
      <c r="A23" s="353" t="s">
        <v>311</v>
      </c>
      <c r="B23" s="354" t="s">
        <v>320</v>
      </c>
      <c r="C23" s="355">
        <f t="shared" ref="C23:R23" si="40">SUM(C24:C24)</f>
        <v>0</v>
      </c>
      <c r="D23" s="355">
        <f t="shared" si="40"/>
        <v>0</v>
      </c>
      <c r="E23" s="355">
        <f t="shared" si="0"/>
        <v>0</v>
      </c>
      <c r="F23" s="355">
        <f t="shared" si="40"/>
        <v>0</v>
      </c>
      <c r="G23" s="355">
        <f t="shared" si="40"/>
        <v>0</v>
      </c>
      <c r="H23" s="355">
        <f t="shared" si="1"/>
        <v>0</v>
      </c>
      <c r="I23" s="355">
        <f t="shared" si="40"/>
        <v>0</v>
      </c>
      <c r="J23" s="355">
        <f t="shared" si="40"/>
        <v>0</v>
      </c>
      <c r="K23" s="355">
        <f t="shared" si="2"/>
        <v>0</v>
      </c>
      <c r="L23" s="355">
        <f t="shared" si="40"/>
        <v>0</v>
      </c>
      <c r="M23" s="355">
        <f t="shared" si="40"/>
        <v>0</v>
      </c>
      <c r="N23" s="355">
        <f t="shared" si="3"/>
        <v>0</v>
      </c>
      <c r="O23" s="355">
        <f t="shared" si="40"/>
        <v>0</v>
      </c>
      <c r="P23" s="355">
        <f t="shared" si="40"/>
        <v>0</v>
      </c>
      <c r="Q23" s="355">
        <f t="shared" si="4"/>
        <v>0</v>
      </c>
      <c r="R23" s="355">
        <f t="shared" si="40"/>
        <v>0</v>
      </c>
      <c r="S23" s="355">
        <f t="shared" ref="S23" si="41">SUM(S24:S24)</f>
        <v>0</v>
      </c>
      <c r="T23" s="355">
        <f t="shared" si="5"/>
        <v>0</v>
      </c>
      <c r="U23" s="355">
        <f t="shared" ref="U23" si="42">SUM(U24:U24)</f>
        <v>0</v>
      </c>
      <c r="V23" s="355">
        <f t="shared" ref="V23" si="43">SUM(V24:V24)</f>
        <v>0</v>
      </c>
      <c r="W23" s="355">
        <f t="shared" si="6"/>
        <v>0</v>
      </c>
      <c r="X23" s="355">
        <f t="shared" ref="X23:Y23" si="44">SUM(X24:X24)</f>
        <v>0</v>
      </c>
      <c r="Y23" s="355">
        <f t="shared" si="44"/>
        <v>0</v>
      </c>
      <c r="Z23" s="355">
        <f t="shared" si="7"/>
        <v>0</v>
      </c>
    </row>
    <row r="24" spans="1:26" ht="30.4" hidden="1" customHeight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t="15" hidden="1" customHeight="1" x14ac:dyDescent="0.25">
      <c r="A25" s="353" t="s">
        <v>322</v>
      </c>
      <c r="B25" s="354" t="s">
        <v>257</v>
      </c>
      <c r="C25" s="355">
        <f t="shared" ref="C25:D25" si="45">SUM(C26:C27)</f>
        <v>0</v>
      </c>
      <c r="D25" s="355">
        <f t="shared" si="45"/>
        <v>0</v>
      </c>
      <c r="E25" s="355">
        <f t="shared" si="0"/>
        <v>0</v>
      </c>
      <c r="F25" s="355">
        <f t="shared" ref="F25:G25" si="46">SUM(F26:F27)</f>
        <v>0</v>
      </c>
      <c r="G25" s="355">
        <f t="shared" si="46"/>
        <v>0</v>
      </c>
      <c r="H25" s="355">
        <f t="shared" si="1"/>
        <v>0</v>
      </c>
      <c r="I25" s="355">
        <f t="shared" ref="I25:J25" si="47">SUM(I26:I27)</f>
        <v>0</v>
      </c>
      <c r="J25" s="355">
        <f t="shared" si="47"/>
        <v>0</v>
      </c>
      <c r="K25" s="355">
        <f t="shared" si="2"/>
        <v>0</v>
      </c>
      <c r="L25" s="355">
        <f t="shared" ref="L25:M25" si="48">SUM(L26:L27)</f>
        <v>0</v>
      </c>
      <c r="M25" s="355">
        <f t="shared" si="48"/>
        <v>0</v>
      </c>
      <c r="N25" s="355">
        <f t="shared" si="3"/>
        <v>0</v>
      </c>
      <c r="O25" s="355">
        <f t="shared" ref="O25:P25" si="49">SUM(O26:O27)</f>
        <v>0</v>
      </c>
      <c r="P25" s="355">
        <f t="shared" si="49"/>
        <v>0</v>
      </c>
      <c r="Q25" s="355">
        <f t="shared" si="4"/>
        <v>0</v>
      </c>
      <c r="R25" s="355">
        <f t="shared" ref="R25:S25" si="50">SUM(R26:R27)</f>
        <v>0</v>
      </c>
      <c r="S25" s="355">
        <f t="shared" si="50"/>
        <v>0</v>
      </c>
      <c r="T25" s="355">
        <f t="shared" si="5"/>
        <v>0</v>
      </c>
      <c r="U25" s="355">
        <f t="shared" ref="U25:V25" si="51">SUM(U26:U27)</f>
        <v>0</v>
      </c>
      <c r="V25" s="355">
        <f t="shared" si="51"/>
        <v>0</v>
      </c>
      <c r="W25" s="355">
        <f t="shared" si="6"/>
        <v>0</v>
      </c>
      <c r="X25" s="355">
        <f t="shared" ref="X25:Y25" si="52">SUM(X26:X27)</f>
        <v>0</v>
      </c>
      <c r="Y25" s="355">
        <f t="shared" si="52"/>
        <v>0</v>
      </c>
      <c r="Z25" s="355">
        <f t="shared" si="7"/>
        <v>0</v>
      </c>
    </row>
    <row r="26" spans="1:26" ht="15" hidden="1" customHeight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t="15" hidden="1" customHeight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t="15" hidden="1" customHeight="1" x14ac:dyDescent="0.25">
      <c r="A28" s="353" t="s">
        <v>315</v>
      </c>
      <c r="B28" s="354" t="s">
        <v>325</v>
      </c>
      <c r="C28" s="355">
        <f t="shared" ref="C28:R28" si="53">SUM(C29:C29)</f>
        <v>0</v>
      </c>
      <c r="D28" s="355">
        <f t="shared" si="53"/>
        <v>0</v>
      </c>
      <c r="E28" s="355">
        <f t="shared" si="0"/>
        <v>0</v>
      </c>
      <c r="F28" s="355">
        <f t="shared" si="53"/>
        <v>0</v>
      </c>
      <c r="G28" s="355">
        <f t="shared" si="53"/>
        <v>0</v>
      </c>
      <c r="H28" s="355">
        <f t="shared" si="1"/>
        <v>0</v>
      </c>
      <c r="I28" s="355">
        <f t="shared" si="53"/>
        <v>0</v>
      </c>
      <c r="J28" s="355">
        <f t="shared" si="53"/>
        <v>0</v>
      </c>
      <c r="K28" s="355">
        <f t="shared" si="2"/>
        <v>0</v>
      </c>
      <c r="L28" s="355">
        <f t="shared" si="53"/>
        <v>0</v>
      </c>
      <c r="M28" s="355">
        <f t="shared" si="53"/>
        <v>0</v>
      </c>
      <c r="N28" s="355">
        <f t="shared" si="3"/>
        <v>0</v>
      </c>
      <c r="O28" s="355">
        <f t="shared" si="53"/>
        <v>0</v>
      </c>
      <c r="P28" s="355">
        <f t="shared" si="53"/>
        <v>0</v>
      </c>
      <c r="Q28" s="355">
        <f t="shared" si="4"/>
        <v>0</v>
      </c>
      <c r="R28" s="355">
        <f t="shared" si="53"/>
        <v>0</v>
      </c>
      <c r="S28" s="355">
        <f t="shared" ref="S28" si="54">SUM(S29:S29)</f>
        <v>0</v>
      </c>
      <c r="T28" s="355">
        <f t="shared" si="5"/>
        <v>0</v>
      </c>
      <c r="U28" s="355">
        <f t="shared" ref="U28:Y28" si="55">SUM(U29:U29)</f>
        <v>0</v>
      </c>
      <c r="V28" s="355">
        <f t="shared" si="55"/>
        <v>0</v>
      </c>
      <c r="W28" s="355">
        <f t="shared" si="6"/>
        <v>0</v>
      </c>
      <c r="X28" s="355">
        <f t="shared" si="55"/>
        <v>0</v>
      </c>
      <c r="Y28" s="355">
        <f t="shared" si="55"/>
        <v>0</v>
      </c>
      <c r="Z28" s="355">
        <f t="shared" si="7"/>
        <v>0</v>
      </c>
    </row>
    <row r="29" spans="1:26" ht="15" hidden="1" customHeight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56">C22+C8</f>
        <v>3759</v>
      </c>
      <c r="D30" s="360">
        <f t="shared" si="56"/>
        <v>0</v>
      </c>
      <c r="E30" s="360">
        <f t="shared" si="0"/>
        <v>3759</v>
      </c>
      <c r="F30" s="360">
        <f t="shared" ref="F30:G30" si="57">F22+F8</f>
        <v>3759</v>
      </c>
      <c r="G30" s="360">
        <f t="shared" si="57"/>
        <v>0</v>
      </c>
      <c r="H30" s="360">
        <f t="shared" si="1"/>
        <v>3759</v>
      </c>
      <c r="I30" s="360">
        <f t="shared" ref="I30:J30" si="58">I22+I8</f>
        <v>3759</v>
      </c>
      <c r="J30" s="360">
        <f t="shared" si="58"/>
        <v>0</v>
      </c>
      <c r="K30" s="360">
        <f t="shared" si="2"/>
        <v>3759</v>
      </c>
      <c r="L30" s="360">
        <f t="shared" ref="L30:M30" si="59">L22+L8</f>
        <v>6523</v>
      </c>
      <c r="M30" s="360">
        <f t="shared" si="59"/>
        <v>0</v>
      </c>
      <c r="N30" s="360">
        <f t="shared" si="3"/>
        <v>6523</v>
      </c>
      <c r="O30" s="360">
        <f t="shared" ref="O30:P30" si="60">O22+O8</f>
        <v>5400</v>
      </c>
      <c r="P30" s="360">
        <f t="shared" si="60"/>
        <v>0</v>
      </c>
      <c r="Q30" s="360">
        <f t="shared" si="4"/>
        <v>5400</v>
      </c>
      <c r="R30" s="360">
        <f t="shared" ref="R30:S30" si="61">R22+R8</f>
        <v>5400</v>
      </c>
      <c r="S30" s="360">
        <f t="shared" si="61"/>
        <v>0</v>
      </c>
      <c r="T30" s="360">
        <f t="shared" si="5"/>
        <v>5400</v>
      </c>
      <c r="U30" s="360">
        <f t="shared" ref="U30:V30" si="62">U22+U8</f>
        <v>5400</v>
      </c>
      <c r="V30" s="360">
        <f t="shared" si="62"/>
        <v>0</v>
      </c>
      <c r="W30" s="360">
        <f t="shared" si="6"/>
        <v>5400</v>
      </c>
      <c r="X30" s="360">
        <f t="shared" ref="X30:Y30" si="63">X22+X8</f>
        <v>5400</v>
      </c>
      <c r="Y30" s="360">
        <f t="shared" si="63"/>
        <v>0</v>
      </c>
      <c r="Z30" s="360">
        <f t="shared" si="7"/>
        <v>5400</v>
      </c>
    </row>
    <row r="31" spans="1:26" x14ac:dyDescent="0.25">
      <c r="A31" s="350" t="s">
        <v>328</v>
      </c>
      <c r="B31" s="351" t="s">
        <v>329</v>
      </c>
      <c r="C31" s="352">
        <f t="shared" ref="C31:R31" si="64">C32</f>
        <v>176880</v>
      </c>
      <c r="D31" s="352">
        <f t="shared" si="64"/>
        <v>0</v>
      </c>
      <c r="E31" s="352">
        <f t="shared" si="0"/>
        <v>176880</v>
      </c>
      <c r="F31" s="352">
        <f t="shared" si="64"/>
        <v>178289</v>
      </c>
      <c r="G31" s="352">
        <f t="shared" si="64"/>
        <v>0</v>
      </c>
      <c r="H31" s="352">
        <f t="shared" si="1"/>
        <v>178289</v>
      </c>
      <c r="I31" s="352">
        <f t="shared" si="64"/>
        <v>178289</v>
      </c>
      <c r="J31" s="352">
        <f t="shared" si="64"/>
        <v>0</v>
      </c>
      <c r="K31" s="352">
        <f t="shared" si="2"/>
        <v>178289</v>
      </c>
      <c r="L31" s="352">
        <f t="shared" si="64"/>
        <v>166016</v>
      </c>
      <c r="M31" s="352">
        <f t="shared" si="64"/>
        <v>0</v>
      </c>
      <c r="N31" s="352">
        <f t="shared" si="3"/>
        <v>166016</v>
      </c>
      <c r="O31" s="352">
        <f t="shared" si="64"/>
        <v>183678</v>
      </c>
      <c r="P31" s="352">
        <f t="shared" si="64"/>
        <v>0</v>
      </c>
      <c r="Q31" s="352">
        <f t="shared" si="4"/>
        <v>183678</v>
      </c>
      <c r="R31" s="352">
        <f t="shared" si="64"/>
        <v>183910</v>
      </c>
      <c r="S31" s="352">
        <f t="shared" ref="S31" si="65">S32</f>
        <v>0</v>
      </c>
      <c r="T31" s="352">
        <f t="shared" si="5"/>
        <v>183910</v>
      </c>
      <c r="U31" s="352">
        <f t="shared" ref="U31:Y31" si="66">U32</f>
        <v>183910</v>
      </c>
      <c r="V31" s="352">
        <f t="shared" si="66"/>
        <v>0</v>
      </c>
      <c r="W31" s="352">
        <f t="shared" si="6"/>
        <v>183910</v>
      </c>
      <c r="X31" s="352">
        <f t="shared" si="66"/>
        <v>183981</v>
      </c>
      <c r="Y31" s="352">
        <f t="shared" si="66"/>
        <v>0</v>
      </c>
      <c r="Z31" s="352">
        <f t="shared" si="7"/>
        <v>183981</v>
      </c>
    </row>
    <row r="32" spans="1:26" x14ac:dyDescent="0.25">
      <c r="A32" s="353" t="s">
        <v>311</v>
      </c>
      <c r="B32" s="354" t="s">
        <v>330</v>
      </c>
      <c r="C32" s="355">
        <f t="shared" ref="C32:D32" si="67">SUM(C33:C34)</f>
        <v>176880</v>
      </c>
      <c r="D32" s="355">
        <f t="shared" si="67"/>
        <v>0</v>
      </c>
      <c r="E32" s="355">
        <f t="shared" si="0"/>
        <v>176880</v>
      </c>
      <c r="F32" s="355">
        <f t="shared" ref="F32:G32" si="68">SUM(F33:F34)</f>
        <v>178289</v>
      </c>
      <c r="G32" s="355">
        <f t="shared" si="68"/>
        <v>0</v>
      </c>
      <c r="H32" s="355">
        <f t="shared" si="1"/>
        <v>178289</v>
      </c>
      <c r="I32" s="355">
        <f t="shared" ref="I32:J32" si="69">SUM(I33:I34)</f>
        <v>178289</v>
      </c>
      <c r="J32" s="355">
        <f t="shared" si="69"/>
        <v>0</v>
      </c>
      <c r="K32" s="355">
        <f t="shared" si="2"/>
        <v>178289</v>
      </c>
      <c r="L32" s="355">
        <f t="shared" ref="L32:M32" si="70">SUM(L33:L34)</f>
        <v>166016</v>
      </c>
      <c r="M32" s="355">
        <f t="shared" si="70"/>
        <v>0</v>
      </c>
      <c r="N32" s="355">
        <f t="shared" si="3"/>
        <v>166016</v>
      </c>
      <c r="O32" s="355">
        <f t="shared" ref="O32:P32" si="71">SUM(O33:O34)</f>
        <v>183678</v>
      </c>
      <c r="P32" s="355">
        <f t="shared" si="71"/>
        <v>0</v>
      </c>
      <c r="Q32" s="355">
        <f t="shared" si="4"/>
        <v>183678</v>
      </c>
      <c r="R32" s="355">
        <f t="shared" ref="R32:S32" si="72">SUM(R33:R34)</f>
        <v>183910</v>
      </c>
      <c r="S32" s="355">
        <f t="shared" si="72"/>
        <v>0</v>
      </c>
      <c r="T32" s="355">
        <f t="shared" si="5"/>
        <v>183910</v>
      </c>
      <c r="U32" s="355">
        <f t="shared" ref="U32:V32" si="73">SUM(U33:U34)</f>
        <v>183910</v>
      </c>
      <c r="V32" s="355">
        <f t="shared" si="73"/>
        <v>0</v>
      </c>
      <c r="W32" s="355">
        <f t="shared" si="6"/>
        <v>183910</v>
      </c>
      <c r="X32" s="355">
        <f t="shared" ref="X32:Y32" si="74">SUM(X33:X34)</f>
        <v>183981</v>
      </c>
      <c r="Y32" s="355">
        <f t="shared" si="74"/>
        <v>0</v>
      </c>
      <c r="Z32" s="355">
        <f t="shared" si="7"/>
        <v>183981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1409</v>
      </c>
      <c r="G33" s="273">
        <v>0</v>
      </c>
      <c r="H33" s="273">
        <f t="shared" si="1"/>
        <v>1409</v>
      </c>
      <c r="I33" s="273">
        <v>1963</v>
      </c>
      <c r="J33" s="273">
        <v>0</v>
      </c>
      <c r="K33" s="273">
        <f t="shared" si="2"/>
        <v>1963</v>
      </c>
      <c r="L33" s="273">
        <v>1409</v>
      </c>
      <c r="M33" s="273">
        <v>0</v>
      </c>
      <c r="N33" s="273">
        <f t="shared" si="3"/>
        <v>1409</v>
      </c>
      <c r="O33" s="923">
        <v>0</v>
      </c>
      <c r="P33" s="923">
        <v>0</v>
      </c>
      <c r="Q33" s="923">
        <f t="shared" si="4"/>
        <v>0</v>
      </c>
      <c r="R33" s="273">
        <v>232</v>
      </c>
      <c r="S33" s="273">
        <v>0</v>
      </c>
      <c r="T33" s="273">
        <f t="shared" si="5"/>
        <v>232</v>
      </c>
      <c r="U33" s="273">
        <v>232</v>
      </c>
      <c r="V33" s="273">
        <v>0</v>
      </c>
      <c r="W33" s="273">
        <f t="shared" si="6"/>
        <v>232</v>
      </c>
      <c r="X33" s="923">
        <v>232</v>
      </c>
      <c r="Y33" s="923">
        <v>0</v>
      </c>
      <c r="Z33" s="923">
        <f t="shared" si="7"/>
        <v>232</v>
      </c>
    </row>
    <row r="34" spans="1:26" x14ac:dyDescent="0.25">
      <c r="A34" s="392"/>
      <c r="B34" s="358" t="s">
        <v>332</v>
      </c>
      <c r="C34" s="273">
        <f t="shared" ref="C34:D34" si="75">C36+C42-C8-C22-C33</f>
        <v>176880</v>
      </c>
      <c r="D34" s="273">
        <f t="shared" si="75"/>
        <v>0</v>
      </c>
      <c r="E34" s="273">
        <f t="shared" si="0"/>
        <v>176880</v>
      </c>
      <c r="F34" s="273">
        <f t="shared" ref="F34:G34" si="76">F36+F42-F8-F22-F33</f>
        <v>176880</v>
      </c>
      <c r="G34" s="273">
        <f t="shared" si="76"/>
        <v>0</v>
      </c>
      <c r="H34" s="273">
        <f t="shared" si="1"/>
        <v>176880</v>
      </c>
      <c r="I34" s="273">
        <f t="shared" ref="I34:J34" si="77">I36+I42-I8-I22-I33</f>
        <v>176326</v>
      </c>
      <c r="J34" s="273">
        <f t="shared" si="77"/>
        <v>0</v>
      </c>
      <c r="K34" s="273">
        <f t="shared" si="2"/>
        <v>176326</v>
      </c>
      <c r="L34" s="273">
        <v>164607</v>
      </c>
      <c r="M34" s="273">
        <f t="shared" ref="M34" si="78">M36+M42-M8-M22-M33</f>
        <v>0</v>
      </c>
      <c r="N34" s="273">
        <f t="shared" si="3"/>
        <v>164607</v>
      </c>
      <c r="O34" s="923">
        <f t="shared" ref="O34:P34" si="79">O36+O42-O8-O22-O33</f>
        <v>183678</v>
      </c>
      <c r="P34" s="923">
        <f t="shared" si="79"/>
        <v>0</v>
      </c>
      <c r="Q34" s="923">
        <f t="shared" si="4"/>
        <v>183678</v>
      </c>
      <c r="R34" s="273">
        <f t="shared" ref="R34:S34" si="80">R36+R42-R8-R22-R33</f>
        <v>183678</v>
      </c>
      <c r="S34" s="273">
        <f t="shared" si="80"/>
        <v>0</v>
      </c>
      <c r="T34" s="273">
        <f t="shared" si="5"/>
        <v>183678</v>
      </c>
      <c r="U34" s="273">
        <f t="shared" ref="U34:V34" si="81">U36+U42-U8-U22-U33</f>
        <v>183678</v>
      </c>
      <c r="V34" s="273">
        <f t="shared" si="81"/>
        <v>0</v>
      </c>
      <c r="W34" s="273">
        <f t="shared" si="6"/>
        <v>183678</v>
      </c>
      <c r="X34" s="923">
        <f t="shared" ref="X34:Y34" si="82">X36+X42-X8-X22-X33</f>
        <v>183749</v>
      </c>
      <c r="Y34" s="923">
        <f t="shared" si="82"/>
        <v>0</v>
      </c>
      <c r="Z34" s="923">
        <f t="shared" si="7"/>
        <v>183749</v>
      </c>
    </row>
    <row r="35" spans="1:26" x14ac:dyDescent="0.25">
      <c r="A35" s="361"/>
      <c r="B35" s="362" t="s">
        <v>333</v>
      </c>
      <c r="C35" s="333">
        <f t="shared" ref="C35:D35" si="83">C31+C22+C8</f>
        <v>180639</v>
      </c>
      <c r="D35" s="333">
        <f t="shared" si="83"/>
        <v>0</v>
      </c>
      <c r="E35" s="333">
        <f t="shared" si="0"/>
        <v>180639</v>
      </c>
      <c r="F35" s="333">
        <f t="shared" ref="F35:G35" si="84">F31+F22+F8</f>
        <v>182048</v>
      </c>
      <c r="G35" s="333">
        <f t="shared" si="84"/>
        <v>0</v>
      </c>
      <c r="H35" s="333">
        <f t="shared" si="1"/>
        <v>182048</v>
      </c>
      <c r="I35" s="333">
        <f t="shared" ref="I35:J35" si="85">I31+I22+I8</f>
        <v>182048</v>
      </c>
      <c r="J35" s="333">
        <f t="shared" si="85"/>
        <v>0</v>
      </c>
      <c r="K35" s="333">
        <f t="shared" si="2"/>
        <v>182048</v>
      </c>
      <c r="L35" s="333">
        <f t="shared" ref="L35:M35" si="86">L31+L22+L8</f>
        <v>172539</v>
      </c>
      <c r="M35" s="333">
        <f t="shared" si="86"/>
        <v>0</v>
      </c>
      <c r="N35" s="333">
        <f t="shared" si="3"/>
        <v>172539</v>
      </c>
      <c r="O35" s="333">
        <f t="shared" ref="O35:P35" si="87">O31+O22+O8</f>
        <v>189078</v>
      </c>
      <c r="P35" s="333">
        <f t="shared" si="87"/>
        <v>0</v>
      </c>
      <c r="Q35" s="333">
        <f t="shared" si="4"/>
        <v>189078</v>
      </c>
      <c r="R35" s="333">
        <f t="shared" ref="R35:S35" si="88">R31+R22+R8</f>
        <v>189310</v>
      </c>
      <c r="S35" s="333">
        <f t="shared" si="88"/>
        <v>0</v>
      </c>
      <c r="T35" s="333">
        <f t="shared" si="5"/>
        <v>189310</v>
      </c>
      <c r="U35" s="333">
        <f t="shared" ref="U35:V35" si="89">U31+U22+U8</f>
        <v>189310</v>
      </c>
      <c r="V35" s="333">
        <f t="shared" si="89"/>
        <v>0</v>
      </c>
      <c r="W35" s="333">
        <f t="shared" si="6"/>
        <v>189310</v>
      </c>
      <c r="X35" s="333">
        <f t="shared" ref="X35:Y35" si="90">X31+X22+X8</f>
        <v>189381</v>
      </c>
      <c r="Y35" s="333">
        <f t="shared" si="90"/>
        <v>0</v>
      </c>
      <c r="Z35" s="333">
        <f t="shared" si="7"/>
        <v>189381</v>
      </c>
    </row>
    <row r="36" spans="1:26" x14ac:dyDescent="0.25">
      <c r="A36" s="350" t="s">
        <v>309</v>
      </c>
      <c r="B36" s="351" t="s">
        <v>334</v>
      </c>
      <c r="C36" s="352">
        <f t="shared" ref="C36:D36" si="91">SUM(C37:C41)</f>
        <v>180004</v>
      </c>
      <c r="D36" s="352">
        <f t="shared" si="91"/>
        <v>0</v>
      </c>
      <c r="E36" s="352">
        <f t="shared" si="0"/>
        <v>180004</v>
      </c>
      <c r="F36" s="352">
        <f>SUM(F37:F41)</f>
        <v>180945</v>
      </c>
      <c r="G36" s="352">
        <f t="shared" ref="G36" si="92">SUM(G37:G41)</f>
        <v>0</v>
      </c>
      <c r="H36" s="352">
        <f t="shared" si="1"/>
        <v>180945</v>
      </c>
      <c r="I36" s="352">
        <f>SUM(I37:I41)</f>
        <v>180945</v>
      </c>
      <c r="J36" s="352">
        <f t="shared" ref="J36" si="93">SUM(J37:J41)</f>
        <v>0</v>
      </c>
      <c r="K36" s="352">
        <f t="shared" si="2"/>
        <v>180945</v>
      </c>
      <c r="L36" s="352">
        <f>SUM(L37:L41)</f>
        <v>172417</v>
      </c>
      <c r="M36" s="352">
        <f t="shared" ref="M36" si="94">SUM(M37:M41)</f>
        <v>0</v>
      </c>
      <c r="N36" s="352">
        <f t="shared" si="3"/>
        <v>172417</v>
      </c>
      <c r="O36" s="352">
        <f>SUM(O37:O41)</f>
        <v>189078</v>
      </c>
      <c r="P36" s="352">
        <f t="shared" ref="P36" si="95">SUM(P37:P41)</f>
        <v>0</v>
      </c>
      <c r="Q36" s="352">
        <f t="shared" si="4"/>
        <v>189078</v>
      </c>
      <c r="R36" s="352">
        <f>SUM(R37:R41)</f>
        <v>188909</v>
      </c>
      <c r="S36" s="352">
        <f t="shared" ref="S36" si="96">SUM(S37:S41)</f>
        <v>0</v>
      </c>
      <c r="T36" s="352">
        <f t="shared" si="5"/>
        <v>188909</v>
      </c>
      <c r="U36" s="352">
        <f>SUM(U37:U41)</f>
        <v>186811</v>
      </c>
      <c r="V36" s="352">
        <f t="shared" ref="V36" si="97">SUM(V37:V41)</f>
        <v>0</v>
      </c>
      <c r="W36" s="352">
        <f t="shared" si="6"/>
        <v>186811</v>
      </c>
      <c r="X36" s="352">
        <f>SUM(X37:X41)</f>
        <v>186708</v>
      </c>
      <c r="Y36" s="352">
        <f t="shared" ref="Y36" si="98">SUM(Y37:Y41)</f>
        <v>0</v>
      </c>
      <c r="Z36" s="352">
        <f t="shared" si="7"/>
        <v>186708</v>
      </c>
    </row>
    <row r="37" spans="1:26" x14ac:dyDescent="0.25">
      <c r="A37" s="353" t="s">
        <v>311</v>
      </c>
      <c r="B37" s="354" t="s">
        <v>286</v>
      </c>
      <c r="C37" s="355">
        <f>'5 GSZNR fel'!E23+'5 GSZNR fel'!E29</f>
        <v>113815</v>
      </c>
      <c r="D37" s="355">
        <f>'5 GSZNR fel'!D23+'5 GSZNR fel'!D29</f>
        <v>0</v>
      </c>
      <c r="E37" s="355">
        <f t="shared" si="0"/>
        <v>113815</v>
      </c>
      <c r="F37" s="355">
        <f>'5 GSZNR fel'!H23+'5 GSZNR fel'!H29</f>
        <v>113608</v>
      </c>
      <c r="G37" s="355">
        <f>'5 GSZNR fel'!I23+'5 GSZNR fel'!I29</f>
        <v>0</v>
      </c>
      <c r="H37" s="355">
        <f t="shared" si="1"/>
        <v>113608</v>
      </c>
      <c r="I37" s="355">
        <f>'5 GSZNR fel'!K23+'5 GSZNR fel'!K29</f>
        <v>113608</v>
      </c>
      <c r="J37" s="355">
        <f>'5 GSZNR fel'!L23+'5 GSZNR fel'!L29</f>
        <v>0</v>
      </c>
      <c r="K37" s="355">
        <f t="shared" si="2"/>
        <v>113608</v>
      </c>
      <c r="L37" s="355">
        <f>'5 GSZNR fel'!N23+'5 GSZNR fel'!N29</f>
        <v>105498</v>
      </c>
      <c r="M37" s="355">
        <f>'5 GSZNR fel'!L23+'5 GSZNR fel'!L29</f>
        <v>0</v>
      </c>
      <c r="N37" s="355">
        <f t="shared" si="3"/>
        <v>105498</v>
      </c>
      <c r="O37" s="921">
        <f>'5 GSZNR fel'!Q23+'5 GSZNR fel'!Q29</f>
        <v>119552</v>
      </c>
      <c r="P37" s="921">
        <f>'5 GSZNR fel'!P23+'5 GSZNR fel'!P29</f>
        <v>0</v>
      </c>
      <c r="Q37" s="921">
        <f t="shared" si="4"/>
        <v>119552</v>
      </c>
      <c r="R37" s="355">
        <f>'5 GSZNR fel'!T23+'5 GSZNR fel'!T29</f>
        <v>119552</v>
      </c>
      <c r="S37" s="355">
        <f>'5 GSZNR fel'!S23+'5 GSZNR fel'!S29</f>
        <v>0</v>
      </c>
      <c r="T37" s="355">
        <f t="shared" si="5"/>
        <v>119552</v>
      </c>
      <c r="U37" s="355">
        <f>'5 GSZNR fel'!W23+'5 GSZNR fel'!W29</f>
        <v>119552</v>
      </c>
      <c r="V37" s="355">
        <f>'5 GSZNR fel'!V23+'5 GSZNR fel'!V29</f>
        <v>0</v>
      </c>
      <c r="W37" s="355">
        <f t="shared" si="6"/>
        <v>119552</v>
      </c>
      <c r="X37" s="921">
        <f>'5 GSZNR fel'!Z23+'5 GSZNR fel'!Z29</f>
        <v>119612</v>
      </c>
      <c r="Y37" s="921">
        <f>'5 GSZNR fel'!Y23+'5 GSZNR fel'!Y29</f>
        <v>0</v>
      </c>
      <c r="Z37" s="921">
        <f t="shared" si="7"/>
        <v>119612</v>
      </c>
    </row>
    <row r="38" spans="1:26" x14ac:dyDescent="0.25">
      <c r="A38" s="353" t="s">
        <v>322</v>
      </c>
      <c r="B38" s="354" t="s">
        <v>335</v>
      </c>
      <c r="C38" s="355">
        <f>'5 GSZNR fel'!E24+'5 GSZNR fel'!E30</f>
        <v>23916</v>
      </c>
      <c r="D38" s="355">
        <f>'5 GSZNR fel'!D24+'5 GSZNR fel'!D30</f>
        <v>0</v>
      </c>
      <c r="E38" s="355">
        <f t="shared" si="0"/>
        <v>23916</v>
      </c>
      <c r="F38" s="355">
        <f>'5 GSZNR fel'!H24+'5 GSZNR fel'!H30</f>
        <v>23916</v>
      </c>
      <c r="G38" s="355">
        <f>'5 GSZNR fel'!I24+'5 GSZNR fel'!I30</f>
        <v>0</v>
      </c>
      <c r="H38" s="355">
        <f t="shared" si="1"/>
        <v>23916</v>
      </c>
      <c r="I38" s="355">
        <f>'5 GSZNR fel'!K24+'5 GSZNR fel'!K30</f>
        <v>23916</v>
      </c>
      <c r="J38" s="355">
        <f>'5 GSZNR fel'!L24+'5 GSZNR fel'!L30</f>
        <v>0</v>
      </c>
      <c r="K38" s="355">
        <f t="shared" si="2"/>
        <v>23916</v>
      </c>
      <c r="L38" s="355">
        <f>'5 GSZNR fel'!N24+'5 GSZNR fel'!N30</f>
        <v>23038</v>
      </c>
      <c r="M38" s="355">
        <f>'5 GSZNR fel'!L24+'5 GSZNR fel'!L30</f>
        <v>0</v>
      </c>
      <c r="N38" s="355">
        <f t="shared" si="3"/>
        <v>23038</v>
      </c>
      <c r="O38" s="921">
        <f>'5 GSZNR fel'!Q24+'5 GSZNR fel'!Q30</f>
        <v>24606</v>
      </c>
      <c r="P38" s="921">
        <f>'5 GSZNR fel'!P24+'5 GSZNR fel'!P30</f>
        <v>0</v>
      </c>
      <c r="Q38" s="921">
        <f t="shared" si="4"/>
        <v>24606</v>
      </c>
      <c r="R38" s="355">
        <f>'5 GSZNR fel'!T24+'5 GSZNR fel'!T30</f>
        <v>24606</v>
      </c>
      <c r="S38" s="355">
        <f>'5 GSZNR fel'!S24+'5 GSZNR fel'!S30</f>
        <v>0</v>
      </c>
      <c r="T38" s="355">
        <f t="shared" si="5"/>
        <v>24606</v>
      </c>
      <c r="U38" s="355">
        <f>'5 GSZNR fel'!W24+'5 GSZNR fel'!W30</f>
        <v>24606</v>
      </c>
      <c r="V38" s="355">
        <f>'5 GSZNR fel'!V24+'5 GSZNR fel'!V30</f>
        <v>0</v>
      </c>
      <c r="W38" s="355">
        <f t="shared" si="6"/>
        <v>24606</v>
      </c>
      <c r="X38" s="921">
        <f>'5 GSZNR fel'!Z24+'5 GSZNR fel'!Z30</f>
        <v>24617</v>
      </c>
      <c r="Y38" s="921">
        <f>'5 GSZNR fel'!Y24+'5 GSZNR fel'!Y30</f>
        <v>0</v>
      </c>
      <c r="Z38" s="921">
        <f t="shared" si="7"/>
        <v>24617</v>
      </c>
    </row>
    <row r="39" spans="1:26" x14ac:dyDescent="0.25">
      <c r="A39" s="353" t="s">
        <v>315</v>
      </c>
      <c r="B39" s="354" t="s">
        <v>292</v>
      </c>
      <c r="C39" s="355">
        <f>'5 GSZNR fel'!E25+'5 GSZNR fel'!E31</f>
        <v>42273</v>
      </c>
      <c r="D39" s="355">
        <f>'5 GSZNR fel'!D25+'5 GSZNR fel'!D31</f>
        <v>0</v>
      </c>
      <c r="E39" s="355">
        <f t="shared" si="0"/>
        <v>42273</v>
      </c>
      <c r="F39" s="355">
        <f>'5 GSZNR fel'!H25+'5 GSZNR fel'!H31</f>
        <v>42022</v>
      </c>
      <c r="G39" s="355">
        <f>'5 GSZNR fel'!I25+'5 GSZNR fel'!I31</f>
        <v>0</v>
      </c>
      <c r="H39" s="355">
        <f t="shared" si="1"/>
        <v>42022</v>
      </c>
      <c r="I39" s="355">
        <f>'5 GSZNR fel'!K25+'5 GSZNR fel'!K31</f>
        <v>42022</v>
      </c>
      <c r="J39" s="355">
        <f>'5 GSZNR fel'!L25+'5 GSZNR fel'!L31</f>
        <v>0</v>
      </c>
      <c r="K39" s="355">
        <f t="shared" si="2"/>
        <v>42022</v>
      </c>
      <c r="L39" s="355">
        <f>'5 GSZNR fel'!N25+'5 GSZNR fel'!N31</f>
        <v>42482</v>
      </c>
      <c r="M39" s="355">
        <f>'5 GSZNR fel'!L25+'5 GSZNR fel'!L31</f>
        <v>0</v>
      </c>
      <c r="N39" s="355">
        <f t="shared" si="3"/>
        <v>42482</v>
      </c>
      <c r="O39" s="921">
        <f>'5 GSZNR fel'!Q25+'5 GSZNR fel'!Q31</f>
        <v>44920</v>
      </c>
      <c r="P39" s="921">
        <f>'5 GSZNR fel'!P25+'5 GSZNR fel'!P31</f>
        <v>0</v>
      </c>
      <c r="Q39" s="921">
        <f t="shared" si="4"/>
        <v>44920</v>
      </c>
      <c r="R39" s="355">
        <f>'5 GSZNR fel'!T25+'5 GSZNR fel'!T31</f>
        <v>44751</v>
      </c>
      <c r="S39" s="355">
        <f>'5 GSZNR fel'!S25+'5 GSZNR fel'!S31</f>
        <v>0</v>
      </c>
      <c r="T39" s="355">
        <f t="shared" si="5"/>
        <v>44751</v>
      </c>
      <c r="U39" s="355">
        <f>'5 GSZNR fel'!W25+'5 GSZNR fel'!W31</f>
        <v>42653</v>
      </c>
      <c r="V39" s="355">
        <f>'5 GSZNR fel'!V25+'5 GSZNR fel'!V31</f>
        <v>0</v>
      </c>
      <c r="W39" s="355">
        <f t="shared" si="6"/>
        <v>42653</v>
      </c>
      <c r="X39" s="921">
        <f>'5 GSZNR fel'!Z25+'5 GSZNR fel'!Z31</f>
        <v>42479</v>
      </c>
      <c r="Y39" s="921">
        <f>'5 GSZNR fel'!Y25+'5 GSZNR fel'!Y31</f>
        <v>0</v>
      </c>
      <c r="Z39" s="921">
        <f t="shared" si="7"/>
        <v>42479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fel'!H26</f>
        <v>1399</v>
      </c>
      <c r="G41" s="355">
        <v>0</v>
      </c>
      <c r="H41" s="355">
        <f t="shared" si="1"/>
        <v>1399</v>
      </c>
      <c r="I41" s="355">
        <f>+'5 GSZNR fel'!K26</f>
        <v>1399</v>
      </c>
      <c r="J41" s="355">
        <v>0</v>
      </c>
      <c r="K41" s="355">
        <f t="shared" si="2"/>
        <v>1399</v>
      </c>
      <c r="L41" s="355">
        <f>+'5 GSZNR fel'!N26</f>
        <v>1399</v>
      </c>
      <c r="M41" s="355">
        <f>+'5 GSZNR fel'!L26</f>
        <v>0</v>
      </c>
      <c r="N41" s="355">
        <f t="shared" si="3"/>
        <v>1399</v>
      </c>
      <c r="O41" s="921">
        <f>+'5 GSZNR fel'!Q26</f>
        <v>0</v>
      </c>
      <c r="P41" s="921">
        <f>+'5 GSZNR fel'!P26</f>
        <v>0</v>
      </c>
      <c r="Q41" s="921">
        <f t="shared" si="4"/>
        <v>0</v>
      </c>
      <c r="R41" s="355">
        <f>+'5 GSZNR fel'!T26</f>
        <v>0</v>
      </c>
      <c r="S41" s="355">
        <f>+'5 GSZNR fel'!S26</f>
        <v>0</v>
      </c>
      <c r="T41" s="355">
        <f t="shared" si="5"/>
        <v>0</v>
      </c>
      <c r="U41" s="355">
        <f>+'5 GSZNR fel'!W26</f>
        <v>0</v>
      </c>
      <c r="V41" s="355">
        <f>+'5 GSZNR fel'!V26</f>
        <v>0</v>
      </c>
      <c r="W41" s="355">
        <f t="shared" si="6"/>
        <v>0</v>
      </c>
      <c r="X41" s="921">
        <f>+'5 GSZNR fel'!Z26</f>
        <v>0</v>
      </c>
      <c r="Y41" s="921">
        <f>+'5 GSZNR fel'!Y26</f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99">SUM(C43:C45)</f>
        <v>635</v>
      </c>
      <c r="D42" s="352">
        <f t="shared" si="99"/>
        <v>0</v>
      </c>
      <c r="E42" s="352">
        <f t="shared" si="0"/>
        <v>635</v>
      </c>
      <c r="F42" s="352">
        <f>SUM(F43:F45)</f>
        <v>1103</v>
      </c>
      <c r="G42" s="352">
        <f t="shared" ref="G42" si="100">SUM(G43:G45)</f>
        <v>0</v>
      </c>
      <c r="H42" s="352">
        <f t="shared" si="1"/>
        <v>1103</v>
      </c>
      <c r="I42" s="352">
        <f>SUM(I43:I45)</f>
        <v>1103</v>
      </c>
      <c r="J42" s="352">
        <f t="shared" ref="J42" si="101">SUM(J43:J45)</f>
        <v>0</v>
      </c>
      <c r="K42" s="352">
        <f t="shared" si="2"/>
        <v>1103</v>
      </c>
      <c r="L42" s="352">
        <f>SUM(L43:L45)</f>
        <v>629</v>
      </c>
      <c r="M42" s="352">
        <f t="shared" ref="M42" si="102">SUM(M43:M45)</f>
        <v>0</v>
      </c>
      <c r="N42" s="352">
        <f t="shared" si="3"/>
        <v>629</v>
      </c>
      <c r="O42" s="352">
        <f>SUM(O43:O45)</f>
        <v>0</v>
      </c>
      <c r="P42" s="352">
        <f t="shared" ref="P42" si="103">SUM(P43:P45)</f>
        <v>0</v>
      </c>
      <c r="Q42" s="352">
        <f t="shared" si="4"/>
        <v>0</v>
      </c>
      <c r="R42" s="352">
        <f>SUM(R43:R45)</f>
        <v>401</v>
      </c>
      <c r="S42" s="352">
        <f t="shared" ref="S42" si="104">SUM(S43:S45)</f>
        <v>0</v>
      </c>
      <c r="T42" s="352">
        <f t="shared" si="5"/>
        <v>401</v>
      </c>
      <c r="U42" s="352">
        <f>SUM(U43:U45)</f>
        <v>2499</v>
      </c>
      <c r="V42" s="352">
        <f t="shared" ref="V42" si="105">SUM(V43:V45)</f>
        <v>0</v>
      </c>
      <c r="W42" s="352">
        <f t="shared" si="6"/>
        <v>2499</v>
      </c>
      <c r="X42" s="352">
        <f>SUM(X43:X45)</f>
        <v>2673</v>
      </c>
      <c r="Y42" s="352">
        <f t="shared" ref="Y42" si="106">SUM(Y43:Y45)</f>
        <v>0</v>
      </c>
      <c r="Z42" s="352">
        <f t="shared" si="7"/>
        <v>2673</v>
      </c>
    </row>
    <row r="43" spans="1:26" x14ac:dyDescent="0.25">
      <c r="A43" s="353" t="s">
        <v>311</v>
      </c>
      <c r="B43" s="354" t="s">
        <v>341</v>
      </c>
      <c r="C43" s="355">
        <f>'5 GSZNR fel'!E27+'5 GSZNR fel'!E32</f>
        <v>635</v>
      </c>
      <c r="D43" s="355">
        <f>'5 GSZNR fel'!D27+'5 GSZNR fel'!D32</f>
        <v>0</v>
      </c>
      <c r="E43" s="355">
        <f t="shared" si="0"/>
        <v>635</v>
      </c>
      <c r="F43" s="355">
        <f>'5 GSZNR fel'!H27+'5 GSZNR fel'!H32</f>
        <v>1103</v>
      </c>
      <c r="G43" s="355">
        <f>'5 GSZNR fel'!I27+'5 GSZNR fel'!I32</f>
        <v>0</v>
      </c>
      <c r="H43" s="355">
        <f t="shared" si="1"/>
        <v>1103</v>
      </c>
      <c r="I43" s="355">
        <f>'5 GSZNR fel'!K27+'5 GSZNR fel'!K32</f>
        <v>1103</v>
      </c>
      <c r="J43" s="355">
        <f>'5 GSZNR fel'!L27+'5 GSZNR fel'!L32</f>
        <v>0</v>
      </c>
      <c r="K43" s="355">
        <f t="shared" si="2"/>
        <v>1103</v>
      </c>
      <c r="L43" s="355">
        <f>'5 GSZNR fel'!N27+'5 GSZNR fel'!N32</f>
        <v>629</v>
      </c>
      <c r="M43" s="355">
        <f>'5 GSZNR fel'!L27+'5 GSZNR fel'!L32</f>
        <v>0</v>
      </c>
      <c r="N43" s="355">
        <f t="shared" si="3"/>
        <v>629</v>
      </c>
      <c r="O43" s="921">
        <f>'5 GSZNR fel'!Q27+'5 GSZNR fel'!Q32</f>
        <v>0</v>
      </c>
      <c r="P43" s="921">
        <f>'5 GSZNR fel'!P27+'5 GSZNR fel'!P32</f>
        <v>0</v>
      </c>
      <c r="Q43" s="921">
        <f t="shared" si="4"/>
        <v>0</v>
      </c>
      <c r="R43" s="355">
        <f>'5 GSZNR fel'!T27+'5 GSZNR fel'!T32</f>
        <v>401</v>
      </c>
      <c r="S43" s="355">
        <f>'5 GSZNR fel'!S27+'5 GSZNR fel'!S32</f>
        <v>0</v>
      </c>
      <c r="T43" s="355">
        <f t="shared" si="5"/>
        <v>401</v>
      </c>
      <c r="U43" s="355">
        <f>'5 GSZNR fel'!W27+'5 GSZNR fel'!W32</f>
        <v>2499</v>
      </c>
      <c r="V43" s="355">
        <f>'5 GSZNR fel'!V27+'5 GSZNR fel'!V32</f>
        <v>0</v>
      </c>
      <c r="W43" s="355">
        <f t="shared" si="6"/>
        <v>2499</v>
      </c>
      <c r="X43" s="921">
        <f>'5 GSZNR fel'!Z27+'5 GSZNR fel'!Z32</f>
        <v>2673</v>
      </c>
      <c r="Y43" s="921">
        <f>'5 GSZNR fel'!Y27+'5 GSZNR fel'!Y32</f>
        <v>0</v>
      </c>
      <c r="Z43" s="921">
        <f t="shared" si="7"/>
        <v>2673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107">C36+C42</f>
        <v>180639</v>
      </c>
      <c r="D46" s="333">
        <f t="shared" si="107"/>
        <v>0</v>
      </c>
      <c r="E46" s="333">
        <f t="shared" si="0"/>
        <v>180639</v>
      </c>
      <c r="F46" s="333">
        <f t="shared" ref="F46:G46" si="108">F36+F42</f>
        <v>182048</v>
      </c>
      <c r="G46" s="333">
        <f t="shared" si="108"/>
        <v>0</v>
      </c>
      <c r="H46" s="333">
        <f t="shared" si="1"/>
        <v>182048</v>
      </c>
      <c r="I46" s="333">
        <f t="shared" ref="I46:J46" si="109">I36+I42</f>
        <v>182048</v>
      </c>
      <c r="J46" s="333">
        <f t="shared" si="109"/>
        <v>0</v>
      </c>
      <c r="K46" s="333">
        <f t="shared" si="2"/>
        <v>182048</v>
      </c>
      <c r="L46" s="333">
        <f t="shared" ref="L46:M46" si="110">L36+L42</f>
        <v>173046</v>
      </c>
      <c r="M46" s="333">
        <f t="shared" si="110"/>
        <v>0</v>
      </c>
      <c r="N46" s="333">
        <f t="shared" si="3"/>
        <v>173046</v>
      </c>
      <c r="O46" s="333">
        <f t="shared" ref="O46:P46" si="111">O36+O42</f>
        <v>189078</v>
      </c>
      <c r="P46" s="333">
        <f t="shared" si="111"/>
        <v>0</v>
      </c>
      <c r="Q46" s="333">
        <f t="shared" si="4"/>
        <v>189078</v>
      </c>
      <c r="R46" s="333">
        <f t="shared" ref="R46:S46" si="112">R36+R42</f>
        <v>189310</v>
      </c>
      <c r="S46" s="333">
        <f t="shared" si="112"/>
        <v>0</v>
      </c>
      <c r="T46" s="333">
        <f t="shared" si="5"/>
        <v>189310</v>
      </c>
      <c r="U46" s="333">
        <f t="shared" ref="U46:V46" si="113">U36+U42</f>
        <v>189310</v>
      </c>
      <c r="V46" s="333">
        <f t="shared" si="113"/>
        <v>0</v>
      </c>
      <c r="W46" s="333">
        <f t="shared" si="6"/>
        <v>189310</v>
      </c>
      <c r="X46" s="333">
        <f t="shared" ref="X46:Y46" si="114">X36+X42</f>
        <v>189381</v>
      </c>
      <c r="Y46" s="333">
        <f t="shared" si="114"/>
        <v>0</v>
      </c>
      <c r="Z46" s="333">
        <f t="shared" si="7"/>
        <v>189381</v>
      </c>
    </row>
  </sheetData>
  <mergeCells count="10">
    <mergeCell ref="X4:Z4"/>
    <mergeCell ref="U4:W4"/>
    <mergeCell ref="R4:T4"/>
    <mergeCell ref="A4:A5"/>
    <mergeCell ref="B4:B5"/>
    <mergeCell ref="L4:N4"/>
    <mergeCell ref="O4:Q4"/>
    <mergeCell ref="I4:K4"/>
    <mergeCell ref="F4:H4"/>
    <mergeCell ref="C4:E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8" fitToHeight="0" orientation="portrait" copies="2" r:id="rId1"/>
  <headerFooter>
    <oddHeader>&amp;L4/B.  melléklet a ...../2020. (.......) önkormányzati rendelethez&amp;C&amp;"-,Félkövér"&amp;16
A Törökbálinti Nyitnikék Óvoda 2019. évi bevételei és kiadásai jogcímenként és feladatonként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46"/>
  <sheetViews>
    <sheetView view="pageBreakPreview" topLeftCell="A2" zoomScale="75" zoomScaleNormal="100" zoomScaleSheetLayoutView="75" workbookViewId="0">
      <selection activeCell="AA16" sqref="AA16"/>
    </sheetView>
  </sheetViews>
  <sheetFormatPr defaultRowHeight="15" x14ac:dyDescent="0.25"/>
  <cols>
    <col min="1" max="1" width="7.140625" style="31" customWidth="1"/>
    <col min="2" max="2" width="50.7109375" customWidth="1"/>
    <col min="3" max="3" width="9.85546875" hidden="1" customWidth="1"/>
    <col min="4" max="4" width="9" hidden="1" customWidth="1"/>
    <col min="5" max="5" width="9.28515625" hidden="1" customWidth="1"/>
    <col min="6" max="10" width="9" hidden="1" customWidth="1"/>
    <col min="11" max="11" width="10.85546875" hidden="1" customWidth="1"/>
    <col min="12" max="13" width="9" hidden="1" customWidth="1"/>
    <col min="14" max="14" width="10.28515625" hidden="1" customWidth="1"/>
    <col min="18" max="20" width="0" hidden="1" customWidth="1"/>
  </cols>
  <sheetData>
    <row r="1" spans="1:27" x14ac:dyDescent="0.25">
      <c r="E1" s="32"/>
      <c r="K1" s="32"/>
      <c r="N1" s="32"/>
      <c r="Q1" s="32"/>
      <c r="T1" s="32"/>
      <c r="W1" s="32"/>
      <c r="Z1" s="32" t="s">
        <v>302</v>
      </c>
    </row>
    <row r="2" spans="1:27" ht="30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7" x14ac:dyDescent="0.25">
      <c r="A3" s="346" t="s">
        <v>304</v>
      </c>
      <c r="B3" s="346" t="s">
        <v>1514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7" ht="42" customHeight="1" x14ac:dyDescent="0.25">
      <c r="A4" s="391" t="s">
        <v>305</v>
      </c>
      <c r="B4" s="390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1731</v>
      </c>
      <c r="V4" s="1005"/>
      <c r="W4" s="1006"/>
      <c r="X4" s="1004" t="s">
        <v>1742</v>
      </c>
      <c r="Y4" s="1005"/>
      <c r="Z4" s="1006"/>
    </row>
    <row r="5" spans="1:27" ht="60" x14ac:dyDescent="0.25">
      <c r="A5" s="391"/>
      <c r="B5" s="390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7" x14ac:dyDescent="0.25">
      <c r="A6" s="347"/>
      <c r="B6" s="348" t="s">
        <v>307</v>
      </c>
      <c r="C6" s="349">
        <v>56</v>
      </c>
      <c r="D6" s="349"/>
      <c r="E6" s="349">
        <f t="shared" ref="E6:E46" si="0">SUM(C6:D6)</f>
        <v>56</v>
      </c>
      <c r="F6" s="349">
        <v>56</v>
      </c>
      <c r="G6" s="349"/>
      <c r="H6" s="349">
        <f t="shared" ref="H6:H46" si="1">SUM(F6:G6)</f>
        <v>56</v>
      </c>
      <c r="I6" s="349">
        <v>56</v>
      </c>
      <c r="J6" s="349"/>
      <c r="K6" s="349">
        <f t="shared" ref="K6:K46" si="2">SUM(I6:J6)</f>
        <v>56</v>
      </c>
      <c r="L6" s="349">
        <v>56</v>
      </c>
      <c r="M6" s="349"/>
      <c r="N6" s="349">
        <f t="shared" ref="N6:N46" si="3">SUM(L6:M6)</f>
        <v>56</v>
      </c>
      <c r="O6" s="936">
        <v>56</v>
      </c>
      <c r="P6" s="936"/>
      <c r="Q6" s="936">
        <f t="shared" ref="Q6:Q46" si="4">SUM(O6:P6)</f>
        <v>56</v>
      </c>
      <c r="R6" s="349">
        <v>56</v>
      </c>
      <c r="S6" s="349"/>
      <c r="T6" s="349">
        <f t="shared" ref="T6:T46" si="5">SUM(R6:S6)</f>
        <v>56</v>
      </c>
      <c r="U6" s="349">
        <f>+'6. létszámkeret'!E12</f>
        <v>56</v>
      </c>
      <c r="V6" s="349"/>
      <c r="W6" s="349">
        <f t="shared" ref="W6:W46" si="6">SUM(U6:V6)</f>
        <v>56</v>
      </c>
      <c r="X6" s="936">
        <f>+'6. létszámkeret'!E12</f>
        <v>56</v>
      </c>
      <c r="Y6" s="936"/>
      <c r="Z6" s="936">
        <f t="shared" ref="Z6:Z46" si="7">SUM(X6:Y6)</f>
        <v>56</v>
      </c>
    </row>
    <row r="7" spans="1:27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7" x14ac:dyDescent="0.25">
      <c r="A8" s="350" t="s">
        <v>309</v>
      </c>
      <c r="B8" s="351" t="s">
        <v>310</v>
      </c>
      <c r="C8" s="352">
        <f t="shared" ref="C8:D8" si="8">C9+C11+C20</f>
        <v>7684</v>
      </c>
      <c r="D8" s="352">
        <f t="shared" si="8"/>
        <v>0</v>
      </c>
      <c r="E8" s="352">
        <f t="shared" si="0"/>
        <v>7684</v>
      </c>
      <c r="F8" s="352">
        <f t="shared" ref="F8:G8" si="9">F9+F11+F20</f>
        <v>7684</v>
      </c>
      <c r="G8" s="352">
        <f t="shared" si="9"/>
        <v>0</v>
      </c>
      <c r="H8" s="352">
        <f t="shared" si="1"/>
        <v>7684</v>
      </c>
      <c r="I8" s="352">
        <f t="shared" ref="I8:J8" si="10">I9+I11+I20</f>
        <v>7684</v>
      </c>
      <c r="J8" s="352">
        <f t="shared" si="10"/>
        <v>0</v>
      </c>
      <c r="K8" s="352">
        <f t="shared" si="2"/>
        <v>7684</v>
      </c>
      <c r="L8" s="352">
        <f t="shared" ref="L8:M8" si="11">L9+L11+L20</f>
        <v>11447</v>
      </c>
      <c r="M8" s="352">
        <f t="shared" si="11"/>
        <v>0</v>
      </c>
      <c r="N8" s="352">
        <f t="shared" si="3"/>
        <v>11447</v>
      </c>
      <c r="O8" s="352">
        <f t="shared" ref="O8:P8" si="12">O9+O11+O20</f>
        <v>7684</v>
      </c>
      <c r="P8" s="352">
        <f t="shared" si="12"/>
        <v>0</v>
      </c>
      <c r="Q8" s="352">
        <f t="shared" si="4"/>
        <v>7684</v>
      </c>
      <c r="R8" s="352">
        <f t="shared" ref="R8:S8" si="13">R9+R11+R20</f>
        <v>7684</v>
      </c>
      <c r="S8" s="352">
        <f t="shared" si="13"/>
        <v>0</v>
      </c>
      <c r="T8" s="352">
        <f t="shared" si="5"/>
        <v>7684</v>
      </c>
      <c r="U8" s="352">
        <f t="shared" ref="U8:V8" si="14">U9+U11+U20</f>
        <v>7684</v>
      </c>
      <c r="V8" s="352">
        <f t="shared" si="14"/>
        <v>0</v>
      </c>
      <c r="W8" s="352">
        <f t="shared" si="6"/>
        <v>7684</v>
      </c>
      <c r="X8" s="352">
        <f t="shared" ref="X8:Y8" si="15">X9+X11+X20</f>
        <v>10184</v>
      </c>
      <c r="Y8" s="352">
        <f t="shared" si="15"/>
        <v>0</v>
      </c>
      <c r="Z8" s="352">
        <f t="shared" si="7"/>
        <v>10184</v>
      </c>
    </row>
    <row r="9" spans="1:27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7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7" x14ac:dyDescent="0.25">
      <c r="A11" s="353" t="s">
        <v>322</v>
      </c>
      <c r="B11" s="354" t="s">
        <v>314</v>
      </c>
      <c r="C11" s="355">
        <f t="shared" ref="C11:D11" si="17">C12+C13+C14+C15+C16+C17+C18+C19</f>
        <v>7684</v>
      </c>
      <c r="D11" s="355">
        <f t="shared" si="17"/>
        <v>0</v>
      </c>
      <c r="E11" s="355">
        <f t="shared" si="0"/>
        <v>7684</v>
      </c>
      <c r="F11" s="355">
        <f t="shared" ref="F11:G11" si="18">F12+F13+F14+F15+F16+F17+F18+F19</f>
        <v>7684</v>
      </c>
      <c r="G11" s="355">
        <f t="shared" si="18"/>
        <v>0</v>
      </c>
      <c r="H11" s="355">
        <f t="shared" si="1"/>
        <v>7684</v>
      </c>
      <c r="I11" s="355">
        <f t="shared" ref="I11:J11" si="19">I12+I13+I14+I15+I16+I17+I18+I19</f>
        <v>7684</v>
      </c>
      <c r="J11" s="355">
        <f t="shared" si="19"/>
        <v>0</v>
      </c>
      <c r="K11" s="355">
        <f t="shared" si="2"/>
        <v>7684</v>
      </c>
      <c r="L11" s="355">
        <f t="shared" ref="L11:M11" si="20">L12+L13+L14+L15+L16+L17+L18+L19</f>
        <v>11447</v>
      </c>
      <c r="M11" s="355">
        <f t="shared" si="20"/>
        <v>0</v>
      </c>
      <c r="N11" s="355">
        <f t="shared" si="3"/>
        <v>11447</v>
      </c>
      <c r="O11" s="355">
        <f t="shared" ref="O11:P11" si="21">O12+O13+O14+O15+O16+O17+O18+O19</f>
        <v>7684</v>
      </c>
      <c r="P11" s="355">
        <f t="shared" si="21"/>
        <v>0</v>
      </c>
      <c r="Q11" s="355">
        <f t="shared" si="4"/>
        <v>7684</v>
      </c>
      <c r="R11" s="355">
        <f t="shared" ref="R11:S11" si="22">R12+R13+R14+R15+R16+R17+R18+R19</f>
        <v>7684</v>
      </c>
      <c r="S11" s="355">
        <f t="shared" si="22"/>
        <v>0</v>
      </c>
      <c r="T11" s="355">
        <f t="shared" si="5"/>
        <v>7684</v>
      </c>
      <c r="U11" s="355">
        <f t="shared" ref="U11:V11" si="23">U12+U13+U14+U15+U16+U17+U18+U19</f>
        <v>7684</v>
      </c>
      <c r="V11" s="355">
        <f t="shared" si="23"/>
        <v>0</v>
      </c>
      <c r="W11" s="355">
        <f t="shared" si="6"/>
        <v>7684</v>
      </c>
      <c r="X11" s="355">
        <f t="shared" ref="X11:Y11" si="24">X12+X13+X14+X15+X16+X17+X18+X19</f>
        <v>10184</v>
      </c>
      <c r="Y11" s="355">
        <f t="shared" si="24"/>
        <v>0</v>
      </c>
      <c r="Z11" s="355">
        <f t="shared" si="7"/>
        <v>10184</v>
      </c>
    </row>
    <row r="12" spans="1:27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7" x14ac:dyDescent="0.25">
      <c r="A13" s="392"/>
      <c r="B13" s="356" t="s">
        <v>655</v>
      </c>
      <c r="C13" s="273">
        <v>0</v>
      </c>
      <c r="D13" s="273">
        <v>0</v>
      </c>
      <c r="E13" s="273">
        <f t="shared" si="0"/>
        <v>0</v>
      </c>
      <c r="F13" s="273">
        <v>0</v>
      </c>
      <c r="G13" s="273">
        <v>0</v>
      </c>
      <c r="H13" s="273">
        <f t="shared" si="1"/>
        <v>0</v>
      </c>
      <c r="I13" s="273">
        <v>0</v>
      </c>
      <c r="J13" s="273">
        <v>0</v>
      </c>
      <c r="K13" s="273">
        <f t="shared" si="2"/>
        <v>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7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7" x14ac:dyDescent="0.25">
      <c r="A15" s="392"/>
      <c r="B15" s="356" t="s">
        <v>664</v>
      </c>
      <c r="C15" s="273">
        <v>6050</v>
      </c>
      <c r="D15" s="273">
        <v>0</v>
      </c>
      <c r="E15" s="273">
        <f t="shared" si="0"/>
        <v>6050</v>
      </c>
      <c r="F15" s="273">
        <v>6050</v>
      </c>
      <c r="G15" s="273">
        <v>0</v>
      </c>
      <c r="H15" s="273">
        <f t="shared" si="1"/>
        <v>6050</v>
      </c>
      <c r="I15" s="273">
        <v>6050</v>
      </c>
      <c r="J15" s="273">
        <v>0</v>
      </c>
      <c r="K15" s="273">
        <f t="shared" si="2"/>
        <v>6050</v>
      </c>
      <c r="L15" s="273">
        <v>7856</v>
      </c>
      <c r="M15" s="273">
        <v>0</v>
      </c>
      <c r="N15" s="273">
        <f t="shared" si="3"/>
        <v>7856</v>
      </c>
      <c r="O15" s="923">
        <v>6050</v>
      </c>
      <c r="P15" s="923">
        <v>0</v>
      </c>
      <c r="Q15" s="923">
        <f t="shared" si="4"/>
        <v>6050</v>
      </c>
      <c r="R15" s="273">
        <v>6050</v>
      </c>
      <c r="S15" s="273">
        <v>0</v>
      </c>
      <c r="T15" s="273">
        <f t="shared" si="5"/>
        <v>6050</v>
      </c>
      <c r="U15" s="273">
        <v>6050</v>
      </c>
      <c r="V15" s="273">
        <v>0</v>
      </c>
      <c r="W15" s="273">
        <f t="shared" si="6"/>
        <v>6050</v>
      </c>
      <c r="X15" s="923">
        <f>6050+1968</f>
        <v>8018</v>
      </c>
      <c r="Y15" s="923">
        <v>0</v>
      </c>
      <c r="Z15" s="923">
        <f t="shared" si="7"/>
        <v>8018</v>
      </c>
      <c r="AA15" s="40">
        <f>+Z15-W15</f>
        <v>1968</v>
      </c>
    </row>
    <row r="16" spans="1:27" x14ac:dyDescent="0.25">
      <c r="A16" s="392"/>
      <c r="B16" s="356" t="s">
        <v>665</v>
      </c>
      <c r="C16" s="273">
        <v>1634</v>
      </c>
      <c r="D16" s="273">
        <v>0</v>
      </c>
      <c r="E16" s="273">
        <f t="shared" si="0"/>
        <v>1634</v>
      </c>
      <c r="F16" s="273">
        <v>1634</v>
      </c>
      <c r="G16" s="273">
        <v>0</v>
      </c>
      <c r="H16" s="273">
        <f t="shared" si="1"/>
        <v>1634</v>
      </c>
      <c r="I16" s="273">
        <v>1634</v>
      </c>
      <c r="J16" s="273">
        <v>0</v>
      </c>
      <c r="K16" s="273">
        <f t="shared" si="2"/>
        <v>1634</v>
      </c>
      <c r="L16" s="273">
        <v>2121</v>
      </c>
      <c r="M16" s="273">
        <v>0</v>
      </c>
      <c r="N16" s="273">
        <f t="shared" si="3"/>
        <v>2121</v>
      </c>
      <c r="O16" s="923">
        <v>1634</v>
      </c>
      <c r="P16" s="923">
        <v>0</v>
      </c>
      <c r="Q16" s="923">
        <f t="shared" si="4"/>
        <v>1634</v>
      </c>
      <c r="R16" s="273">
        <v>1634</v>
      </c>
      <c r="S16" s="273">
        <v>0</v>
      </c>
      <c r="T16" s="273">
        <f t="shared" si="5"/>
        <v>1634</v>
      </c>
      <c r="U16" s="273">
        <v>1634</v>
      </c>
      <c r="V16" s="273">
        <v>0</v>
      </c>
      <c r="W16" s="273">
        <f t="shared" si="6"/>
        <v>1634</v>
      </c>
      <c r="X16" s="923">
        <f>1634+532</f>
        <v>2166</v>
      </c>
      <c r="Y16" s="923">
        <v>0</v>
      </c>
      <c r="Z16" s="923">
        <f t="shared" si="7"/>
        <v>2166</v>
      </c>
      <c r="AA16" s="40">
        <f>+Z16-W16</f>
        <v>532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1470</v>
      </c>
      <c r="M17" s="273">
        <v>0</v>
      </c>
      <c r="N17" s="273">
        <f t="shared" si="3"/>
        <v>1470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0</v>
      </c>
      <c r="M19" s="273">
        <v>0</v>
      </c>
      <c r="N19" s="273">
        <f t="shared" si="3"/>
        <v>0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7684</v>
      </c>
      <c r="D30" s="360">
        <f t="shared" si="44"/>
        <v>0</v>
      </c>
      <c r="E30" s="360">
        <f t="shared" si="0"/>
        <v>7684</v>
      </c>
      <c r="F30" s="360">
        <f t="shared" ref="F30:G30" si="45">F22+F8</f>
        <v>7684</v>
      </c>
      <c r="G30" s="360">
        <f t="shared" si="45"/>
        <v>0</v>
      </c>
      <c r="H30" s="360">
        <f t="shared" si="1"/>
        <v>7684</v>
      </c>
      <c r="I30" s="360">
        <f t="shared" ref="I30:J30" si="46">I22+I8</f>
        <v>7684</v>
      </c>
      <c r="J30" s="360">
        <f t="shared" si="46"/>
        <v>0</v>
      </c>
      <c r="K30" s="360">
        <f t="shared" si="2"/>
        <v>7684</v>
      </c>
      <c r="L30" s="360">
        <f t="shared" ref="L30:M30" si="47">L22+L8</f>
        <v>11447</v>
      </c>
      <c r="M30" s="360">
        <f t="shared" si="47"/>
        <v>0</v>
      </c>
      <c r="N30" s="360">
        <f t="shared" si="3"/>
        <v>11447</v>
      </c>
      <c r="O30" s="360">
        <f t="shared" ref="O30:P30" si="48">O22+O8</f>
        <v>7684</v>
      </c>
      <c r="P30" s="360">
        <f t="shared" si="48"/>
        <v>0</v>
      </c>
      <c r="Q30" s="360">
        <f t="shared" si="4"/>
        <v>7684</v>
      </c>
      <c r="R30" s="360">
        <f t="shared" ref="R30:S30" si="49">R22+R8</f>
        <v>7684</v>
      </c>
      <c r="S30" s="360">
        <f t="shared" si="49"/>
        <v>0</v>
      </c>
      <c r="T30" s="360">
        <f t="shared" si="5"/>
        <v>7684</v>
      </c>
      <c r="U30" s="360">
        <f t="shared" ref="U30:V30" si="50">U22+U8</f>
        <v>7684</v>
      </c>
      <c r="V30" s="360">
        <f t="shared" si="50"/>
        <v>0</v>
      </c>
      <c r="W30" s="360">
        <f t="shared" si="6"/>
        <v>7684</v>
      </c>
      <c r="X30" s="360">
        <f t="shared" ref="X30:Y30" si="51">X22+X8</f>
        <v>10184</v>
      </c>
      <c r="Y30" s="360">
        <f t="shared" si="51"/>
        <v>0</v>
      </c>
      <c r="Z30" s="360">
        <f t="shared" si="7"/>
        <v>10184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311522</v>
      </c>
      <c r="D31" s="352">
        <f t="shared" si="52"/>
        <v>0</v>
      </c>
      <c r="E31" s="352">
        <f t="shared" si="0"/>
        <v>311522</v>
      </c>
      <c r="F31" s="352">
        <f t="shared" si="52"/>
        <v>314000</v>
      </c>
      <c r="G31" s="352">
        <f t="shared" si="52"/>
        <v>0</v>
      </c>
      <c r="H31" s="352">
        <f t="shared" si="1"/>
        <v>314000</v>
      </c>
      <c r="I31" s="352">
        <f t="shared" si="52"/>
        <v>314000</v>
      </c>
      <c r="J31" s="352">
        <f t="shared" si="52"/>
        <v>0</v>
      </c>
      <c r="K31" s="352">
        <f t="shared" si="2"/>
        <v>314000</v>
      </c>
      <c r="L31" s="352">
        <f t="shared" si="52"/>
        <v>299176</v>
      </c>
      <c r="M31" s="352">
        <f t="shared" si="52"/>
        <v>0</v>
      </c>
      <c r="N31" s="352">
        <f t="shared" si="3"/>
        <v>299176</v>
      </c>
      <c r="O31" s="352">
        <f t="shared" si="52"/>
        <v>326792</v>
      </c>
      <c r="P31" s="352">
        <f t="shared" si="52"/>
        <v>0</v>
      </c>
      <c r="Q31" s="352">
        <f t="shared" si="4"/>
        <v>326792</v>
      </c>
      <c r="R31" s="352">
        <f t="shared" si="52"/>
        <v>325175</v>
      </c>
      <c r="S31" s="352">
        <f t="shared" si="52"/>
        <v>0</v>
      </c>
      <c r="T31" s="352">
        <f t="shared" si="5"/>
        <v>325175</v>
      </c>
      <c r="U31" s="352">
        <f t="shared" si="52"/>
        <v>325175</v>
      </c>
      <c r="V31" s="352">
        <f t="shared" si="52"/>
        <v>0</v>
      </c>
      <c r="W31" s="352">
        <f t="shared" si="6"/>
        <v>325175</v>
      </c>
      <c r="X31" s="352">
        <f t="shared" si="52"/>
        <v>325480</v>
      </c>
      <c r="Y31" s="352">
        <f t="shared" si="52"/>
        <v>0</v>
      </c>
      <c r="Z31" s="352">
        <f t="shared" si="7"/>
        <v>325480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311522</v>
      </c>
      <c r="D32" s="355">
        <f t="shared" si="53"/>
        <v>0</v>
      </c>
      <c r="E32" s="355">
        <f t="shared" si="0"/>
        <v>311522</v>
      </c>
      <c r="F32" s="355">
        <f t="shared" ref="F32:G32" si="54">SUM(F33:F34)</f>
        <v>314000</v>
      </c>
      <c r="G32" s="355">
        <f t="shared" si="54"/>
        <v>0</v>
      </c>
      <c r="H32" s="355">
        <f t="shared" si="1"/>
        <v>314000</v>
      </c>
      <c r="I32" s="355">
        <f t="shared" ref="I32:J32" si="55">SUM(I33:I34)</f>
        <v>314000</v>
      </c>
      <c r="J32" s="355">
        <f t="shared" si="55"/>
        <v>0</v>
      </c>
      <c r="K32" s="355">
        <f t="shared" si="2"/>
        <v>314000</v>
      </c>
      <c r="L32" s="355">
        <f t="shared" ref="L32:M32" si="56">SUM(L33:L34)</f>
        <v>299176</v>
      </c>
      <c r="M32" s="355">
        <f t="shared" si="56"/>
        <v>0</v>
      </c>
      <c r="N32" s="355">
        <f t="shared" si="3"/>
        <v>299176</v>
      </c>
      <c r="O32" s="355">
        <f t="shared" ref="O32:P32" si="57">SUM(O33:O34)</f>
        <v>326792</v>
      </c>
      <c r="P32" s="355">
        <f t="shared" si="57"/>
        <v>0</v>
      </c>
      <c r="Q32" s="355">
        <f t="shared" si="4"/>
        <v>326792</v>
      </c>
      <c r="R32" s="355">
        <f t="shared" ref="R32:S32" si="58">SUM(R33:R34)</f>
        <v>325175</v>
      </c>
      <c r="S32" s="355">
        <f t="shared" si="58"/>
        <v>0</v>
      </c>
      <c r="T32" s="355">
        <f t="shared" si="5"/>
        <v>325175</v>
      </c>
      <c r="U32" s="355">
        <f t="shared" ref="U32:V32" si="59">SUM(U33:U34)</f>
        <v>325175</v>
      </c>
      <c r="V32" s="355">
        <f t="shared" si="59"/>
        <v>0</v>
      </c>
      <c r="W32" s="355">
        <f t="shared" si="6"/>
        <v>325175</v>
      </c>
      <c r="X32" s="355">
        <f t="shared" ref="X32:Y32" si="60">SUM(X33:X34)</f>
        <v>325480</v>
      </c>
      <c r="Y32" s="355">
        <f t="shared" si="60"/>
        <v>0</v>
      </c>
      <c r="Z32" s="355">
        <f t="shared" si="7"/>
        <v>325480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2478</v>
      </c>
      <c r="G33" s="273">
        <v>0</v>
      </c>
      <c r="H33" s="273">
        <f t="shared" si="1"/>
        <v>2478</v>
      </c>
      <c r="I33" s="273">
        <v>1306</v>
      </c>
      <c r="J33" s="273">
        <v>0</v>
      </c>
      <c r="K33" s="273">
        <f t="shared" si="2"/>
        <v>1306</v>
      </c>
      <c r="L33" s="273">
        <v>2478</v>
      </c>
      <c r="M33" s="273">
        <v>0</v>
      </c>
      <c r="N33" s="273">
        <f t="shared" si="3"/>
        <v>2478</v>
      </c>
      <c r="O33" s="923">
        <v>0</v>
      </c>
      <c r="P33" s="923">
        <v>0</v>
      </c>
      <c r="Q33" s="923">
        <f t="shared" si="4"/>
        <v>0</v>
      </c>
      <c r="R33" s="273">
        <v>913</v>
      </c>
      <c r="S33" s="273">
        <v>0</v>
      </c>
      <c r="T33" s="273">
        <f t="shared" si="5"/>
        <v>913</v>
      </c>
      <c r="U33" s="273">
        <v>913</v>
      </c>
      <c r="V33" s="273">
        <v>0</v>
      </c>
      <c r="W33" s="273">
        <f t="shared" si="6"/>
        <v>913</v>
      </c>
      <c r="X33" s="923">
        <v>913</v>
      </c>
      <c r="Y33" s="923">
        <v>0</v>
      </c>
      <c r="Z33" s="923">
        <f t="shared" si="7"/>
        <v>913</v>
      </c>
    </row>
    <row r="34" spans="1:26" x14ac:dyDescent="0.25">
      <c r="A34" s="392"/>
      <c r="B34" s="358" t="s">
        <v>332</v>
      </c>
      <c r="C34" s="273">
        <f t="shared" ref="C34:D34" si="61">C46-C30-C33</f>
        <v>311522</v>
      </c>
      <c r="D34" s="273">
        <f t="shared" si="61"/>
        <v>0</v>
      </c>
      <c r="E34" s="273">
        <f t="shared" si="0"/>
        <v>311522</v>
      </c>
      <c r="F34" s="273">
        <f t="shared" ref="F34:G34" si="62">F46-F30-F33</f>
        <v>311522</v>
      </c>
      <c r="G34" s="273">
        <f t="shared" si="62"/>
        <v>0</v>
      </c>
      <c r="H34" s="273">
        <f t="shared" si="1"/>
        <v>311522</v>
      </c>
      <c r="I34" s="273">
        <f t="shared" ref="I34:J34" si="63">I46-I30-I33</f>
        <v>312694</v>
      </c>
      <c r="J34" s="273">
        <f t="shared" si="63"/>
        <v>0</v>
      </c>
      <c r="K34" s="273">
        <f t="shared" si="2"/>
        <v>312694</v>
      </c>
      <c r="L34" s="273">
        <v>296698</v>
      </c>
      <c r="M34" s="273">
        <f t="shared" ref="M34" si="64">M46-M30-M33</f>
        <v>0</v>
      </c>
      <c r="N34" s="273">
        <f t="shared" si="3"/>
        <v>296698</v>
      </c>
      <c r="O34" s="923">
        <f t="shared" ref="O34:P34" si="65">O46-O30-O33</f>
        <v>326792</v>
      </c>
      <c r="P34" s="923">
        <f t="shared" si="65"/>
        <v>0</v>
      </c>
      <c r="Q34" s="923">
        <f t="shared" si="4"/>
        <v>326792</v>
      </c>
      <c r="R34" s="273">
        <f t="shared" ref="R34:S34" si="66">R46-R30-R33</f>
        <v>324262</v>
      </c>
      <c r="S34" s="273">
        <f t="shared" si="66"/>
        <v>0</v>
      </c>
      <c r="T34" s="273">
        <f t="shared" si="5"/>
        <v>324262</v>
      </c>
      <c r="U34" s="273">
        <f t="shared" ref="U34:V34" si="67">U46-U30-U33</f>
        <v>324262</v>
      </c>
      <c r="V34" s="273">
        <f t="shared" si="67"/>
        <v>0</v>
      </c>
      <c r="W34" s="273">
        <f t="shared" si="6"/>
        <v>324262</v>
      </c>
      <c r="X34" s="923">
        <f t="shared" ref="X34:Y34" si="68">X46-X30-X33</f>
        <v>324567</v>
      </c>
      <c r="Y34" s="923">
        <f t="shared" si="68"/>
        <v>0</v>
      </c>
      <c r="Z34" s="923">
        <f t="shared" si="7"/>
        <v>324567</v>
      </c>
    </row>
    <row r="35" spans="1:26" x14ac:dyDescent="0.25">
      <c r="A35" s="361"/>
      <c r="B35" s="362" t="s">
        <v>333</v>
      </c>
      <c r="C35" s="333">
        <f t="shared" ref="C35:D35" si="69">C31+C22+C8</f>
        <v>319206</v>
      </c>
      <c r="D35" s="333">
        <f t="shared" si="69"/>
        <v>0</v>
      </c>
      <c r="E35" s="333">
        <f t="shared" si="0"/>
        <v>319206</v>
      </c>
      <c r="F35" s="333">
        <f t="shared" ref="F35:G35" si="70">F31+F22+F8</f>
        <v>321684</v>
      </c>
      <c r="G35" s="333">
        <f t="shared" si="70"/>
        <v>0</v>
      </c>
      <c r="H35" s="333">
        <f t="shared" si="1"/>
        <v>321684</v>
      </c>
      <c r="I35" s="333">
        <f t="shared" ref="I35:J35" si="71">I31+I22+I8</f>
        <v>321684</v>
      </c>
      <c r="J35" s="333">
        <f t="shared" si="71"/>
        <v>0</v>
      </c>
      <c r="K35" s="333">
        <f t="shared" si="2"/>
        <v>321684</v>
      </c>
      <c r="L35" s="333">
        <f t="shared" ref="L35:M35" si="72">L31+L22+L8</f>
        <v>310623</v>
      </c>
      <c r="M35" s="333">
        <f t="shared" si="72"/>
        <v>0</v>
      </c>
      <c r="N35" s="333">
        <f t="shared" si="3"/>
        <v>310623</v>
      </c>
      <c r="O35" s="333">
        <f t="shared" ref="O35:P35" si="73">O31+O22+O8</f>
        <v>334476</v>
      </c>
      <c r="P35" s="333">
        <f t="shared" si="73"/>
        <v>0</v>
      </c>
      <c r="Q35" s="333">
        <f t="shared" si="4"/>
        <v>334476</v>
      </c>
      <c r="R35" s="333">
        <f t="shared" ref="R35:S35" si="74">R31+R22+R8</f>
        <v>332859</v>
      </c>
      <c r="S35" s="333">
        <f t="shared" si="74"/>
        <v>0</v>
      </c>
      <c r="T35" s="333">
        <f t="shared" si="5"/>
        <v>332859</v>
      </c>
      <c r="U35" s="333">
        <f t="shared" ref="U35:V35" si="75">U31+U22+U8</f>
        <v>332859</v>
      </c>
      <c r="V35" s="333">
        <f t="shared" si="75"/>
        <v>0</v>
      </c>
      <c r="W35" s="333">
        <f t="shared" si="6"/>
        <v>332859</v>
      </c>
      <c r="X35" s="333">
        <f t="shared" ref="X35:Y35" si="76">X31+X22+X8</f>
        <v>335664</v>
      </c>
      <c r="Y35" s="333">
        <f t="shared" si="76"/>
        <v>0</v>
      </c>
      <c r="Z35" s="333">
        <f t="shared" si="7"/>
        <v>335664</v>
      </c>
    </row>
    <row r="36" spans="1:26" x14ac:dyDescent="0.25">
      <c r="A36" s="350" t="s">
        <v>309</v>
      </c>
      <c r="B36" s="351" t="s">
        <v>334</v>
      </c>
      <c r="C36" s="352">
        <f t="shared" ref="C36:D36" si="77">SUM(C37:C41)</f>
        <v>318825</v>
      </c>
      <c r="D36" s="352">
        <f t="shared" si="77"/>
        <v>0</v>
      </c>
      <c r="E36" s="352">
        <f t="shared" si="0"/>
        <v>318825</v>
      </c>
      <c r="F36" s="352">
        <f>SUM(F37:F41)</f>
        <v>321303</v>
      </c>
      <c r="G36" s="352">
        <f t="shared" ref="G36" si="78">SUM(G37:G41)</f>
        <v>0</v>
      </c>
      <c r="H36" s="352">
        <f t="shared" si="1"/>
        <v>321303</v>
      </c>
      <c r="I36" s="352">
        <f>SUM(I37:I41)</f>
        <v>321303</v>
      </c>
      <c r="J36" s="352">
        <f t="shared" ref="J36" si="79">SUM(J37:J41)</f>
        <v>0</v>
      </c>
      <c r="K36" s="352">
        <f t="shared" si="2"/>
        <v>321303</v>
      </c>
      <c r="L36" s="352">
        <f>SUM(L37:L41)</f>
        <v>308186</v>
      </c>
      <c r="M36" s="352">
        <f t="shared" ref="M36" si="80">SUM(M37:M41)</f>
        <v>0</v>
      </c>
      <c r="N36" s="352">
        <f t="shared" si="3"/>
        <v>308186</v>
      </c>
      <c r="O36" s="352">
        <f>SUM(O37:O41)</f>
        <v>334176</v>
      </c>
      <c r="P36" s="352">
        <f t="shared" ref="P36" si="81">SUM(P37:P41)</f>
        <v>0</v>
      </c>
      <c r="Q36" s="352">
        <f t="shared" si="4"/>
        <v>334176</v>
      </c>
      <c r="R36" s="352">
        <f>SUM(R37:R41)</f>
        <v>332259</v>
      </c>
      <c r="S36" s="352">
        <f t="shared" ref="S36" si="82">SUM(S37:S41)</f>
        <v>0</v>
      </c>
      <c r="T36" s="352">
        <f t="shared" si="5"/>
        <v>332259</v>
      </c>
      <c r="U36" s="352">
        <f>SUM(U37:U41)</f>
        <v>332198</v>
      </c>
      <c r="V36" s="352">
        <f t="shared" ref="V36" si="83">SUM(V37:V41)</f>
        <v>0</v>
      </c>
      <c r="W36" s="352">
        <f t="shared" si="6"/>
        <v>332198</v>
      </c>
      <c r="X36" s="352">
        <f>SUM(X37:X41)</f>
        <v>330132</v>
      </c>
      <c r="Y36" s="352">
        <f t="shared" ref="Y36" si="84">SUM(Y37:Y41)</f>
        <v>0</v>
      </c>
      <c r="Z36" s="352">
        <f t="shared" si="7"/>
        <v>330132</v>
      </c>
    </row>
    <row r="37" spans="1:26" x14ac:dyDescent="0.25">
      <c r="A37" s="353" t="s">
        <v>311</v>
      </c>
      <c r="B37" s="354" t="s">
        <v>286</v>
      </c>
      <c r="C37" s="355">
        <f>'5 GSZNR fel'!E37+'5 GSZNR fel'!E43</f>
        <v>201035</v>
      </c>
      <c r="D37" s="355">
        <f>'5 GSZNR fel'!D37+'5 GSZNR fel'!D43</f>
        <v>0</v>
      </c>
      <c r="E37" s="355">
        <f t="shared" si="0"/>
        <v>201035</v>
      </c>
      <c r="F37" s="355">
        <f>'5 GSZNR fel'!H37+'5 GSZNR fel'!H43</f>
        <v>201035</v>
      </c>
      <c r="G37" s="355">
        <f>'5 GSZNR fel'!I37+'5 GSZNR fel'!I43</f>
        <v>0</v>
      </c>
      <c r="H37" s="355">
        <f t="shared" si="1"/>
        <v>201035</v>
      </c>
      <c r="I37" s="355">
        <f>'5 GSZNR fel'!K37+'5 GSZNR fel'!K43</f>
        <v>201035</v>
      </c>
      <c r="J37" s="355">
        <f>'5 GSZNR fel'!L37+'5 GSZNR fel'!L43</f>
        <v>0</v>
      </c>
      <c r="K37" s="355">
        <f t="shared" si="2"/>
        <v>201035</v>
      </c>
      <c r="L37" s="355">
        <f>'5 GSZNR fel'!N37+'5 GSZNR fel'!N43</f>
        <v>192634</v>
      </c>
      <c r="M37" s="355">
        <f>'5 GSZNR fel'!L37+'5 GSZNR fel'!L43</f>
        <v>0</v>
      </c>
      <c r="N37" s="355">
        <f t="shared" si="3"/>
        <v>192634</v>
      </c>
      <c r="O37" s="921">
        <f>'5 GSZNR fel'!Q37+'5 GSZNR fel'!Q43</f>
        <v>212630</v>
      </c>
      <c r="P37" s="921">
        <f>'5 GSZNR fel'!P37+'5 GSZNR fel'!P43</f>
        <v>0</v>
      </c>
      <c r="Q37" s="921">
        <f t="shared" si="4"/>
        <v>212630</v>
      </c>
      <c r="R37" s="355">
        <f>'5 GSZNR fel'!T37+'5 GSZNR fel'!T43</f>
        <v>210530</v>
      </c>
      <c r="S37" s="355">
        <f>'5 GSZNR fel'!S37+'5 GSZNR fel'!S43</f>
        <v>0</v>
      </c>
      <c r="T37" s="355">
        <f t="shared" si="5"/>
        <v>210530</v>
      </c>
      <c r="U37" s="355">
        <f>'5 GSZNR fel'!W37+'5 GSZNR fel'!W43</f>
        <v>210530</v>
      </c>
      <c r="V37" s="355">
        <f>'5 GSZNR fel'!V37+'5 GSZNR fel'!V43</f>
        <v>0</v>
      </c>
      <c r="W37" s="355">
        <f t="shared" si="6"/>
        <v>210530</v>
      </c>
      <c r="X37" s="921">
        <f>'5 GSZNR fel'!Z37+'5 GSZNR fel'!Z43</f>
        <v>209120</v>
      </c>
      <c r="Y37" s="921">
        <f>'5 GSZNR fel'!Y37+'5 GSZNR fel'!Y43</f>
        <v>0</v>
      </c>
      <c r="Z37" s="921">
        <f t="shared" si="7"/>
        <v>209120</v>
      </c>
    </row>
    <row r="38" spans="1:26" x14ac:dyDescent="0.25">
      <c r="A38" s="353" t="s">
        <v>322</v>
      </c>
      <c r="B38" s="354" t="s">
        <v>335</v>
      </c>
      <c r="C38" s="355">
        <f>'5 GSZNR fel'!E38+'5 GSZNR fel'!E44</f>
        <v>42593</v>
      </c>
      <c r="D38" s="355">
        <f>'5 GSZNR fel'!D38+'5 GSZNR fel'!D44</f>
        <v>0</v>
      </c>
      <c r="E38" s="355">
        <f t="shared" si="0"/>
        <v>42593</v>
      </c>
      <c r="F38" s="355">
        <f>'5 GSZNR fel'!H38+'5 GSZNR fel'!H44</f>
        <v>42593</v>
      </c>
      <c r="G38" s="355">
        <f>'5 GSZNR fel'!I38+'5 GSZNR fel'!I44</f>
        <v>0</v>
      </c>
      <c r="H38" s="355">
        <f t="shared" si="1"/>
        <v>42593</v>
      </c>
      <c r="I38" s="355">
        <f>'5 GSZNR fel'!K38+'5 GSZNR fel'!K44</f>
        <v>42593</v>
      </c>
      <c r="J38" s="355">
        <f>'5 GSZNR fel'!L38+'5 GSZNR fel'!L44</f>
        <v>0</v>
      </c>
      <c r="K38" s="355">
        <f t="shared" si="2"/>
        <v>42593</v>
      </c>
      <c r="L38" s="355">
        <f>'5 GSZNR fel'!N38+'5 GSZNR fel'!N44</f>
        <v>42070</v>
      </c>
      <c r="M38" s="355">
        <f>'5 GSZNR fel'!L38+'5 GSZNR fel'!L44</f>
        <v>0</v>
      </c>
      <c r="N38" s="355">
        <f t="shared" si="3"/>
        <v>42070</v>
      </c>
      <c r="O38" s="921">
        <f>'5 GSZNR fel'!Q38+'5 GSZNR fel'!Q44</f>
        <v>43712</v>
      </c>
      <c r="P38" s="921">
        <f>'5 GSZNR fel'!P38+'5 GSZNR fel'!P44</f>
        <v>0</v>
      </c>
      <c r="Q38" s="921">
        <f t="shared" si="4"/>
        <v>43712</v>
      </c>
      <c r="R38" s="355">
        <f>'5 GSZNR fel'!T38+'5 GSZNR fel'!T44</f>
        <v>43282</v>
      </c>
      <c r="S38" s="355">
        <f>'5 GSZNR fel'!S38+'5 GSZNR fel'!S44</f>
        <v>0</v>
      </c>
      <c r="T38" s="355">
        <f t="shared" si="5"/>
        <v>43282</v>
      </c>
      <c r="U38" s="355">
        <f>'5 GSZNR fel'!W38+'5 GSZNR fel'!W44</f>
        <v>43282</v>
      </c>
      <c r="V38" s="355">
        <f>'5 GSZNR fel'!V38+'5 GSZNR fel'!V44</f>
        <v>0</v>
      </c>
      <c r="W38" s="355">
        <f t="shared" si="6"/>
        <v>43282</v>
      </c>
      <c r="X38" s="921">
        <f>'5 GSZNR fel'!Z38+'5 GSZNR fel'!Z44</f>
        <v>43298</v>
      </c>
      <c r="Y38" s="921">
        <f>'5 GSZNR fel'!Y38+'5 GSZNR fel'!Y44</f>
        <v>0</v>
      </c>
      <c r="Z38" s="921">
        <f t="shared" si="7"/>
        <v>43298</v>
      </c>
    </row>
    <row r="39" spans="1:26" x14ac:dyDescent="0.25">
      <c r="A39" s="353" t="s">
        <v>315</v>
      </c>
      <c r="B39" s="354" t="s">
        <v>292</v>
      </c>
      <c r="C39" s="355">
        <f>'5 GSZNR fel'!E39+'5 GSZNR fel'!E45</f>
        <v>75197</v>
      </c>
      <c r="D39" s="355">
        <f>'5 GSZNR fel'!D39+'5 GSZNR fel'!D45</f>
        <v>0</v>
      </c>
      <c r="E39" s="355">
        <f t="shared" si="0"/>
        <v>75197</v>
      </c>
      <c r="F39" s="355">
        <f>'5 GSZNR fel'!H39+'5 GSZNR fel'!H45</f>
        <v>75378</v>
      </c>
      <c r="G39" s="355">
        <f>'5 GSZNR fel'!I39+'5 GSZNR fel'!I45</f>
        <v>0</v>
      </c>
      <c r="H39" s="355">
        <f t="shared" si="1"/>
        <v>75378</v>
      </c>
      <c r="I39" s="355">
        <f>'5 GSZNR fel'!K39+'5 GSZNR fel'!K45</f>
        <v>75378</v>
      </c>
      <c r="J39" s="355">
        <f>'5 GSZNR fel'!L39+'5 GSZNR fel'!L45</f>
        <v>0</v>
      </c>
      <c r="K39" s="355">
        <f t="shared" si="2"/>
        <v>75378</v>
      </c>
      <c r="L39" s="355">
        <f>'5 GSZNR fel'!N39+'5 GSZNR fel'!N45</f>
        <v>71186</v>
      </c>
      <c r="M39" s="355">
        <f>'5 GSZNR fel'!L39+'5 GSZNR fel'!L45</f>
        <v>0</v>
      </c>
      <c r="N39" s="355">
        <f t="shared" si="3"/>
        <v>71186</v>
      </c>
      <c r="O39" s="921">
        <f>'5 GSZNR fel'!Q39+'5 GSZNR fel'!Q45</f>
        <v>77834</v>
      </c>
      <c r="P39" s="921">
        <f>'5 GSZNR fel'!P39+'5 GSZNR fel'!P45</f>
        <v>0</v>
      </c>
      <c r="Q39" s="938">
        <f t="shared" si="4"/>
        <v>77834</v>
      </c>
      <c r="R39" s="775">
        <f>'5 GSZNR fel'!T39+'5 GSZNR fel'!T45</f>
        <v>78447</v>
      </c>
      <c r="S39" s="775">
        <f>'5 GSZNR fel'!S39+'5 GSZNR fel'!S45</f>
        <v>0</v>
      </c>
      <c r="T39" s="775">
        <f t="shared" si="5"/>
        <v>78447</v>
      </c>
      <c r="U39" s="775">
        <f>'5 GSZNR fel'!W39+'5 GSZNR fel'!W45</f>
        <v>78386</v>
      </c>
      <c r="V39" s="775">
        <f>'5 GSZNR fel'!V39+'5 GSZNR fel'!V45</f>
        <v>0</v>
      </c>
      <c r="W39" s="775">
        <f t="shared" si="6"/>
        <v>78386</v>
      </c>
      <c r="X39" s="938">
        <f>'5 GSZNR fel'!Z39+'5 GSZNR fel'!Z45</f>
        <v>77714</v>
      </c>
      <c r="Y39" s="938">
        <f>'5 GSZNR fel'!Y39+'5 GSZNR fel'!Y45</f>
        <v>0</v>
      </c>
      <c r="Z39" s="938">
        <f t="shared" si="7"/>
        <v>77714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fel'!H40</f>
        <v>2297</v>
      </c>
      <c r="G41" s="355">
        <v>0</v>
      </c>
      <c r="H41" s="355">
        <f t="shared" si="1"/>
        <v>2297</v>
      </c>
      <c r="I41" s="355">
        <f>+'5 GSZNR fel'!K40</f>
        <v>2297</v>
      </c>
      <c r="J41" s="355">
        <v>0</v>
      </c>
      <c r="K41" s="355">
        <f t="shared" si="2"/>
        <v>2297</v>
      </c>
      <c r="L41" s="355">
        <f>+'5 GSZNR fel'!N40</f>
        <v>2296</v>
      </c>
      <c r="M41" s="355">
        <f>+'5 GSZNR fel'!L40</f>
        <v>0</v>
      </c>
      <c r="N41" s="355">
        <f t="shared" si="3"/>
        <v>2296</v>
      </c>
      <c r="O41" s="921">
        <f>+'5 GSZNR fel'!Q40</f>
        <v>0</v>
      </c>
      <c r="P41" s="921">
        <f>+'5 GSZNR fel'!P40</f>
        <v>0</v>
      </c>
      <c r="Q41" s="921">
        <f t="shared" si="4"/>
        <v>0</v>
      </c>
      <c r="R41" s="355">
        <f>+'5 GSZNR fel'!T40</f>
        <v>0</v>
      </c>
      <c r="S41" s="355">
        <f>+'5 GSZNR fel'!S40</f>
        <v>0</v>
      </c>
      <c r="T41" s="355">
        <f t="shared" si="5"/>
        <v>0</v>
      </c>
      <c r="U41" s="355">
        <f>+'5 GSZNR fel'!W40</f>
        <v>0</v>
      </c>
      <c r="V41" s="355">
        <f>+'5 GSZNR fel'!V40</f>
        <v>0</v>
      </c>
      <c r="W41" s="355">
        <f t="shared" si="6"/>
        <v>0</v>
      </c>
      <c r="X41" s="921">
        <f>+'5 GSZNR fel'!Z40</f>
        <v>0</v>
      </c>
      <c r="Y41" s="921">
        <f>+'5 GSZNR fel'!Y40</f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5">SUM(C43:C45)</f>
        <v>381</v>
      </c>
      <c r="D42" s="352">
        <f t="shared" si="85"/>
        <v>0</v>
      </c>
      <c r="E42" s="352">
        <f t="shared" si="0"/>
        <v>381</v>
      </c>
      <c r="F42" s="352">
        <f>SUM(F43:F45)</f>
        <v>381</v>
      </c>
      <c r="G42" s="352">
        <f t="shared" ref="G42" si="86">SUM(G43:G45)</f>
        <v>0</v>
      </c>
      <c r="H42" s="352">
        <f t="shared" si="1"/>
        <v>381</v>
      </c>
      <c r="I42" s="352">
        <f>SUM(I43:I45)</f>
        <v>381</v>
      </c>
      <c r="J42" s="352">
        <f t="shared" ref="J42" si="87">SUM(J43:J45)</f>
        <v>0</v>
      </c>
      <c r="K42" s="352">
        <f t="shared" si="2"/>
        <v>381</v>
      </c>
      <c r="L42" s="352">
        <f>SUM(L43:L45)</f>
        <v>663</v>
      </c>
      <c r="M42" s="352">
        <f t="shared" ref="M42" si="88">SUM(M43:M45)</f>
        <v>0</v>
      </c>
      <c r="N42" s="352">
        <f t="shared" si="3"/>
        <v>663</v>
      </c>
      <c r="O42" s="352">
        <f>SUM(O43:O45)</f>
        <v>300</v>
      </c>
      <c r="P42" s="352">
        <f t="shared" ref="P42" si="89">SUM(P43:P45)</f>
        <v>0</v>
      </c>
      <c r="Q42" s="352">
        <f t="shared" si="4"/>
        <v>300</v>
      </c>
      <c r="R42" s="352">
        <f>SUM(R43:R45)</f>
        <v>600</v>
      </c>
      <c r="S42" s="352">
        <f t="shared" ref="S42" si="90">SUM(S43:S45)</f>
        <v>0</v>
      </c>
      <c r="T42" s="352">
        <f t="shared" si="5"/>
        <v>600</v>
      </c>
      <c r="U42" s="352">
        <f>SUM(U43:U45)</f>
        <v>661</v>
      </c>
      <c r="V42" s="352">
        <f t="shared" ref="V42" si="91">SUM(V43:V45)</f>
        <v>0</v>
      </c>
      <c r="W42" s="352">
        <f t="shared" si="6"/>
        <v>661</v>
      </c>
      <c r="X42" s="352">
        <f>SUM(X43:X45)</f>
        <v>5532</v>
      </c>
      <c r="Y42" s="352">
        <f t="shared" ref="Y42" si="92">SUM(Y43:Y45)</f>
        <v>0</v>
      </c>
      <c r="Z42" s="352">
        <f t="shared" si="7"/>
        <v>5532</v>
      </c>
    </row>
    <row r="43" spans="1:26" x14ac:dyDescent="0.25">
      <c r="A43" s="353" t="s">
        <v>311</v>
      </c>
      <c r="B43" s="354" t="s">
        <v>341</v>
      </c>
      <c r="C43" s="355">
        <f>'5 GSZNR fel'!E41+'5 GSZNR fel'!E46</f>
        <v>381</v>
      </c>
      <c r="D43" s="355">
        <f>'5 GSZNR fel'!D41+'5 GSZNR fel'!D46</f>
        <v>0</v>
      </c>
      <c r="E43" s="355">
        <f t="shared" si="0"/>
        <v>381</v>
      </c>
      <c r="F43" s="355">
        <f>'5 GSZNR fel'!H41+'5 GSZNR fel'!H46</f>
        <v>381</v>
      </c>
      <c r="G43" s="355">
        <f>'5 GSZNR fel'!I41+'5 GSZNR fel'!I46</f>
        <v>0</v>
      </c>
      <c r="H43" s="355">
        <f t="shared" si="1"/>
        <v>381</v>
      </c>
      <c r="I43" s="355">
        <f>'5 GSZNR fel'!K41+'5 GSZNR fel'!K46</f>
        <v>381</v>
      </c>
      <c r="J43" s="355">
        <f>'5 GSZNR fel'!L41+'5 GSZNR fel'!L46</f>
        <v>0</v>
      </c>
      <c r="K43" s="355">
        <f t="shared" si="2"/>
        <v>381</v>
      </c>
      <c r="L43" s="355">
        <f>'5 GSZNR fel'!N41+'5 GSZNR fel'!N46</f>
        <v>663</v>
      </c>
      <c r="M43" s="355">
        <f>'5 GSZNR fel'!L41+'5 GSZNR fel'!L46</f>
        <v>0</v>
      </c>
      <c r="N43" s="355">
        <f t="shared" si="3"/>
        <v>663</v>
      </c>
      <c r="O43" s="921">
        <f>'5 GSZNR fel'!Q41+'5 GSZNR fel'!Q46</f>
        <v>300</v>
      </c>
      <c r="P43" s="921">
        <f>'5 GSZNR fel'!P41+'5 GSZNR fel'!P46</f>
        <v>0</v>
      </c>
      <c r="Q43" s="921">
        <f t="shared" si="4"/>
        <v>300</v>
      </c>
      <c r="R43" s="355">
        <f>'5 GSZNR fel'!T41+'5 GSZNR fel'!T46</f>
        <v>600</v>
      </c>
      <c r="S43" s="355">
        <f>'5 GSZNR fel'!S41+'5 GSZNR fel'!S46</f>
        <v>0</v>
      </c>
      <c r="T43" s="355">
        <f t="shared" si="5"/>
        <v>600</v>
      </c>
      <c r="U43" s="355">
        <f>'5 GSZNR fel'!W41+'5 GSZNR fel'!W46</f>
        <v>661</v>
      </c>
      <c r="V43" s="355">
        <f>'5 GSZNR fel'!V41+'5 GSZNR fel'!V46</f>
        <v>0</v>
      </c>
      <c r="W43" s="355">
        <f t="shared" si="6"/>
        <v>661</v>
      </c>
      <c r="X43" s="921">
        <f>'5 GSZNR fel'!Z41+'5 GSZNR fel'!Z46</f>
        <v>5532</v>
      </c>
      <c r="Y43" s="921">
        <f>'5 GSZNR fel'!Y41+'5 GSZNR fel'!Y46</f>
        <v>0</v>
      </c>
      <c r="Z43" s="921">
        <f t="shared" si="7"/>
        <v>5532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3">C36+C42</f>
        <v>319206</v>
      </c>
      <c r="D46" s="333">
        <f t="shared" si="93"/>
        <v>0</v>
      </c>
      <c r="E46" s="333">
        <f t="shared" si="0"/>
        <v>319206</v>
      </c>
      <c r="F46" s="333">
        <f t="shared" ref="F46:G46" si="94">F36+F42</f>
        <v>321684</v>
      </c>
      <c r="G46" s="333">
        <f t="shared" si="94"/>
        <v>0</v>
      </c>
      <c r="H46" s="333">
        <f t="shared" si="1"/>
        <v>321684</v>
      </c>
      <c r="I46" s="333">
        <f t="shared" ref="I46:J46" si="95">I36+I42</f>
        <v>321684</v>
      </c>
      <c r="J46" s="333">
        <f t="shared" si="95"/>
        <v>0</v>
      </c>
      <c r="K46" s="333">
        <f t="shared" si="2"/>
        <v>321684</v>
      </c>
      <c r="L46" s="333">
        <f t="shared" ref="L46:M46" si="96">L36+L42</f>
        <v>308849</v>
      </c>
      <c r="M46" s="333">
        <f t="shared" si="96"/>
        <v>0</v>
      </c>
      <c r="N46" s="333">
        <f t="shared" si="3"/>
        <v>308849</v>
      </c>
      <c r="O46" s="333">
        <f t="shared" ref="O46:P46" si="97">O36+O42</f>
        <v>334476</v>
      </c>
      <c r="P46" s="333">
        <f t="shared" si="97"/>
        <v>0</v>
      </c>
      <c r="Q46" s="333">
        <f t="shared" si="4"/>
        <v>334476</v>
      </c>
      <c r="R46" s="333">
        <f t="shared" ref="R46:S46" si="98">R36+R42</f>
        <v>332859</v>
      </c>
      <c r="S46" s="333">
        <f t="shared" si="98"/>
        <v>0</v>
      </c>
      <c r="T46" s="333">
        <f t="shared" si="5"/>
        <v>332859</v>
      </c>
      <c r="U46" s="333">
        <f t="shared" ref="U46:V46" si="99">U36+U42</f>
        <v>332859</v>
      </c>
      <c r="V46" s="333">
        <f t="shared" si="99"/>
        <v>0</v>
      </c>
      <c r="W46" s="333">
        <f t="shared" si="6"/>
        <v>332859</v>
      </c>
      <c r="X46" s="333">
        <f t="shared" ref="X46:Y46" si="100">X36+X42</f>
        <v>335664</v>
      </c>
      <c r="Y46" s="333">
        <f t="shared" si="100"/>
        <v>0</v>
      </c>
      <c r="Z46" s="333">
        <f t="shared" si="7"/>
        <v>335664</v>
      </c>
    </row>
  </sheetData>
  <mergeCells count="8">
    <mergeCell ref="X4:Z4"/>
    <mergeCell ref="U4:W4"/>
    <mergeCell ref="C4:E4"/>
    <mergeCell ref="F4:H4"/>
    <mergeCell ref="R4:T4"/>
    <mergeCell ref="L4:N4"/>
    <mergeCell ref="O4:Q4"/>
    <mergeCell ref="I4:K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0" fitToHeight="0" orientation="portrait" copies="2" r:id="rId1"/>
  <headerFooter>
    <oddHeader>&amp;L4/C.  melléklet a ...../2020. (.......) önkormányzati rendelethez&amp;C&amp;"-,Félkövér"&amp;16
A Törökbálinti Bóbita Óvoda 2019. évi bevételei és kiadásai jogcímenként és feladatonként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X16" sqref="X16"/>
    </sheetView>
  </sheetViews>
  <sheetFormatPr defaultRowHeight="15" x14ac:dyDescent="0.25"/>
  <cols>
    <col min="1" max="1" width="7.140625" style="31" customWidth="1"/>
    <col min="2" max="2" width="52.28515625" customWidth="1"/>
    <col min="3" max="3" width="9.7109375" hidden="1" customWidth="1"/>
    <col min="4" max="10" width="9" hidden="1" customWidth="1"/>
    <col min="11" max="11" width="11.85546875" hidden="1" customWidth="1"/>
    <col min="12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x14ac:dyDescent="0.25">
      <c r="A3" s="346" t="s">
        <v>304</v>
      </c>
      <c r="B3" s="346" t="s">
        <v>1513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43.5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1729</v>
      </c>
      <c r="V4" s="1005"/>
      <c r="W4" s="1006"/>
      <c r="X4" s="1004" t="s">
        <v>1744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15</v>
      </c>
      <c r="D6" s="349">
        <v>0</v>
      </c>
      <c r="E6" s="349">
        <f t="shared" ref="E6:E46" si="0">SUM(C6:D6)</f>
        <v>15</v>
      </c>
      <c r="F6" s="349">
        <v>15</v>
      </c>
      <c r="G6" s="349">
        <v>0</v>
      </c>
      <c r="H6" s="349">
        <f t="shared" ref="H6:H46" si="1">SUM(F6:G6)</f>
        <v>15</v>
      </c>
      <c r="I6" s="349">
        <v>15</v>
      </c>
      <c r="J6" s="349">
        <v>0</v>
      </c>
      <c r="K6" s="349">
        <f t="shared" ref="K6:K46" si="2">SUM(I6:J6)</f>
        <v>15</v>
      </c>
      <c r="L6" s="349">
        <v>15</v>
      </c>
      <c r="M6" s="349">
        <v>0</v>
      </c>
      <c r="N6" s="349">
        <f t="shared" ref="N6:N46" si="3">SUM(L6:M6)</f>
        <v>15</v>
      </c>
      <c r="O6" s="936">
        <f>15+2</f>
        <v>17</v>
      </c>
      <c r="P6" s="936">
        <v>0</v>
      </c>
      <c r="Q6" s="936">
        <f t="shared" ref="Q6:Q46" si="4">SUM(O6:P6)</f>
        <v>17</v>
      </c>
      <c r="R6" s="349">
        <f>15+2</f>
        <v>17</v>
      </c>
      <c r="S6" s="349">
        <v>0</v>
      </c>
      <c r="T6" s="349">
        <f t="shared" ref="T6:T46" si="5">SUM(R6:S6)</f>
        <v>17</v>
      </c>
      <c r="U6" s="349">
        <f>15+2</f>
        <v>17</v>
      </c>
      <c r="V6" s="349">
        <v>0</v>
      </c>
      <c r="W6" s="349">
        <f t="shared" ref="W6:W46" si="6">SUM(U6:V6)</f>
        <v>17</v>
      </c>
      <c r="X6" s="936">
        <f>15+2</f>
        <v>17</v>
      </c>
      <c r="Y6" s="936">
        <v>0</v>
      </c>
      <c r="Z6" s="936">
        <f t="shared" ref="Z6:Z46" si="7">SUM(X6:Y6)</f>
        <v>17</v>
      </c>
    </row>
    <row r="7" spans="1:26" x14ac:dyDescent="0.25">
      <c r="A7" s="347"/>
      <c r="B7" s="348" t="s">
        <v>308</v>
      </c>
      <c r="C7" s="349">
        <v>0</v>
      </c>
      <c r="D7" s="349">
        <v>0</v>
      </c>
      <c r="E7" s="349">
        <f t="shared" si="0"/>
        <v>0</v>
      </c>
      <c r="F7" s="349">
        <v>0</v>
      </c>
      <c r="G7" s="349">
        <v>0</v>
      </c>
      <c r="H7" s="349">
        <f t="shared" si="1"/>
        <v>0</v>
      </c>
      <c r="I7" s="349">
        <v>0</v>
      </c>
      <c r="J7" s="349">
        <v>0</v>
      </c>
      <c r="K7" s="349">
        <f t="shared" si="2"/>
        <v>0</v>
      </c>
      <c r="L7" s="349">
        <v>0</v>
      </c>
      <c r="M7" s="349">
        <v>0</v>
      </c>
      <c r="N7" s="349">
        <f t="shared" si="3"/>
        <v>0</v>
      </c>
      <c r="O7" s="936">
        <v>0</v>
      </c>
      <c r="P7" s="936">
        <v>0</v>
      </c>
      <c r="Q7" s="936">
        <f t="shared" si="4"/>
        <v>0</v>
      </c>
      <c r="R7" s="349">
        <v>0</v>
      </c>
      <c r="S7" s="349">
        <v>0</v>
      </c>
      <c r="T7" s="349">
        <f t="shared" si="5"/>
        <v>0</v>
      </c>
      <c r="U7" s="349">
        <v>0</v>
      </c>
      <c r="V7" s="349">
        <v>0</v>
      </c>
      <c r="W7" s="349">
        <f t="shared" si="6"/>
        <v>0</v>
      </c>
      <c r="X7" s="936">
        <v>0</v>
      </c>
      <c r="Y7" s="936">
        <v>0</v>
      </c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35016</v>
      </c>
      <c r="D8" s="352">
        <f t="shared" si="8"/>
        <v>0</v>
      </c>
      <c r="E8" s="352">
        <f t="shared" si="0"/>
        <v>35016</v>
      </c>
      <c r="F8" s="352">
        <f t="shared" ref="F8:G8" si="9">F9+F11+F20</f>
        <v>35016</v>
      </c>
      <c r="G8" s="352">
        <f t="shared" si="9"/>
        <v>0</v>
      </c>
      <c r="H8" s="352">
        <f t="shared" si="1"/>
        <v>35016</v>
      </c>
      <c r="I8" s="352">
        <f t="shared" ref="I8:J8" si="10">I9+I11+I20</f>
        <v>35016</v>
      </c>
      <c r="J8" s="352">
        <f t="shared" si="10"/>
        <v>0</v>
      </c>
      <c r="K8" s="352">
        <f t="shared" si="2"/>
        <v>35016</v>
      </c>
      <c r="L8" s="352">
        <f t="shared" ref="L8:M8" si="11">L9+L11+L20</f>
        <v>37771</v>
      </c>
      <c r="M8" s="352">
        <f t="shared" si="11"/>
        <v>0</v>
      </c>
      <c r="N8" s="352">
        <f t="shared" si="3"/>
        <v>37771</v>
      </c>
      <c r="O8" s="352">
        <f t="shared" ref="O8:P8" si="12">O9+O11+O20</f>
        <v>37000</v>
      </c>
      <c r="P8" s="352">
        <f t="shared" si="12"/>
        <v>0</v>
      </c>
      <c r="Q8" s="352">
        <f t="shared" si="4"/>
        <v>37000</v>
      </c>
      <c r="R8" s="352">
        <f t="shared" ref="R8:S8" si="13">R9+R11+R20</f>
        <v>37000</v>
      </c>
      <c r="S8" s="352">
        <f t="shared" si="13"/>
        <v>0</v>
      </c>
      <c r="T8" s="352">
        <f t="shared" si="5"/>
        <v>37000</v>
      </c>
      <c r="U8" s="352">
        <f t="shared" ref="U8:V8" si="14">U9+U11+U20</f>
        <v>37000</v>
      </c>
      <c r="V8" s="352">
        <f t="shared" si="14"/>
        <v>0</v>
      </c>
      <c r="W8" s="352">
        <f t="shared" si="6"/>
        <v>37000</v>
      </c>
      <c r="X8" s="352">
        <f t="shared" ref="X8:Y8" si="15">X9+X11+X20</f>
        <v>37000</v>
      </c>
      <c r="Y8" s="352">
        <f t="shared" si="15"/>
        <v>0</v>
      </c>
      <c r="Z8" s="352">
        <f t="shared" si="7"/>
        <v>37000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C12+C13+C14+C15+C16+C17+C18+C19</f>
        <v>35016</v>
      </c>
      <c r="D11" s="355">
        <f t="shared" si="17"/>
        <v>0</v>
      </c>
      <c r="E11" s="355">
        <f t="shared" si="0"/>
        <v>35016</v>
      </c>
      <c r="F11" s="355">
        <f t="shared" ref="F11:G11" si="18">F12+F13+F14+F15+F16+F17+F18+F19</f>
        <v>35016</v>
      </c>
      <c r="G11" s="355">
        <f t="shared" si="18"/>
        <v>0</v>
      </c>
      <c r="H11" s="355">
        <f t="shared" si="1"/>
        <v>35016</v>
      </c>
      <c r="I11" s="355">
        <f t="shared" ref="I11:J11" si="19">I12+I13+I14+I15+I16+I17+I18+I19</f>
        <v>35016</v>
      </c>
      <c r="J11" s="355">
        <f t="shared" si="19"/>
        <v>0</v>
      </c>
      <c r="K11" s="355">
        <f t="shared" si="2"/>
        <v>35016</v>
      </c>
      <c r="L11" s="355">
        <f t="shared" ref="L11:M11" si="20">L12+L13+L14+L15+L16+L17+L18+L19</f>
        <v>37771</v>
      </c>
      <c r="M11" s="355">
        <f t="shared" si="20"/>
        <v>0</v>
      </c>
      <c r="N11" s="355">
        <f t="shared" si="3"/>
        <v>37771</v>
      </c>
      <c r="O11" s="355">
        <f t="shared" ref="O11:P11" si="21">O12+O13+O14+O15+O16+O17+O18+O19</f>
        <v>37000</v>
      </c>
      <c r="P11" s="355">
        <f t="shared" si="21"/>
        <v>0</v>
      </c>
      <c r="Q11" s="355">
        <f t="shared" si="4"/>
        <v>37000</v>
      </c>
      <c r="R11" s="355">
        <f t="shared" ref="R11:S11" si="22">R12+R13+R14+R15+R16+R17+R18+R19</f>
        <v>37000</v>
      </c>
      <c r="S11" s="355">
        <f t="shared" si="22"/>
        <v>0</v>
      </c>
      <c r="T11" s="355">
        <f t="shared" si="5"/>
        <v>37000</v>
      </c>
      <c r="U11" s="355">
        <f t="shared" ref="U11:V11" si="23">U12+U13+U14+U15+U16+U17+U18+U19</f>
        <v>37000</v>
      </c>
      <c r="V11" s="355">
        <f t="shared" si="23"/>
        <v>0</v>
      </c>
      <c r="W11" s="355">
        <f t="shared" si="6"/>
        <v>37000</v>
      </c>
      <c r="X11" s="355">
        <f t="shared" ref="X11:Y11" si="24">X12+X13+X14+X15+X16+X17+X18+X19</f>
        <v>37000</v>
      </c>
      <c r="Y11" s="355">
        <f t="shared" si="24"/>
        <v>0</v>
      </c>
      <c r="Z11" s="355">
        <f t="shared" si="7"/>
        <v>37000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357">
        <v>26778</v>
      </c>
      <c r="D13" s="357">
        <v>0</v>
      </c>
      <c r="E13" s="357">
        <f t="shared" si="0"/>
        <v>26778</v>
      </c>
      <c r="F13" s="357">
        <v>26778</v>
      </c>
      <c r="G13" s="357">
        <v>0</v>
      </c>
      <c r="H13" s="357">
        <f t="shared" si="1"/>
        <v>26778</v>
      </c>
      <c r="I13" s="357">
        <v>26778</v>
      </c>
      <c r="J13" s="357">
        <v>0</v>
      </c>
      <c r="K13" s="357">
        <f t="shared" si="2"/>
        <v>26778</v>
      </c>
      <c r="L13" s="357">
        <v>28366</v>
      </c>
      <c r="M13" s="357">
        <v>0</v>
      </c>
      <c r="N13" s="357">
        <f t="shared" si="3"/>
        <v>28366</v>
      </c>
      <c r="O13" s="937">
        <f>25740+2600</f>
        <v>28340</v>
      </c>
      <c r="P13" s="937">
        <v>0</v>
      </c>
      <c r="Q13" s="937">
        <f t="shared" si="4"/>
        <v>28340</v>
      </c>
      <c r="R13" s="357">
        <f>25740+2600</f>
        <v>28340</v>
      </c>
      <c r="S13" s="357">
        <v>0</v>
      </c>
      <c r="T13" s="357">
        <f t="shared" si="5"/>
        <v>28340</v>
      </c>
      <c r="U13" s="357">
        <f>25740+2600</f>
        <v>28340</v>
      </c>
      <c r="V13" s="357">
        <v>0</v>
      </c>
      <c r="W13" s="357">
        <f t="shared" si="6"/>
        <v>28340</v>
      </c>
      <c r="X13" s="937">
        <f>25740+2600</f>
        <v>28340</v>
      </c>
      <c r="Y13" s="937">
        <v>0</v>
      </c>
      <c r="Z13" s="937">
        <f t="shared" si="7"/>
        <v>28340</v>
      </c>
    </row>
    <row r="14" spans="1:26" x14ac:dyDescent="0.25">
      <c r="A14" s="392"/>
      <c r="B14" s="356" t="s">
        <v>663</v>
      </c>
      <c r="C14" s="357">
        <v>0</v>
      </c>
      <c r="D14" s="357">
        <v>0</v>
      </c>
      <c r="E14" s="357">
        <f t="shared" si="0"/>
        <v>0</v>
      </c>
      <c r="F14" s="357">
        <v>0</v>
      </c>
      <c r="G14" s="357">
        <v>0</v>
      </c>
      <c r="H14" s="357">
        <f t="shared" si="1"/>
        <v>0</v>
      </c>
      <c r="I14" s="357">
        <v>0</v>
      </c>
      <c r="J14" s="357">
        <v>0</v>
      </c>
      <c r="K14" s="357">
        <f t="shared" si="2"/>
        <v>0</v>
      </c>
      <c r="L14" s="357">
        <v>1092</v>
      </c>
      <c r="M14" s="357">
        <v>0</v>
      </c>
      <c r="N14" s="357">
        <f t="shared" si="3"/>
        <v>1092</v>
      </c>
      <c r="O14" s="937">
        <v>0</v>
      </c>
      <c r="P14" s="937">
        <v>0</v>
      </c>
      <c r="Q14" s="937">
        <f t="shared" si="4"/>
        <v>0</v>
      </c>
      <c r="R14" s="357">
        <v>0</v>
      </c>
      <c r="S14" s="357">
        <v>0</v>
      </c>
      <c r="T14" s="357">
        <f t="shared" si="5"/>
        <v>0</v>
      </c>
      <c r="U14" s="357">
        <v>0</v>
      </c>
      <c r="V14" s="357">
        <v>0</v>
      </c>
      <c r="W14" s="357">
        <f t="shared" si="6"/>
        <v>0</v>
      </c>
      <c r="X14" s="937">
        <v>0</v>
      </c>
      <c r="Y14" s="937">
        <v>0</v>
      </c>
      <c r="Z14" s="937">
        <f t="shared" si="7"/>
        <v>0</v>
      </c>
    </row>
    <row r="15" spans="1:26" x14ac:dyDescent="0.25">
      <c r="A15" s="392"/>
      <c r="B15" s="356" t="s">
        <v>664</v>
      </c>
      <c r="C15" s="273">
        <v>0</v>
      </c>
      <c r="D15" s="273">
        <v>0</v>
      </c>
      <c r="E15" s="273">
        <f t="shared" si="0"/>
        <v>0</v>
      </c>
      <c r="F15" s="273">
        <v>0</v>
      </c>
      <c r="G15" s="273">
        <v>0</v>
      </c>
      <c r="H15" s="273">
        <f t="shared" si="1"/>
        <v>0</v>
      </c>
      <c r="I15" s="273">
        <v>0</v>
      </c>
      <c r="J15" s="273">
        <v>0</v>
      </c>
      <c r="K15" s="273">
        <f t="shared" si="2"/>
        <v>0</v>
      </c>
      <c r="L15" s="273">
        <v>0</v>
      </c>
      <c r="M15" s="273">
        <v>0</v>
      </c>
      <c r="N15" s="273">
        <f t="shared" si="3"/>
        <v>0</v>
      </c>
      <c r="O15" s="923">
        <v>0</v>
      </c>
      <c r="P15" s="923">
        <v>0</v>
      </c>
      <c r="Q15" s="923">
        <f t="shared" si="4"/>
        <v>0</v>
      </c>
      <c r="R15" s="273">
        <v>0</v>
      </c>
      <c r="S15" s="273">
        <v>0</v>
      </c>
      <c r="T15" s="273">
        <f t="shared" si="5"/>
        <v>0</v>
      </c>
      <c r="U15" s="273">
        <v>0</v>
      </c>
      <c r="V15" s="273">
        <v>0</v>
      </c>
      <c r="W15" s="273">
        <f t="shared" si="6"/>
        <v>0</v>
      </c>
      <c r="X15" s="923">
        <v>0</v>
      </c>
      <c r="Y15" s="923">
        <v>0</v>
      </c>
      <c r="Z15" s="923">
        <f t="shared" si="7"/>
        <v>0</v>
      </c>
    </row>
    <row r="16" spans="1:26" x14ac:dyDescent="0.25">
      <c r="A16" s="392"/>
      <c r="B16" s="356" t="s">
        <v>665</v>
      </c>
      <c r="C16" s="273">
        <v>7230</v>
      </c>
      <c r="D16" s="273">
        <v>0</v>
      </c>
      <c r="E16" s="273">
        <f t="shared" si="0"/>
        <v>7230</v>
      </c>
      <c r="F16" s="273">
        <v>7230</v>
      </c>
      <c r="G16" s="273">
        <v>0</v>
      </c>
      <c r="H16" s="273">
        <f t="shared" si="1"/>
        <v>7230</v>
      </c>
      <c r="I16" s="273">
        <v>7230</v>
      </c>
      <c r="J16" s="273">
        <v>0</v>
      </c>
      <c r="K16" s="273">
        <f t="shared" si="2"/>
        <v>7230</v>
      </c>
      <c r="L16" s="273">
        <v>7971</v>
      </c>
      <c r="M16" s="273">
        <v>0</v>
      </c>
      <c r="N16" s="273">
        <f t="shared" si="3"/>
        <v>7971</v>
      </c>
      <c r="O16" s="923">
        <v>7652</v>
      </c>
      <c r="P16" s="923">
        <v>0</v>
      </c>
      <c r="Q16" s="923">
        <f t="shared" si="4"/>
        <v>7652</v>
      </c>
      <c r="R16" s="273">
        <v>7652</v>
      </c>
      <c r="S16" s="273">
        <v>0</v>
      </c>
      <c r="T16" s="273">
        <f t="shared" si="5"/>
        <v>7652</v>
      </c>
      <c r="U16" s="273">
        <v>7652</v>
      </c>
      <c r="V16" s="273">
        <v>0</v>
      </c>
      <c r="W16" s="273">
        <f t="shared" si="6"/>
        <v>7652</v>
      </c>
      <c r="X16" s="923">
        <v>7652</v>
      </c>
      <c r="Y16" s="923">
        <v>0</v>
      </c>
      <c r="Z16" s="923">
        <f t="shared" si="7"/>
        <v>7652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0</v>
      </c>
      <c r="M17" s="273">
        <v>0</v>
      </c>
      <c r="N17" s="273">
        <f t="shared" si="3"/>
        <v>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1</v>
      </c>
      <c r="D18" s="273">
        <v>0</v>
      </c>
      <c r="E18" s="273">
        <f t="shared" si="0"/>
        <v>1</v>
      </c>
      <c r="F18" s="273">
        <v>1</v>
      </c>
      <c r="G18" s="273">
        <v>0</v>
      </c>
      <c r="H18" s="273">
        <f t="shared" si="1"/>
        <v>1</v>
      </c>
      <c r="I18" s="273">
        <v>1</v>
      </c>
      <c r="J18" s="273">
        <v>0</v>
      </c>
      <c r="K18" s="273">
        <f t="shared" si="2"/>
        <v>1</v>
      </c>
      <c r="L18" s="273">
        <v>0</v>
      </c>
      <c r="M18" s="273">
        <v>0</v>
      </c>
      <c r="N18" s="273">
        <f t="shared" si="3"/>
        <v>0</v>
      </c>
      <c r="O18" s="923">
        <v>1</v>
      </c>
      <c r="P18" s="923">
        <v>0</v>
      </c>
      <c r="Q18" s="923">
        <f t="shared" si="4"/>
        <v>1</v>
      </c>
      <c r="R18" s="273">
        <v>1</v>
      </c>
      <c r="S18" s="273">
        <v>0</v>
      </c>
      <c r="T18" s="273">
        <f t="shared" si="5"/>
        <v>1</v>
      </c>
      <c r="U18" s="273">
        <v>1</v>
      </c>
      <c r="V18" s="273">
        <v>0</v>
      </c>
      <c r="W18" s="273">
        <f t="shared" si="6"/>
        <v>1</v>
      </c>
      <c r="X18" s="923">
        <v>1</v>
      </c>
      <c r="Y18" s="923">
        <v>0</v>
      </c>
      <c r="Z18" s="923">
        <f t="shared" si="7"/>
        <v>1</v>
      </c>
    </row>
    <row r="19" spans="1:26" x14ac:dyDescent="0.25">
      <c r="A19" s="392"/>
      <c r="B19" s="356" t="s">
        <v>668</v>
      </c>
      <c r="C19" s="273">
        <v>1007</v>
      </c>
      <c r="D19" s="273">
        <v>0</v>
      </c>
      <c r="E19" s="273">
        <f t="shared" si="0"/>
        <v>1007</v>
      </c>
      <c r="F19" s="273">
        <v>1007</v>
      </c>
      <c r="G19" s="273">
        <v>0</v>
      </c>
      <c r="H19" s="273">
        <f t="shared" si="1"/>
        <v>1007</v>
      </c>
      <c r="I19" s="273">
        <v>1007</v>
      </c>
      <c r="J19" s="273">
        <v>0</v>
      </c>
      <c r="K19" s="273">
        <f t="shared" si="2"/>
        <v>1007</v>
      </c>
      <c r="L19" s="273">
        <v>342</v>
      </c>
      <c r="M19" s="273">
        <v>0</v>
      </c>
      <c r="N19" s="273">
        <f t="shared" si="3"/>
        <v>342</v>
      </c>
      <c r="O19" s="923">
        <v>1007</v>
      </c>
      <c r="P19" s="923">
        <v>0</v>
      </c>
      <c r="Q19" s="923">
        <f t="shared" si="4"/>
        <v>1007</v>
      </c>
      <c r="R19" s="273">
        <v>1007</v>
      </c>
      <c r="S19" s="273">
        <v>0</v>
      </c>
      <c r="T19" s="273">
        <f t="shared" si="5"/>
        <v>1007</v>
      </c>
      <c r="U19" s="273">
        <v>1007</v>
      </c>
      <c r="V19" s="273">
        <v>0</v>
      </c>
      <c r="W19" s="273">
        <f t="shared" si="6"/>
        <v>1007</v>
      </c>
      <c r="X19" s="923">
        <v>1007</v>
      </c>
      <c r="Y19" s="923">
        <v>0</v>
      </c>
      <c r="Z19" s="923">
        <f t="shared" si="7"/>
        <v>1007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35016</v>
      </c>
      <c r="D30" s="360">
        <f t="shared" si="44"/>
        <v>0</v>
      </c>
      <c r="E30" s="360">
        <f t="shared" si="0"/>
        <v>35016</v>
      </c>
      <c r="F30" s="360">
        <f t="shared" ref="F30:G30" si="45">F22+F8</f>
        <v>35016</v>
      </c>
      <c r="G30" s="360">
        <f t="shared" si="45"/>
        <v>0</v>
      </c>
      <c r="H30" s="360">
        <f t="shared" si="1"/>
        <v>35016</v>
      </c>
      <c r="I30" s="360">
        <f t="shared" ref="I30:J30" si="46">I22+I8</f>
        <v>35016</v>
      </c>
      <c r="J30" s="360">
        <f t="shared" si="46"/>
        <v>0</v>
      </c>
      <c r="K30" s="360">
        <f t="shared" si="2"/>
        <v>35016</v>
      </c>
      <c r="L30" s="360">
        <f t="shared" ref="L30:M30" si="47">L22+L8</f>
        <v>37771</v>
      </c>
      <c r="M30" s="360">
        <f t="shared" si="47"/>
        <v>0</v>
      </c>
      <c r="N30" s="360">
        <f t="shared" si="3"/>
        <v>37771</v>
      </c>
      <c r="O30" s="360">
        <f t="shared" ref="O30:P30" si="48">O22+O8</f>
        <v>37000</v>
      </c>
      <c r="P30" s="360">
        <f t="shared" si="48"/>
        <v>0</v>
      </c>
      <c r="Q30" s="360">
        <f t="shared" si="4"/>
        <v>37000</v>
      </c>
      <c r="R30" s="360">
        <f t="shared" ref="R30:S30" si="49">R22+R8</f>
        <v>37000</v>
      </c>
      <c r="S30" s="360">
        <f t="shared" si="49"/>
        <v>0</v>
      </c>
      <c r="T30" s="360">
        <f t="shared" si="5"/>
        <v>37000</v>
      </c>
      <c r="U30" s="360">
        <f t="shared" ref="U30:V30" si="50">U22+U8</f>
        <v>37000</v>
      </c>
      <c r="V30" s="360">
        <f t="shared" si="50"/>
        <v>0</v>
      </c>
      <c r="W30" s="360">
        <f t="shared" si="6"/>
        <v>37000</v>
      </c>
      <c r="X30" s="360">
        <f t="shared" ref="X30:Y30" si="51">X22+X8</f>
        <v>37000</v>
      </c>
      <c r="Y30" s="360">
        <f t="shared" si="51"/>
        <v>0</v>
      </c>
      <c r="Z30" s="360">
        <f t="shared" si="7"/>
        <v>37000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163904</v>
      </c>
      <c r="D31" s="352">
        <f t="shared" si="52"/>
        <v>19542</v>
      </c>
      <c r="E31" s="352">
        <f t="shared" si="0"/>
        <v>183446</v>
      </c>
      <c r="F31" s="352">
        <f t="shared" si="52"/>
        <v>176381</v>
      </c>
      <c r="G31" s="352">
        <f t="shared" si="52"/>
        <v>19648</v>
      </c>
      <c r="H31" s="352">
        <f t="shared" si="1"/>
        <v>196029</v>
      </c>
      <c r="I31" s="352">
        <f t="shared" si="52"/>
        <v>176381</v>
      </c>
      <c r="J31" s="352">
        <f t="shared" si="52"/>
        <v>19648</v>
      </c>
      <c r="K31" s="352">
        <f t="shared" si="2"/>
        <v>196029</v>
      </c>
      <c r="L31" s="352">
        <f t="shared" si="52"/>
        <v>201775</v>
      </c>
      <c r="M31" s="352">
        <f t="shared" si="52"/>
        <v>0</v>
      </c>
      <c r="N31" s="352">
        <f t="shared" si="3"/>
        <v>201775</v>
      </c>
      <c r="O31" s="352">
        <f t="shared" si="52"/>
        <v>196781.65</v>
      </c>
      <c r="P31" s="352">
        <f t="shared" si="52"/>
        <v>57112</v>
      </c>
      <c r="Q31" s="352">
        <f t="shared" si="4"/>
        <v>253893.65</v>
      </c>
      <c r="R31" s="352">
        <f t="shared" si="52"/>
        <v>197984.65</v>
      </c>
      <c r="S31" s="352">
        <f t="shared" si="52"/>
        <v>57112</v>
      </c>
      <c r="T31" s="352">
        <f t="shared" si="5"/>
        <v>255096.65</v>
      </c>
      <c r="U31" s="352">
        <f t="shared" si="52"/>
        <v>198864.65</v>
      </c>
      <c r="V31" s="352">
        <f t="shared" si="52"/>
        <v>57112</v>
      </c>
      <c r="W31" s="352">
        <f t="shared" si="6"/>
        <v>255976.65</v>
      </c>
      <c r="X31" s="352">
        <f t="shared" si="52"/>
        <v>204865</v>
      </c>
      <c r="Y31" s="352">
        <f t="shared" si="52"/>
        <v>57112</v>
      </c>
      <c r="Z31" s="352">
        <f t="shared" si="7"/>
        <v>261977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163904</v>
      </c>
      <c r="D32" s="355">
        <f t="shared" si="53"/>
        <v>19542</v>
      </c>
      <c r="E32" s="355">
        <f t="shared" si="0"/>
        <v>183446</v>
      </c>
      <c r="F32" s="355">
        <f t="shared" ref="F32:G32" si="54">SUM(F33:F34)</f>
        <v>176381</v>
      </c>
      <c r="G32" s="355">
        <f t="shared" si="54"/>
        <v>19648</v>
      </c>
      <c r="H32" s="355">
        <f t="shared" si="1"/>
        <v>196029</v>
      </c>
      <c r="I32" s="355">
        <f t="shared" ref="I32:J32" si="55">SUM(I33:I34)</f>
        <v>176381</v>
      </c>
      <c r="J32" s="355">
        <f t="shared" si="55"/>
        <v>19648</v>
      </c>
      <c r="K32" s="355">
        <f t="shared" si="2"/>
        <v>196029</v>
      </c>
      <c r="L32" s="355">
        <f t="shared" ref="L32:M32" si="56">SUM(L33:L34)</f>
        <v>201775</v>
      </c>
      <c r="M32" s="355">
        <f t="shared" si="56"/>
        <v>0</v>
      </c>
      <c r="N32" s="355">
        <f t="shared" si="3"/>
        <v>201775</v>
      </c>
      <c r="O32" s="355">
        <f t="shared" ref="O32:P32" si="57">SUM(O33:O34)</f>
        <v>196781.65</v>
      </c>
      <c r="P32" s="355">
        <f t="shared" si="57"/>
        <v>57112</v>
      </c>
      <c r="Q32" s="355">
        <f t="shared" si="4"/>
        <v>253893.65</v>
      </c>
      <c r="R32" s="355">
        <f t="shared" ref="R32:S32" si="58">SUM(R33:R34)</f>
        <v>197984.65</v>
      </c>
      <c r="S32" s="355">
        <f t="shared" si="58"/>
        <v>57112</v>
      </c>
      <c r="T32" s="355">
        <f t="shared" si="5"/>
        <v>255096.65</v>
      </c>
      <c r="U32" s="355">
        <f t="shared" ref="U32:V32" si="59">SUM(U33:U34)</f>
        <v>198864.65</v>
      </c>
      <c r="V32" s="355">
        <f t="shared" si="59"/>
        <v>57112</v>
      </c>
      <c r="W32" s="355">
        <f t="shared" si="6"/>
        <v>255976.65</v>
      </c>
      <c r="X32" s="355">
        <f t="shared" ref="X32:Y32" si="60">SUM(X33:X34)</f>
        <v>204865</v>
      </c>
      <c r="Y32" s="355">
        <f t="shared" si="60"/>
        <v>57112</v>
      </c>
      <c r="Z32" s="355">
        <f t="shared" si="7"/>
        <v>261977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4237</v>
      </c>
      <c r="G33" s="273">
        <v>0</v>
      </c>
      <c r="H33" s="273">
        <f t="shared" si="1"/>
        <v>4237</v>
      </c>
      <c r="I33" s="273">
        <v>4335</v>
      </c>
      <c r="J33" s="273">
        <v>0</v>
      </c>
      <c r="K33" s="273">
        <f t="shared" si="2"/>
        <v>4335</v>
      </c>
      <c r="L33" s="273">
        <v>4236</v>
      </c>
      <c r="M33" s="273">
        <v>0</v>
      </c>
      <c r="N33" s="273">
        <f t="shared" si="3"/>
        <v>4236</v>
      </c>
      <c r="O33" s="923">
        <v>0</v>
      </c>
      <c r="P33" s="923">
        <v>0</v>
      </c>
      <c r="Q33" s="923">
        <f t="shared" si="4"/>
        <v>0</v>
      </c>
      <c r="R33" s="273">
        <v>1203</v>
      </c>
      <c r="S33" s="273">
        <v>0</v>
      </c>
      <c r="T33" s="273">
        <f t="shared" si="5"/>
        <v>1203</v>
      </c>
      <c r="U33" s="273">
        <v>1203</v>
      </c>
      <c r="V33" s="273">
        <v>0</v>
      </c>
      <c r="W33" s="273">
        <f t="shared" si="6"/>
        <v>1203</v>
      </c>
      <c r="X33" s="923">
        <v>1203</v>
      </c>
      <c r="Y33" s="923">
        <v>0</v>
      </c>
      <c r="Z33" s="923">
        <f t="shared" si="7"/>
        <v>1203</v>
      </c>
    </row>
    <row r="34" spans="1:26" x14ac:dyDescent="0.25">
      <c r="A34" s="392"/>
      <c r="B34" s="358" t="s">
        <v>332</v>
      </c>
      <c r="C34" s="273">
        <f t="shared" ref="C34:D34" si="61">C36+C42-C8-C22-C33</f>
        <v>163904</v>
      </c>
      <c r="D34" s="273">
        <f t="shared" si="61"/>
        <v>19542</v>
      </c>
      <c r="E34" s="273">
        <f t="shared" si="0"/>
        <v>183446</v>
      </c>
      <c r="F34" s="273">
        <f t="shared" ref="F34:G34" si="62">F36+F42-F8-F22-F33</f>
        <v>172144</v>
      </c>
      <c r="G34" s="273">
        <f t="shared" si="62"/>
        <v>19648</v>
      </c>
      <c r="H34" s="273">
        <f t="shared" si="1"/>
        <v>191792</v>
      </c>
      <c r="I34" s="273">
        <f t="shared" ref="I34:J34" si="63">I36+I42-I8-I22-I33</f>
        <v>172046</v>
      </c>
      <c r="J34" s="273">
        <f t="shared" si="63"/>
        <v>19648</v>
      </c>
      <c r="K34" s="273">
        <f t="shared" si="2"/>
        <v>191694</v>
      </c>
      <c r="L34" s="273">
        <v>197539</v>
      </c>
      <c r="M34" s="273"/>
      <c r="N34" s="273">
        <f t="shared" si="3"/>
        <v>197539</v>
      </c>
      <c r="O34" s="923">
        <f t="shared" ref="O34:P34" si="64">O36+O42-O8-O22-O33</f>
        <v>196781.65</v>
      </c>
      <c r="P34" s="923">
        <f t="shared" si="64"/>
        <v>57112</v>
      </c>
      <c r="Q34" s="923">
        <f t="shared" si="4"/>
        <v>253893.65</v>
      </c>
      <c r="R34" s="273">
        <f t="shared" ref="R34:S34" si="65">R36+R42-R8-R22-R33</f>
        <v>196781.65</v>
      </c>
      <c r="S34" s="273">
        <f t="shared" si="65"/>
        <v>57112</v>
      </c>
      <c r="T34" s="273">
        <f t="shared" si="5"/>
        <v>253893.65</v>
      </c>
      <c r="U34" s="273">
        <f t="shared" ref="U34:V34" si="66">U36+U42-U8-U22-U33</f>
        <v>197661.65</v>
      </c>
      <c r="V34" s="273">
        <f t="shared" si="66"/>
        <v>57112</v>
      </c>
      <c r="W34" s="273">
        <f t="shared" si="6"/>
        <v>254773.65</v>
      </c>
      <c r="X34" s="923">
        <f t="shared" ref="X34:Y34" si="67">X36+X42-X8-X22-X33</f>
        <v>203662</v>
      </c>
      <c r="Y34" s="923">
        <f t="shared" si="67"/>
        <v>57112</v>
      </c>
      <c r="Z34" s="923">
        <f t="shared" si="7"/>
        <v>260774</v>
      </c>
    </row>
    <row r="35" spans="1:26" x14ac:dyDescent="0.25">
      <c r="A35" s="361"/>
      <c r="B35" s="362" t="s">
        <v>333</v>
      </c>
      <c r="C35" s="333">
        <f t="shared" ref="C35:D35" si="68">C31+C22+C8</f>
        <v>198920</v>
      </c>
      <c r="D35" s="333">
        <f t="shared" si="68"/>
        <v>19542</v>
      </c>
      <c r="E35" s="333">
        <f t="shared" si="0"/>
        <v>218462</v>
      </c>
      <c r="F35" s="333">
        <f t="shared" ref="F35:G35" si="69">F31+F22+F8</f>
        <v>211397</v>
      </c>
      <c r="G35" s="333">
        <f t="shared" si="69"/>
        <v>19648</v>
      </c>
      <c r="H35" s="333">
        <f t="shared" si="1"/>
        <v>231045</v>
      </c>
      <c r="I35" s="333">
        <f t="shared" ref="I35:J35" si="70">I31+I22+I8</f>
        <v>211397</v>
      </c>
      <c r="J35" s="333">
        <f t="shared" si="70"/>
        <v>19648</v>
      </c>
      <c r="K35" s="333">
        <f t="shared" si="2"/>
        <v>231045</v>
      </c>
      <c r="L35" s="333">
        <f t="shared" ref="L35:M35" si="71">L31+L22+L8</f>
        <v>239546</v>
      </c>
      <c r="M35" s="333">
        <f t="shared" si="71"/>
        <v>0</v>
      </c>
      <c r="N35" s="333">
        <f t="shared" si="3"/>
        <v>239546</v>
      </c>
      <c r="O35" s="333">
        <f t="shared" ref="O35:P35" si="72">O31+O22+O8</f>
        <v>233781.65</v>
      </c>
      <c r="P35" s="333">
        <f t="shared" si="72"/>
        <v>57112</v>
      </c>
      <c r="Q35" s="333">
        <f t="shared" si="4"/>
        <v>290893.65000000002</v>
      </c>
      <c r="R35" s="333">
        <f t="shared" ref="R35:S35" si="73">R31+R22+R8</f>
        <v>234984.65</v>
      </c>
      <c r="S35" s="333">
        <f t="shared" si="73"/>
        <v>57112</v>
      </c>
      <c r="T35" s="333">
        <f t="shared" si="5"/>
        <v>292096.65000000002</v>
      </c>
      <c r="U35" s="333">
        <f t="shared" ref="U35:V35" si="74">U31+U22+U8</f>
        <v>235864.65</v>
      </c>
      <c r="V35" s="333">
        <f t="shared" si="74"/>
        <v>57112</v>
      </c>
      <c r="W35" s="333">
        <f t="shared" si="6"/>
        <v>292976.65000000002</v>
      </c>
      <c r="X35" s="333">
        <f t="shared" ref="X35:Y35" si="75">X31+X22+X8</f>
        <v>241865</v>
      </c>
      <c r="Y35" s="333">
        <f t="shared" si="75"/>
        <v>57112</v>
      </c>
      <c r="Z35" s="333">
        <f t="shared" si="7"/>
        <v>298977</v>
      </c>
    </row>
    <row r="36" spans="1:26" x14ac:dyDescent="0.25">
      <c r="A36" s="350" t="s">
        <v>309</v>
      </c>
      <c r="B36" s="351" t="s">
        <v>334</v>
      </c>
      <c r="C36" s="352">
        <f t="shared" ref="C36:D36" si="76">SUM(C37:C41)</f>
        <v>193395</v>
      </c>
      <c r="D36" s="352">
        <f t="shared" si="76"/>
        <v>19542</v>
      </c>
      <c r="E36" s="352">
        <f t="shared" si="0"/>
        <v>212937</v>
      </c>
      <c r="F36" s="352">
        <f t="shared" ref="F36:G36" si="77">SUM(F37:F41)</f>
        <v>206181</v>
      </c>
      <c r="G36" s="352">
        <f t="shared" si="77"/>
        <v>19648</v>
      </c>
      <c r="H36" s="352">
        <f t="shared" si="1"/>
        <v>225829</v>
      </c>
      <c r="I36" s="352">
        <f t="shared" ref="I36:J36" si="78">SUM(I37:I41)</f>
        <v>206181</v>
      </c>
      <c r="J36" s="352">
        <f t="shared" si="78"/>
        <v>19648</v>
      </c>
      <c r="K36" s="352">
        <f t="shared" si="2"/>
        <v>225829</v>
      </c>
      <c r="L36" s="352">
        <f t="shared" ref="L36:M36" si="79">SUM(L37:L41)</f>
        <v>210063</v>
      </c>
      <c r="M36" s="352">
        <f t="shared" si="79"/>
        <v>23947</v>
      </c>
      <c r="N36" s="352">
        <f t="shared" si="3"/>
        <v>234010</v>
      </c>
      <c r="O36" s="352">
        <f t="shared" ref="O36:P36" si="80">SUM(O37:O41)</f>
        <v>212668</v>
      </c>
      <c r="P36" s="352">
        <f t="shared" si="80"/>
        <v>57112</v>
      </c>
      <c r="Q36" s="352">
        <f t="shared" si="4"/>
        <v>269780</v>
      </c>
      <c r="R36" s="352">
        <f t="shared" ref="R36:S36" si="81">SUM(R37:R41)</f>
        <v>213871</v>
      </c>
      <c r="S36" s="352">
        <f t="shared" si="81"/>
        <v>57112</v>
      </c>
      <c r="T36" s="352">
        <f t="shared" si="5"/>
        <v>270983</v>
      </c>
      <c r="U36" s="352">
        <f t="shared" ref="U36:V36" si="82">SUM(U37:U41)</f>
        <v>214751</v>
      </c>
      <c r="V36" s="352">
        <f t="shared" si="82"/>
        <v>57112</v>
      </c>
      <c r="W36" s="352">
        <f t="shared" si="6"/>
        <v>271863</v>
      </c>
      <c r="X36" s="352">
        <f t="shared" ref="X36:Y36" si="83">SUM(X37:X41)</f>
        <v>227010</v>
      </c>
      <c r="Y36" s="352">
        <f t="shared" si="83"/>
        <v>57112</v>
      </c>
      <c r="Z36" s="352">
        <f t="shared" si="7"/>
        <v>284122</v>
      </c>
    </row>
    <row r="37" spans="1:26" x14ac:dyDescent="0.25">
      <c r="A37" s="353" t="s">
        <v>311</v>
      </c>
      <c r="B37" s="354" t="s">
        <v>286</v>
      </c>
      <c r="C37" s="355">
        <f>'5 GSZNR fel'!E51+'5 GSZNR fel'!E58+'5 GSZNR fel'!E63+'5 GSZNR fel'!C69</f>
        <v>58801</v>
      </c>
      <c r="D37" s="355">
        <f>'5 GSZNR fel'!E69</f>
        <v>667</v>
      </c>
      <c r="E37" s="355">
        <f t="shared" si="0"/>
        <v>59468</v>
      </c>
      <c r="F37" s="355">
        <f>'5 GSZNR fel'!H51+'5 GSZNR fel'!H58+'5 GSZNR fel'!H63+'5 GSZNR fel'!G69</f>
        <v>59083</v>
      </c>
      <c r="G37" s="355">
        <f>'5 GSZNR fel'!I51+'5 GSZNR fel'!I58+'5 GSZNR fel'!I63+'5 GSZNR fel'!H69</f>
        <v>773</v>
      </c>
      <c r="H37" s="355">
        <f t="shared" si="1"/>
        <v>59856</v>
      </c>
      <c r="I37" s="355">
        <f>'5 GSZNR fel'!K51+'5 GSZNR fel'!K58+'5 GSZNR fel'!K63</f>
        <v>59083</v>
      </c>
      <c r="J37" s="355">
        <f>'5 GSZNR fel'!L51+'5 GSZNR fel'!L58+'5 GSZNR fel'!L63+'5 GSZNR fel'!K69</f>
        <v>773</v>
      </c>
      <c r="K37" s="355">
        <f t="shared" si="2"/>
        <v>59856</v>
      </c>
      <c r="L37" s="355">
        <f>'5 GSZNR fel'!N51+'5 GSZNR fel'!N58+'5 GSZNR fel'!N63</f>
        <v>58498</v>
      </c>
      <c r="M37" s="355">
        <f>'5 GSZNR fel'!M51+'5 GSZNR fel'!M58+'5 GSZNR fel'!M63+'5 GSZNR fel'!N69</f>
        <v>774</v>
      </c>
      <c r="N37" s="355">
        <f t="shared" si="3"/>
        <v>59272</v>
      </c>
      <c r="O37" s="921">
        <f>'5 GSZNR fel'!Q51+'5 GSZNR fel'!Q58+'5 GSZNR fel'!Q63</f>
        <v>69632</v>
      </c>
      <c r="P37" s="921">
        <f>'5 GSZNR fel'!P51+'5 GSZNR fel'!P58+'5 GSZNR fel'!P63+'5 GSZNR fel'!Q69</f>
        <v>1500</v>
      </c>
      <c r="Q37" s="921">
        <f t="shared" si="4"/>
        <v>71132</v>
      </c>
      <c r="R37" s="355">
        <f>'5 GSZNR fel'!T51+'5 GSZNR fel'!T58+'5 GSZNR fel'!T63</f>
        <v>69632</v>
      </c>
      <c r="S37" s="355">
        <f>'5 GSZNR fel'!S51+'5 GSZNR fel'!S58+'5 GSZNR fel'!S63+'5 GSZNR fel'!T69</f>
        <v>1500</v>
      </c>
      <c r="T37" s="355">
        <f t="shared" si="5"/>
        <v>71132</v>
      </c>
      <c r="U37" s="355">
        <f>'5 GSZNR fel'!W51+'5 GSZNR fel'!W58+'5 GSZNR fel'!W63</f>
        <v>69632</v>
      </c>
      <c r="V37" s="355">
        <f>'5 GSZNR fel'!V51+'5 GSZNR fel'!V58+'5 GSZNR fel'!V63+'5 GSZNR fel'!W69</f>
        <v>1500</v>
      </c>
      <c r="W37" s="355">
        <f t="shared" si="6"/>
        <v>71132</v>
      </c>
      <c r="X37" s="921">
        <f>'5 GSZNR fel'!Z51+'5 GSZNR fel'!Z58+'5 GSZNR fel'!Z63</f>
        <v>70746</v>
      </c>
      <c r="Y37" s="921">
        <f>'5 GSZNR fel'!Y51+'5 GSZNR fel'!Y58+'5 GSZNR fel'!Y63+'5 GSZNR fel'!Z69</f>
        <v>1500</v>
      </c>
      <c r="Z37" s="921">
        <f t="shared" si="7"/>
        <v>72246</v>
      </c>
    </row>
    <row r="38" spans="1:26" x14ac:dyDescent="0.25">
      <c r="A38" s="353" t="s">
        <v>322</v>
      </c>
      <c r="B38" s="354" t="s">
        <v>335</v>
      </c>
      <c r="C38" s="355">
        <f>'5 GSZNR fel'!E52+'5 GSZNR fel'!E59+'5 GSZNR fel'!E64+'5 GSZNR fel'!C70</f>
        <v>11520</v>
      </c>
      <c r="D38" s="355">
        <f>'5 GSZNR fel'!E70</f>
        <v>271</v>
      </c>
      <c r="E38" s="355">
        <f t="shared" si="0"/>
        <v>11791</v>
      </c>
      <c r="F38" s="355">
        <f>'5 GSZNR fel'!H52+'5 GSZNR fel'!H59+'5 GSZNR fel'!H64+'5 GSZNR fel'!G70</f>
        <v>11520</v>
      </c>
      <c r="G38" s="355">
        <f>'5 GSZNR fel'!I52+'5 GSZNR fel'!I59+'5 GSZNR fel'!I64+'5 GSZNR fel'!H70</f>
        <v>271</v>
      </c>
      <c r="H38" s="355">
        <f t="shared" si="1"/>
        <v>11791</v>
      </c>
      <c r="I38" s="355">
        <f>'5 GSZNR fel'!K52+'5 GSZNR fel'!K59+'5 GSZNR fel'!K64</f>
        <v>11520</v>
      </c>
      <c r="J38" s="355">
        <f>'5 GSZNR fel'!L52+'5 GSZNR fel'!L59+'5 GSZNR fel'!L64+'5 GSZNR fel'!K70</f>
        <v>271</v>
      </c>
      <c r="K38" s="355">
        <f t="shared" si="2"/>
        <v>11791</v>
      </c>
      <c r="L38" s="355">
        <f>'5 GSZNR fel'!N52+'5 GSZNR fel'!N59+'5 GSZNR fel'!N64</f>
        <v>11899</v>
      </c>
      <c r="M38" s="355">
        <f>'5 GSZNR fel'!M52+'5 GSZNR fel'!M59+'5 GSZNR fel'!M64+'5 GSZNR fel'!N70</f>
        <v>360</v>
      </c>
      <c r="N38" s="355">
        <f t="shared" si="3"/>
        <v>12259</v>
      </c>
      <c r="O38" s="921">
        <f>'5 GSZNR fel'!Q52+'5 GSZNR fel'!Q59+'5 GSZNR fel'!Q64</f>
        <v>13536</v>
      </c>
      <c r="P38" s="921">
        <f>'5 GSZNR fel'!P52+'5 GSZNR fel'!P59+'5 GSZNR fel'!P64+'5 GSZNR fel'!Q70</f>
        <v>612</v>
      </c>
      <c r="Q38" s="921">
        <f t="shared" si="4"/>
        <v>14148</v>
      </c>
      <c r="R38" s="355">
        <f>'5 GSZNR fel'!T52+'5 GSZNR fel'!T59+'5 GSZNR fel'!T64</f>
        <v>13536</v>
      </c>
      <c r="S38" s="355">
        <f>'5 GSZNR fel'!S52+'5 GSZNR fel'!S59+'5 GSZNR fel'!S64+'5 GSZNR fel'!T70</f>
        <v>612</v>
      </c>
      <c r="T38" s="355">
        <f t="shared" si="5"/>
        <v>14148</v>
      </c>
      <c r="U38" s="355">
        <f>'5 GSZNR fel'!W52+'5 GSZNR fel'!W59+'5 GSZNR fel'!W64</f>
        <v>13536</v>
      </c>
      <c r="V38" s="355">
        <f>'5 GSZNR fel'!V52+'5 GSZNR fel'!V59+'5 GSZNR fel'!V64+'5 GSZNR fel'!W70</f>
        <v>612</v>
      </c>
      <c r="W38" s="355">
        <f t="shared" si="6"/>
        <v>14148</v>
      </c>
      <c r="X38" s="921">
        <f>'5 GSZNR fel'!Z52+'5 GSZNR fel'!Z59+'5 GSZNR fel'!Z64</f>
        <v>13354</v>
      </c>
      <c r="Y38" s="921">
        <f>'5 GSZNR fel'!Y52+'5 GSZNR fel'!Y59+'5 GSZNR fel'!Y64+'5 GSZNR fel'!Z70</f>
        <v>612</v>
      </c>
      <c r="Z38" s="921">
        <f t="shared" si="7"/>
        <v>13966</v>
      </c>
    </row>
    <row r="39" spans="1:26" x14ac:dyDescent="0.25">
      <c r="A39" s="353" t="s">
        <v>315</v>
      </c>
      <c r="B39" s="354" t="s">
        <v>292</v>
      </c>
      <c r="C39" s="355">
        <f>'5 GSZNR fel'!E53+'5 GSZNR fel'!E60+'5 GSZNR fel'!E65+'5 GSZNR fel'!C71</f>
        <v>123074</v>
      </c>
      <c r="D39" s="355">
        <f>'5 GSZNR fel'!E71</f>
        <v>18604</v>
      </c>
      <c r="E39" s="355">
        <f t="shared" si="0"/>
        <v>141678</v>
      </c>
      <c r="F39" s="355">
        <f>'5 GSZNR fel'!H53+'5 GSZNR fel'!H60+'5 GSZNR fel'!H65+'5 GSZNR fel'!G71</f>
        <v>131781</v>
      </c>
      <c r="G39" s="355">
        <f>'5 GSZNR fel'!I53+'5 GSZNR fel'!I60+'5 GSZNR fel'!I65+'5 GSZNR fel'!H71</f>
        <v>18604</v>
      </c>
      <c r="H39" s="355">
        <f t="shared" si="1"/>
        <v>150385</v>
      </c>
      <c r="I39" s="355">
        <f>'5 GSZNR fel'!K53+'5 GSZNR fel'!K60+'5 GSZNR fel'!K65</f>
        <v>131781</v>
      </c>
      <c r="J39" s="355">
        <f>'5 GSZNR fel'!L53+'5 GSZNR fel'!L60+'5 GSZNR fel'!L65+'5 GSZNR fel'!K71</f>
        <v>18604</v>
      </c>
      <c r="K39" s="355">
        <f t="shared" si="2"/>
        <v>150385</v>
      </c>
      <c r="L39" s="355">
        <f>'5 GSZNR fel'!N53+'5 GSZNR fel'!N60+'5 GSZNR fel'!N65</f>
        <v>139666</v>
      </c>
      <c r="M39" s="355">
        <f>'5 GSZNR fel'!M53+'5 GSZNR fel'!M60+'5 GSZNR fel'!M65+'5 GSZNR fel'!N71</f>
        <v>22813</v>
      </c>
      <c r="N39" s="355">
        <f t="shared" si="3"/>
        <v>162479</v>
      </c>
      <c r="O39" s="921">
        <f>'5 GSZNR fel'!Q53+'5 GSZNR fel'!Q60+'5 GSZNR fel'!Q65</f>
        <v>129500</v>
      </c>
      <c r="P39" s="921">
        <f>'5 GSZNR fel'!P53+'5 GSZNR fel'!P60+'5 GSZNR fel'!P65+'5 GSZNR fel'!Q71</f>
        <v>55000</v>
      </c>
      <c r="Q39" s="921">
        <f t="shared" si="4"/>
        <v>184500</v>
      </c>
      <c r="R39" s="355">
        <f>'5 GSZNR fel'!T53+'5 GSZNR fel'!T60+'5 GSZNR fel'!T65</f>
        <v>130703</v>
      </c>
      <c r="S39" s="355">
        <f>'5 GSZNR fel'!S53+'5 GSZNR fel'!S60+'5 GSZNR fel'!S65+'5 GSZNR fel'!T71</f>
        <v>55000</v>
      </c>
      <c r="T39" s="355">
        <f t="shared" si="5"/>
        <v>185703</v>
      </c>
      <c r="U39" s="355">
        <f>'5 GSZNR fel'!W53+'5 GSZNR fel'!W60+'5 GSZNR fel'!W65</f>
        <v>131583</v>
      </c>
      <c r="V39" s="355">
        <f>'5 GSZNR fel'!V53+'5 GSZNR fel'!V60+'5 GSZNR fel'!V65+'5 GSZNR fel'!W71</f>
        <v>55000</v>
      </c>
      <c r="W39" s="355">
        <f t="shared" si="6"/>
        <v>186583</v>
      </c>
      <c r="X39" s="921">
        <f>'5 GSZNR fel'!Z53+'5 GSZNR fel'!Z60+'5 GSZNR fel'!Z65</f>
        <v>142910</v>
      </c>
      <c r="Y39" s="921">
        <f>'5 GSZNR fel'!Y53+'5 GSZNR fel'!Y60+'5 GSZNR fel'!Y65+'5 GSZNR fel'!Z71</f>
        <v>55000</v>
      </c>
      <c r="Z39" s="921">
        <f t="shared" si="7"/>
        <v>197910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fel'!H54</f>
        <v>3797</v>
      </c>
      <c r="G41" s="355">
        <v>0</v>
      </c>
      <c r="H41" s="355">
        <f t="shared" si="1"/>
        <v>3797</v>
      </c>
      <c r="I41" s="355">
        <f>+'5 GSZNR fel'!K54</f>
        <v>3797</v>
      </c>
      <c r="J41" s="355">
        <v>0</v>
      </c>
      <c r="K41" s="355">
        <f t="shared" si="2"/>
        <v>3797</v>
      </c>
      <c r="L41" s="355">
        <f>+'5 GSZNR fel'!N54</f>
        <v>0</v>
      </c>
      <c r="M41" s="355">
        <v>0</v>
      </c>
      <c r="N41" s="355">
        <f t="shared" si="3"/>
        <v>0</v>
      </c>
      <c r="O41" s="921">
        <f>+'5 GSZNR fel'!Q54</f>
        <v>0</v>
      </c>
      <c r="P41" s="921">
        <v>0</v>
      </c>
      <c r="Q41" s="921">
        <f t="shared" si="4"/>
        <v>0</v>
      </c>
      <c r="R41" s="355">
        <f>+'5 GSZNR fel'!T54</f>
        <v>0</v>
      </c>
      <c r="S41" s="355">
        <v>0</v>
      </c>
      <c r="T41" s="355">
        <f t="shared" si="5"/>
        <v>0</v>
      </c>
      <c r="U41" s="355">
        <f>+'5 GSZNR fel'!W54</f>
        <v>0</v>
      </c>
      <c r="V41" s="355">
        <v>0</v>
      </c>
      <c r="W41" s="355">
        <f t="shared" si="6"/>
        <v>0</v>
      </c>
      <c r="X41" s="921">
        <f>+'5 GSZNR fel'!Z54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4">SUM(C43:C45)</f>
        <v>5525</v>
      </c>
      <c r="D42" s="352">
        <f t="shared" si="84"/>
        <v>0</v>
      </c>
      <c r="E42" s="352">
        <f t="shared" si="0"/>
        <v>5525</v>
      </c>
      <c r="F42" s="352">
        <f t="shared" ref="F42:G42" si="85">SUM(F43:F45)</f>
        <v>5216</v>
      </c>
      <c r="G42" s="352">
        <f t="shared" si="85"/>
        <v>0</v>
      </c>
      <c r="H42" s="352">
        <f t="shared" si="1"/>
        <v>5216</v>
      </c>
      <c r="I42" s="352">
        <f t="shared" ref="I42:J42" si="86">SUM(I43:I45)</f>
        <v>5216</v>
      </c>
      <c r="J42" s="352">
        <f t="shared" si="86"/>
        <v>0</v>
      </c>
      <c r="K42" s="352">
        <f t="shared" si="2"/>
        <v>5216</v>
      </c>
      <c r="L42" s="352">
        <f t="shared" ref="L42:M42" si="87">SUM(L43:L45)</f>
        <v>5499</v>
      </c>
      <c r="M42" s="352">
        <f t="shared" si="87"/>
        <v>0</v>
      </c>
      <c r="N42" s="352">
        <f t="shared" si="3"/>
        <v>5499</v>
      </c>
      <c r="O42" s="352">
        <f t="shared" ref="O42:P42" si="88">SUM(O43:O45)</f>
        <v>21113.65</v>
      </c>
      <c r="P42" s="352">
        <f t="shared" si="88"/>
        <v>0</v>
      </c>
      <c r="Q42" s="352">
        <f t="shared" si="4"/>
        <v>21113.65</v>
      </c>
      <c r="R42" s="352">
        <f t="shared" ref="R42:S42" si="89">SUM(R43:R45)</f>
        <v>21113.65</v>
      </c>
      <c r="S42" s="352">
        <f t="shared" si="89"/>
        <v>0</v>
      </c>
      <c r="T42" s="352">
        <f t="shared" si="5"/>
        <v>21113.65</v>
      </c>
      <c r="U42" s="352">
        <f t="shared" ref="U42:V42" si="90">SUM(U43:U45)</f>
        <v>21113.65</v>
      </c>
      <c r="V42" s="352">
        <f t="shared" si="90"/>
        <v>0</v>
      </c>
      <c r="W42" s="352">
        <f t="shared" si="6"/>
        <v>21113.65</v>
      </c>
      <c r="X42" s="352">
        <f t="shared" ref="X42:Y42" si="91">SUM(X43:X45)</f>
        <v>14855</v>
      </c>
      <c r="Y42" s="352">
        <f t="shared" si="91"/>
        <v>0</v>
      </c>
      <c r="Z42" s="352">
        <f t="shared" si="7"/>
        <v>14855</v>
      </c>
    </row>
    <row r="43" spans="1:26" x14ac:dyDescent="0.25">
      <c r="A43" s="353" t="s">
        <v>311</v>
      </c>
      <c r="B43" s="354" t="s">
        <v>341</v>
      </c>
      <c r="C43" s="355">
        <f>'5 GSZNR fel'!E55+'5 GSZNR fel'!E61+'5 GSZNR fel'!E66</f>
        <v>5525</v>
      </c>
      <c r="D43" s="355">
        <f>'5 GSZNR fel'!E72</f>
        <v>0</v>
      </c>
      <c r="E43" s="355">
        <f t="shared" si="0"/>
        <v>5525</v>
      </c>
      <c r="F43" s="355">
        <f>'5 GSZNR fel'!H55+'5 GSZNR fel'!H61+'5 GSZNR fel'!H66</f>
        <v>5216</v>
      </c>
      <c r="G43" s="355">
        <f>'5 GSZNR fel'!F72</f>
        <v>0</v>
      </c>
      <c r="H43" s="355">
        <f t="shared" si="1"/>
        <v>5216</v>
      </c>
      <c r="I43" s="355">
        <f>'5 GSZNR fel'!K55+'5 GSZNR fel'!K61+'5 GSZNR fel'!K66</f>
        <v>5216</v>
      </c>
      <c r="J43" s="355">
        <f>'5 GSZNR fel'!J72</f>
        <v>0</v>
      </c>
      <c r="K43" s="355">
        <f t="shared" si="2"/>
        <v>5216</v>
      </c>
      <c r="L43" s="355">
        <f>'5 GSZNR fel'!N55+'5 GSZNR fel'!N61+'5 GSZNR fel'!N66</f>
        <v>5499</v>
      </c>
      <c r="M43" s="355">
        <f>'5 GSZNR fel'!L55+'5 GSZNR fel'!L61+'5 GSZNR fel'!L66</f>
        <v>0</v>
      </c>
      <c r="N43" s="355">
        <f t="shared" si="3"/>
        <v>5499</v>
      </c>
      <c r="O43" s="921">
        <f>'5 GSZNR fel'!Q55+'5 GSZNR fel'!Q61+'5 GSZNR fel'!Q66</f>
        <v>16757.650000000001</v>
      </c>
      <c r="P43" s="921">
        <f>'5 GSZNR fel'!P55+'5 GSZNR fel'!P61+'5 GSZNR fel'!P66</f>
        <v>0</v>
      </c>
      <c r="Q43" s="921">
        <f t="shared" si="4"/>
        <v>16757.650000000001</v>
      </c>
      <c r="R43" s="355">
        <f>'5 GSZNR fel'!T55+'5 GSZNR fel'!T61+'5 GSZNR fel'!T66</f>
        <v>16757.650000000001</v>
      </c>
      <c r="S43" s="355">
        <f>'5 GSZNR fel'!S55+'5 GSZNR fel'!S61+'5 GSZNR fel'!S66</f>
        <v>0</v>
      </c>
      <c r="T43" s="355">
        <f t="shared" si="5"/>
        <v>16757.650000000001</v>
      </c>
      <c r="U43" s="355">
        <f>'5 GSZNR fel'!W55+'5 GSZNR fel'!W61+'5 GSZNR fel'!W66</f>
        <v>16757.650000000001</v>
      </c>
      <c r="V43" s="355">
        <f>'5 GSZNR fel'!V55+'5 GSZNR fel'!V61+'5 GSZNR fel'!V66</f>
        <v>0</v>
      </c>
      <c r="W43" s="355">
        <f t="shared" si="6"/>
        <v>16757.650000000001</v>
      </c>
      <c r="X43" s="921">
        <f>'5 GSZNR fel'!Z55+'5 GSZNR fel'!Z61+'5 GSZNR fel'!Z66</f>
        <v>14855</v>
      </c>
      <c r="Y43" s="921">
        <f>'5 GSZNR fel'!Y55+'5 GSZNR fel'!Y61+'5 GSZNR fel'!Y66</f>
        <v>0</v>
      </c>
      <c r="Z43" s="921">
        <f t="shared" si="7"/>
        <v>14855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f>+'5 GSZNR fel'!Q56</f>
        <v>4356</v>
      </c>
      <c r="P44" s="921">
        <v>0</v>
      </c>
      <c r="Q44" s="921">
        <f t="shared" si="4"/>
        <v>4356</v>
      </c>
      <c r="R44" s="355">
        <f>+'5 GSZNR fel'!T56</f>
        <v>4356</v>
      </c>
      <c r="S44" s="355">
        <v>0</v>
      </c>
      <c r="T44" s="355">
        <f t="shared" si="5"/>
        <v>4356</v>
      </c>
      <c r="U44" s="355">
        <f>+'5 GSZNR fel'!W56</f>
        <v>4356</v>
      </c>
      <c r="V44" s="355">
        <v>0</v>
      </c>
      <c r="W44" s="355">
        <f t="shared" si="6"/>
        <v>4356</v>
      </c>
      <c r="X44" s="921">
        <f>+'5 GSZNR fel'!Z56</f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 t="s">
        <v>1689</v>
      </c>
      <c r="P45" s="921">
        <v>0</v>
      </c>
      <c r="Q45" s="921">
        <f t="shared" si="4"/>
        <v>0</v>
      </c>
      <c r="R45" s="355" t="s">
        <v>1689</v>
      </c>
      <c r="S45" s="355">
        <v>0</v>
      </c>
      <c r="T45" s="355">
        <f t="shared" si="5"/>
        <v>0</v>
      </c>
      <c r="U45" s="355" t="s">
        <v>1689</v>
      </c>
      <c r="V45" s="355">
        <v>0</v>
      </c>
      <c r="W45" s="355">
        <f t="shared" si="6"/>
        <v>0</v>
      </c>
      <c r="X45" s="921" t="s">
        <v>1689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2">C36+C42</f>
        <v>198920</v>
      </c>
      <c r="D46" s="333">
        <f t="shared" si="92"/>
        <v>19542</v>
      </c>
      <c r="E46" s="333">
        <f t="shared" si="0"/>
        <v>218462</v>
      </c>
      <c r="F46" s="333">
        <f t="shared" ref="F46:G46" si="93">F36+F42</f>
        <v>211397</v>
      </c>
      <c r="G46" s="333">
        <f t="shared" si="93"/>
        <v>19648</v>
      </c>
      <c r="H46" s="333">
        <f t="shared" si="1"/>
        <v>231045</v>
      </c>
      <c r="I46" s="333">
        <f t="shared" ref="I46:J46" si="94">I36+I42</f>
        <v>211397</v>
      </c>
      <c r="J46" s="333">
        <f t="shared" si="94"/>
        <v>19648</v>
      </c>
      <c r="K46" s="333">
        <f t="shared" si="2"/>
        <v>231045</v>
      </c>
      <c r="L46" s="333">
        <f t="shared" ref="L46:M46" si="95">L36+L42</f>
        <v>215562</v>
      </c>
      <c r="M46" s="333">
        <f t="shared" si="95"/>
        <v>23947</v>
      </c>
      <c r="N46" s="333">
        <f t="shared" si="3"/>
        <v>239509</v>
      </c>
      <c r="O46" s="333">
        <f t="shared" ref="O46:P46" si="96">O36+O42</f>
        <v>233781.65</v>
      </c>
      <c r="P46" s="333">
        <f t="shared" si="96"/>
        <v>57112</v>
      </c>
      <c r="Q46" s="333">
        <f t="shared" si="4"/>
        <v>290893.65000000002</v>
      </c>
      <c r="R46" s="333">
        <f t="shared" ref="R46:S46" si="97">R36+R42</f>
        <v>234984.65</v>
      </c>
      <c r="S46" s="333">
        <f t="shared" si="97"/>
        <v>57112</v>
      </c>
      <c r="T46" s="333">
        <f t="shared" si="5"/>
        <v>292096.65000000002</v>
      </c>
      <c r="U46" s="333">
        <f t="shared" ref="U46:V46" si="98">U36+U42</f>
        <v>235864.65</v>
      </c>
      <c r="V46" s="333">
        <f t="shared" si="98"/>
        <v>57112</v>
      </c>
      <c r="W46" s="333">
        <f t="shared" si="6"/>
        <v>292976.65000000002</v>
      </c>
      <c r="X46" s="333">
        <f t="shared" ref="X46:Y46" si="99">X36+X42</f>
        <v>241865</v>
      </c>
      <c r="Y46" s="333">
        <f t="shared" si="99"/>
        <v>57112</v>
      </c>
      <c r="Z46" s="333">
        <f t="shared" si="7"/>
        <v>298977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0629921259842521" bottom="0.19685039370078741" header="0.31496062992125984" footer="0.31496062992125984"/>
  <pageSetup paperSize="9" scale="49" fitToHeight="0" orientation="portrait" copies="2" r:id="rId1"/>
  <headerFooter>
    <oddHeader>&amp;L4/D.  melléklet a ...../2020. (.......) önkormányzati rendelethez&amp;C&amp;"-,Félkövér"&amp;16
A Munkácsy Mihály Művelődési Ház 2019. évi bevételei és kiadásai jogcímenként és feladatonként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46"/>
  <sheetViews>
    <sheetView view="pageBreakPreview" topLeftCell="A5" zoomScale="75" zoomScaleNormal="100" zoomScaleSheetLayoutView="75" workbookViewId="0">
      <selection activeCell="O5" sqref="O5"/>
    </sheetView>
  </sheetViews>
  <sheetFormatPr defaultRowHeight="15" x14ac:dyDescent="0.25"/>
  <cols>
    <col min="1" max="1" width="6.7109375" style="31" customWidth="1"/>
    <col min="2" max="2" width="53.28515625" customWidth="1"/>
    <col min="3" max="3" width="10" hidden="1" customWidth="1"/>
    <col min="4" max="4" width="9" hidden="1" customWidth="1"/>
    <col min="5" max="5" width="9.7109375" hidden="1" customWidth="1"/>
    <col min="6" max="7" width="9" hidden="1" customWidth="1"/>
    <col min="8" max="8" width="9.28515625" hidden="1" customWidth="1"/>
    <col min="9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x14ac:dyDescent="0.25">
      <c r="A3" s="346" t="s">
        <v>304</v>
      </c>
      <c r="B3" s="346" t="s">
        <v>1512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51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1730</v>
      </c>
      <c r="V4" s="1005"/>
      <c r="W4" s="1006"/>
      <c r="X4" s="1004" t="s">
        <v>1742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4</v>
      </c>
      <c r="D6" s="349">
        <v>1</v>
      </c>
      <c r="E6" s="349">
        <f t="shared" ref="E6:E46" si="0">SUM(C6:D6)</f>
        <v>5</v>
      </c>
      <c r="F6" s="349">
        <v>4</v>
      </c>
      <c r="G6" s="349">
        <v>1</v>
      </c>
      <c r="H6" s="349">
        <f t="shared" ref="H6:H46" si="1">SUM(F6:G6)</f>
        <v>5</v>
      </c>
      <c r="I6" s="349">
        <v>4</v>
      </c>
      <c r="J6" s="349">
        <v>1</v>
      </c>
      <c r="K6" s="349">
        <f t="shared" ref="K6:K46" si="2">SUM(I6:J6)</f>
        <v>5</v>
      </c>
      <c r="L6" s="349">
        <v>4</v>
      </c>
      <c r="M6" s="349">
        <v>1</v>
      </c>
      <c r="N6" s="349">
        <f t="shared" ref="N6:N46" si="3">SUM(L6:M6)</f>
        <v>5</v>
      </c>
      <c r="O6" s="936">
        <v>4</v>
      </c>
      <c r="P6" s="936">
        <v>1.5</v>
      </c>
      <c r="Q6" s="936">
        <f t="shared" ref="Q6:Q46" si="4">SUM(O6:P6)</f>
        <v>5.5</v>
      </c>
      <c r="R6" s="349">
        <v>4</v>
      </c>
      <c r="S6" s="349">
        <v>1.5</v>
      </c>
      <c r="T6" s="349">
        <f t="shared" ref="T6:T46" si="5">SUM(R6:S6)</f>
        <v>5.5</v>
      </c>
      <c r="U6" s="349">
        <v>4</v>
      </c>
      <c r="V6" s="349">
        <v>1.5</v>
      </c>
      <c r="W6" s="349">
        <f t="shared" ref="W6:W46" si="6">SUM(U6:V6)</f>
        <v>5.5</v>
      </c>
      <c r="X6" s="936">
        <v>4</v>
      </c>
      <c r="Y6" s="936">
        <v>1.5</v>
      </c>
      <c r="Z6" s="936">
        <f t="shared" ref="Z6:Z46" si="7">SUM(X6:Y6)</f>
        <v>5.5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170</v>
      </c>
      <c r="D8" s="352">
        <f t="shared" si="8"/>
        <v>0</v>
      </c>
      <c r="E8" s="352">
        <f t="shared" si="0"/>
        <v>170</v>
      </c>
      <c r="F8" s="352">
        <f t="shared" ref="F8:G8" si="9">F9+F11+F20</f>
        <v>170</v>
      </c>
      <c r="G8" s="352">
        <f t="shared" si="9"/>
        <v>0</v>
      </c>
      <c r="H8" s="352">
        <f t="shared" si="1"/>
        <v>170</v>
      </c>
      <c r="I8" s="352">
        <f t="shared" ref="I8:J8" si="10">I9+I11+I20</f>
        <v>170</v>
      </c>
      <c r="J8" s="352">
        <f t="shared" si="10"/>
        <v>0</v>
      </c>
      <c r="K8" s="352">
        <f t="shared" si="2"/>
        <v>170</v>
      </c>
      <c r="L8" s="352">
        <f t="shared" ref="L8:M8" si="11">L9+L11+L20</f>
        <v>51</v>
      </c>
      <c r="M8" s="352">
        <f t="shared" si="11"/>
        <v>0</v>
      </c>
      <c r="N8" s="352">
        <f t="shared" si="3"/>
        <v>51</v>
      </c>
      <c r="O8" s="352">
        <f t="shared" ref="O8:P8" si="12">O9+O11+O20</f>
        <v>50</v>
      </c>
      <c r="P8" s="352">
        <f t="shared" si="12"/>
        <v>0</v>
      </c>
      <c r="Q8" s="352">
        <f t="shared" si="4"/>
        <v>50</v>
      </c>
      <c r="R8" s="352">
        <f t="shared" ref="R8:S8" si="13">R9+R11+R20</f>
        <v>50</v>
      </c>
      <c r="S8" s="352">
        <f t="shared" si="13"/>
        <v>0</v>
      </c>
      <c r="T8" s="352">
        <f t="shared" si="5"/>
        <v>50</v>
      </c>
      <c r="U8" s="352">
        <f t="shared" ref="U8:V8" si="14">U9+U11+U20</f>
        <v>50</v>
      </c>
      <c r="V8" s="352">
        <f t="shared" si="14"/>
        <v>0</v>
      </c>
      <c r="W8" s="352">
        <f t="shared" si="6"/>
        <v>50</v>
      </c>
      <c r="X8" s="352">
        <f t="shared" ref="X8:Y8" si="15">X9+X11+X20</f>
        <v>50</v>
      </c>
      <c r="Y8" s="352">
        <f t="shared" si="15"/>
        <v>0</v>
      </c>
      <c r="Z8" s="352">
        <f t="shared" si="7"/>
        <v>50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C12+C13+C14+C15+C16+C17+C18+C19</f>
        <v>170</v>
      </c>
      <c r="D11" s="355">
        <f t="shared" si="17"/>
        <v>0</v>
      </c>
      <c r="E11" s="355">
        <f t="shared" si="0"/>
        <v>170</v>
      </c>
      <c r="F11" s="355">
        <f t="shared" ref="F11:G11" si="18">F12+F13+F14+F15+F16+F17+F18+F19</f>
        <v>170</v>
      </c>
      <c r="G11" s="355">
        <f t="shared" si="18"/>
        <v>0</v>
      </c>
      <c r="H11" s="355">
        <f t="shared" si="1"/>
        <v>170</v>
      </c>
      <c r="I11" s="355">
        <f t="shared" ref="I11:J11" si="19">I12+I13+I14+I15+I16+I17+I18+I19</f>
        <v>170</v>
      </c>
      <c r="J11" s="355">
        <f t="shared" si="19"/>
        <v>0</v>
      </c>
      <c r="K11" s="355">
        <f t="shared" si="2"/>
        <v>170</v>
      </c>
      <c r="L11" s="355">
        <f t="shared" ref="L11:M11" si="20">L12+L13+L14+L15+L16+L17+L18+L19</f>
        <v>51</v>
      </c>
      <c r="M11" s="355">
        <f t="shared" si="20"/>
        <v>0</v>
      </c>
      <c r="N11" s="355">
        <f t="shared" si="3"/>
        <v>51</v>
      </c>
      <c r="O11" s="355">
        <f t="shared" ref="O11:P11" si="21">O12+O13+O14+O15+O16+O17+O18+O19</f>
        <v>50</v>
      </c>
      <c r="P11" s="355">
        <f t="shared" si="21"/>
        <v>0</v>
      </c>
      <c r="Q11" s="355">
        <f t="shared" si="4"/>
        <v>50</v>
      </c>
      <c r="R11" s="355">
        <f t="shared" ref="R11:S11" si="22">R12+R13+R14+R15+R16+R17+R18+R19</f>
        <v>50</v>
      </c>
      <c r="S11" s="355">
        <f t="shared" si="22"/>
        <v>0</v>
      </c>
      <c r="T11" s="355">
        <f t="shared" si="5"/>
        <v>50</v>
      </c>
      <c r="U11" s="355">
        <f t="shared" ref="U11:V11" si="23">U12+U13+U14+U15+U16+U17+U18+U19</f>
        <v>50</v>
      </c>
      <c r="V11" s="355">
        <f t="shared" si="23"/>
        <v>0</v>
      </c>
      <c r="W11" s="355">
        <f t="shared" si="6"/>
        <v>50</v>
      </c>
      <c r="X11" s="355">
        <f t="shared" ref="X11:Y11" si="24">X12+X13+X14+X15+X16+X17+X18+X19</f>
        <v>50</v>
      </c>
      <c r="Y11" s="355">
        <f t="shared" si="24"/>
        <v>0</v>
      </c>
      <c r="Z11" s="355">
        <f t="shared" si="7"/>
        <v>50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273">
        <v>170</v>
      </c>
      <c r="D13" s="273">
        <v>0</v>
      </c>
      <c r="E13" s="273">
        <f t="shared" si="0"/>
        <v>170</v>
      </c>
      <c r="F13" s="273">
        <v>170</v>
      </c>
      <c r="G13" s="273">
        <v>0</v>
      </c>
      <c r="H13" s="273">
        <f t="shared" si="1"/>
        <v>170</v>
      </c>
      <c r="I13" s="273">
        <v>170</v>
      </c>
      <c r="J13" s="273">
        <v>0</v>
      </c>
      <c r="K13" s="273">
        <f t="shared" si="2"/>
        <v>170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0</v>
      </c>
      <c r="D15" s="273">
        <v>0</v>
      </c>
      <c r="E15" s="273">
        <f t="shared" si="0"/>
        <v>0</v>
      </c>
      <c r="F15" s="273">
        <v>0</v>
      </c>
      <c r="G15" s="273">
        <v>0</v>
      </c>
      <c r="H15" s="273">
        <f t="shared" si="1"/>
        <v>0</v>
      </c>
      <c r="I15" s="273">
        <v>0</v>
      </c>
      <c r="J15" s="273">
        <v>0</v>
      </c>
      <c r="K15" s="273">
        <f t="shared" si="2"/>
        <v>0</v>
      </c>
      <c r="L15" s="273">
        <v>0</v>
      </c>
      <c r="M15" s="273">
        <v>0</v>
      </c>
      <c r="N15" s="273">
        <f t="shared" si="3"/>
        <v>0</v>
      </c>
      <c r="O15" s="923">
        <v>0</v>
      </c>
      <c r="P15" s="923">
        <v>0</v>
      </c>
      <c r="Q15" s="923">
        <f t="shared" si="4"/>
        <v>0</v>
      </c>
      <c r="R15" s="273">
        <v>0</v>
      </c>
      <c r="S15" s="273">
        <v>0</v>
      </c>
      <c r="T15" s="273">
        <f t="shared" si="5"/>
        <v>0</v>
      </c>
      <c r="U15" s="273">
        <v>0</v>
      </c>
      <c r="V15" s="273">
        <v>0</v>
      </c>
      <c r="W15" s="273">
        <f t="shared" si="6"/>
        <v>0</v>
      </c>
      <c r="X15" s="923">
        <v>0</v>
      </c>
      <c r="Y15" s="923">
        <v>0</v>
      </c>
      <c r="Z15" s="923">
        <f t="shared" si="7"/>
        <v>0</v>
      </c>
    </row>
    <row r="16" spans="1:26" x14ac:dyDescent="0.25">
      <c r="A16" s="392"/>
      <c r="B16" s="356" t="s">
        <v>665</v>
      </c>
      <c r="C16" s="273">
        <v>0</v>
      </c>
      <c r="D16" s="273">
        <v>0</v>
      </c>
      <c r="E16" s="273">
        <f t="shared" si="0"/>
        <v>0</v>
      </c>
      <c r="F16" s="273">
        <v>0</v>
      </c>
      <c r="G16" s="273">
        <v>0</v>
      </c>
      <c r="H16" s="273">
        <f t="shared" si="1"/>
        <v>0</v>
      </c>
      <c r="I16" s="273">
        <v>0</v>
      </c>
      <c r="J16" s="273">
        <v>0</v>
      </c>
      <c r="K16" s="273">
        <f t="shared" si="2"/>
        <v>0</v>
      </c>
      <c r="L16" s="273">
        <v>0</v>
      </c>
      <c r="M16" s="273">
        <v>0</v>
      </c>
      <c r="N16" s="273">
        <f t="shared" si="3"/>
        <v>0</v>
      </c>
      <c r="O16" s="923">
        <v>0</v>
      </c>
      <c r="P16" s="923">
        <v>0</v>
      </c>
      <c r="Q16" s="923">
        <f t="shared" si="4"/>
        <v>0</v>
      </c>
      <c r="R16" s="273">
        <v>0</v>
      </c>
      <c r="S16" s="273">
        <v>0</v>
      </c>
      <c r="T16" s="273">
        <f t="shared" si="5"/>
        <v>0</v>
      </c>
      <c r="U16" s="273">
        <v>0</v>
      </c>
      <c r="V16" s="273">
        <v>0</v>
      </c>
      <c r="W16" s="273">
        <f t="shared" si="6"/>
        <v>0</v>
      </c>
      <c r="X16" s="923">
        <v>0</v>
      </c>
      <c r="Y16" s="923">
        <v>0</v>
      </c>
      <c r="Z16" s="923">
        <f t="shared" si="7"/>
        <v>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0</v>
      </c>
      <c r="M17" s="273">
        <v>0</v>
      </c>
      <c r="N17" s="273">
        <f t="shared" si="3"/>
        <v>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51</v>
      </c>
      <c r="M19" s="273">
        <v>0</v>
      </c>
      <c r="N19" s="273">
        <f t="shared" si="3"/>
        <v>51</v>
      </c>
      <c r="O19" s="923">
        <v>50</v>
      </c>
      <c r="P19" s="923">
        <v>0</v>
      </c>
      <c r="Q19" s="923">
        <f t="shared" si="4"/>
        <v>50</v>
      </c>
      <c r="R19" s="273">
        <v>50</v>
      </c>
      <c r="S19" s="273">
        <v>0</v>
      </c>
      <c r="T19" s="273">
        <f t="shared" si="5"/>
        <v>50</v>
      </c>
      <c r="U19" s="273">
        <v>50</v>
      </c>
      <c r="V19" s="273">
        <v>0</v>
      </c>
      <c r="W19" s="273">
        <f t="shared" si="6"/>
        <v>50</v>
      </c>
      <c r="X19" s="923">
        <v>50</v>
      </c>
      <c r="Y19" s="923">
        <v>0</v>
      </c>
      <c r="Z19" s="923">
        <f t="shared" si="7"/>
        <v>50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170</v>
      </c>
      <c r="D30" s="360">
        <f t="shared" si="44"/>
        <v>0</v>
      </c>
      <c r="E30" s="360">
        <f t="shared" si="0"/>
        <v>170</v>
      </c>
      <c r="F30" s="360">
        <f t="shared" ref="F30:G30" si="45">F22+F8</f>
        <v>170</v>
      </c>
      <c r="G30" s="360">
        <f t="shared" si="45"/>
        <v>0</v>
      </c>
      <c r="H30" s="360">
        <f t="shared" si="1"/>
        <v>170</v>
      </c>
      <c r="I30" s="360">
        <f t="shared" ref="I30:J30" si="46">I22+I8</f>
        <v>170</v>
      </c>
      <c r="J30" s="360">
        <f t="shared" si="46"/>
        <v>0</v>
      </c>
      <c r="K30" s="360">
        <f t="shared" si="2"/>
        <v>170</v>
      </c>
      <c r="L30" s="360">
        <f t="shared" ref="L30:M30" si="47">L22+L8</f>
        <v>51</v>
      </c>
      <c r="M30" s="360">
        <f t="shared" si="47"/>
        <v>0</v>
      </c>
      <c r="N30" s="360">
        <f t="shared" si="3"/>
        <v>51</v>
      </c>
      <c r="O30" s="360">
        <f t="shared" ref="O30:P30" si="48">O22+O8</f>
        <v>50</v>
      </c>
      <c r="P30" s="360">
        <f t="shared" si="48"/>
        <v>0</v>
      </c>
      <c r="Q30" s="360">
        <f t="shared" si="4"/>
        <v>50</v>
      </c>
      <c r="R30" s="360">
        <f t="shared" ref="R30:S30" si="49">R22+R8</f>
        <v>50</v>
      </c>
      <c r="S30" s="360">
        <f t="shared" si="49"/>
        <v>0</v>
      </c>
      <c r="T30" s="360">
        <f t="shared" si="5"/>
        <v>50</v>
      </c>
      <c r="U30" s="360">
        <f t="shared" ref="U30:V30" si="50">U22+U8</f>
        <v>50</v>
      </c>
      <c r="V30" s="360">
        <f t="shared" si="50"/>
        <v>0</v>
      </c>
      <c r="W30" s="360">
        <f t="shared" si="6"/>
        <v>50</v>
      </c>
      <c r="X30" s="360">
        <f t="shared" ref="X30:Y30" si="51">X22+X8</f>
        <v>50</v>
      </c>
      <c r="Y30" s="360">
        <f t="shared" si="51"/>
        <v>0</v>
      </c>
      <c r="Z30" s="360">
        <f t="shared" si="7"/>
        <v>50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26764</v>
      </c>
      <c r="D31" s="352">
        <f t="shared" si="52"/>
        <v>10094</v>
      </c>
      <c r="E31" s="352">
        <f t="shared" si="0"/>
        <v>36858</v>
      </c>
      <c r="F31" s="352">
        <f t="shared" si="52"/>
        <v>27712</v>
      </c>
      <c r="G31" s="352">
        <f t="shared" si="52"/>
        <v>10094</v>
      </c>
      <c r="H31" s="352">
        <f t="shared" si="1"/>
        <v>37806</v>
      </c>
      <c r="I31" s="352">
        <f t="shared" si="52"/>
        <v>27305</v>
      </c>
      <c r="J31" s="352">
        <f t="shared" si="52"/>
        <v>10501</v>
      </c>
      <c r="K31" s="352">
        <f t="shared" si="2"/>
        <v>37806</v>
      </c>
      <c r="L31" s="352">
        <f t="shared" si="52"/>
        <v>33217</v>
      </c>
      <c r="M31" s="352">
        <f t="shared" si="52"/>
        <v>0</v>
      </c>
      <c r="N31" s="352">
        <f t="shared" si="3"/>
        <v>33217</v>
      </c>
      <c r="O31" s="352">
        <f t="shared" si="52"/>
        <v>28785.5</v>
      </c>
      <c r="P31" s="352">
        <f t="shared" si="52"/>
        <v>9388</v>
      </c>
      <c r="Q31" s="352">
        <f t="shared" si="4"/>
        <v>38173.5</v>
      </c>
      <c r="R31" s="352">
        <f t="shared" si="52"/>
        <v>29899</v>
      </c>
      <c r="S31" s="352">
        <f t="shared" si="52"/>
        <v>9388</v>
      </c>
      <c r="T31" s="352">
        <f t="shared" si="5"/>
        <v>39287</v>
      </c>
      <c r="U31" s="352">
        <f t="shared" si="52"/>
        <v>30446</v>
      </c>
      <c r="V31" s="352">
        <f t="shared" si="52"/>
        <v>9448</v>
      </c>
      <c r="W31" s="352">
        <f t="shared" si="6"/>
        <v>39894</v>
      </c>
      <c r="X31" s="352">
        <f t="shared" si="52"/>
        <v>30446</v>
      </c>
      <c r="Y31" s="352">
        <f t="shared" si="52"/>
        <v>9528</v>
      </c>
      <c r="Z31" s="352">
        <f t="shared" si="7"/>
        <v>39974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26764</v>
      </c>
      <c r="D32" s="355">
        <f t="shared" si="53"/>
        <v>10094</v>
      </c>
      <c r="E32" s="355">
        <f t="shared" si="0"/>
        <v>36858</v>
      </c>
      <c r="F32" s="355">
        <f t="shared" ref="F32:G32" si="54">SUM(F33:F34)</f>
        <v>27712</v>
      </c>
      <c r="G32" s="355">
        <f t="shared" si="54"/>
        <v>10094</v>
      </c>
      <c r="H32" s="355">
        <f t="shared" si="1"/>
        <v>37806</v>
      </c>
      <c r="I32" s="355">
        <f t="shared" ref="I32:J32" si="55">SUM(I33:I34)</f>
        <v>27305</v>
      </c>
      <c r="J32" s="355">
        <f t="shared" si="55"/>
        <v>10501</v>
      </c>
      <c r="K32" s="355">
        <f t="shared" si="2"/>
        <v>37806</v>
      </c>
      <c r="L32" s="355">
        <f t="shared" ref="L32:M32" si="56">SUM(L33:L34)</f>
        <v>33217</v>
      </c>
      <c r="M32" s="355">
        <f t="shared" si="56"/>
        <v>0</v>
      </c>
      <c r="N32" s="355">
        <f t="shared" si="3"/>
        <v>33217</v>
      </c>
      <c r="O32" s="355">
        <f t="shared" ref="O32:P32" si="57">SUM(O33:O34)</f>
        <v>28785.5</v>
      </c>
      <c r="P32" s="355">
        <f t="shared" si="57"/>
        <v>9388</v>
      </c>
      <c r="Q32" s="355">
        <f t="shared" si="4"/>
        <v>38173.5</v>
      </c>
      <c r="R32" s="355">
        <f t="shared" ref="R32:S32" si="58">SUM(R33:R34)</f>
        <v>29899</v>
      </c>
      <c r="S32" s="355">
        <f t="shared" si="58"/>
        <v>9388</v>
      </c>
      <c r="T32" s="355">
        <f t="shared" si="5"/>
        <v>39287</v>
      </c>
      <c r="U32" s="355">
        <f t="shared" ref="U32:V32" si="59">SUM(U33:U34)</f>
        <v>30446</v>
      </c>
      <c r="V32" s="355">
        <f t="shared" si="59"/>
        <v>9448</v>
      </c>
      <c r="W32" s="355">
        <f t="shared" si="6"/>
        <v>39894</v>
      </c>
      <c r="X32" s="355">
        <f t="shared" ref="X32:Y32" si="60">SUM(X33:X34)</f>
        <v>30446</v>
      </c>
      <c r="Y32" s="355">
        <f t="shared" si="60"/>
        <v>9528</v>
      </c>
      <c r="Z32" s="355">
        <f t="shared" si="7"/>
        <v>39974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541</v>
      </c>
      <c r="G33" s="273">
        <v>0</v>
      </c>
      <c r="H33" s="273">
        <f t="shared" si="1"/>
        <v>541</v>
      </c>
      <c r="I33" s="273">
        <v>526</v>
      </c>
      <c r="J33" s="273">
        <v>0</v>
      </c>
      <c r="K33" s="273">
        <f t="shared" si="2"/>
        <v>526</v>
      </c>
      <c r="L33" s="273">
        <v>541</v>
      </c>
      <c r="M33" s="273">
        <v>0</v>
      </c>
      <c r="N33" s="273">
        <f t="shared" si="3"/>
        <v>541</v>
      </c>
      <c r="O33" s="923">
        <v>0</v>
      </c>
      <c r="P33" s="923">
        <v>0</v>
      </c>
      <c r="Q33" s="923">
        <f t="shared" si="4"/>
        <v>0</v>
      </c>
      <c r="R33" s="273">
        <v>1113</v>
      </c>
      <c r="S33" s="273">
        <v>0</v>
      </c>
      <c r="T33" s="273">
        <f t="shared" si="5"/>
        <v>1113</v>
      </c>
      <c r="U33" s="273">
        <v>1113</v>
      </c>
      <c r="V33" s="273">
        <v>0</v>
      </c>
      <c r="W33" s="273">
        <f t="shared" si="6"/>
        <v>1113</v>
      </c>
      <c r="X33" s="923">
        <v>1113</v>
      </c>
      <c r="Y33" s="923">
        <v>0</v>
      </c>
      <c r="Z33" s="923">
        <f t="shared" si="7"/>
        <v>1113</v>
      </c>
    </row>
    <row r="34" spans="1:26" x14ac:dyDescent="0.25">
      <c r="A34" s="392"/>
      <c r="B34" s="358" t="s">
        <v>332</v>
      </c>
      <c r="C34" s="273">
        <f t="shared" ref="C34:D34" si="61">C46-C30-C33</f>
        <v>26764</v>
      </c>
      <c r="D34" s="273">
        <f t="shared" si="61"/>
        <v>10094</v>
      </c>
      <c r="E34" s="273">
        <f t="shared" si="0"/>
        <v>36858</v>
      </c>
      <c r="F34" s="273">
        <f t="shared" ref="F34:G34" si="62">F46-F30-F33</f>
        <v>27171</v>
      </c>
      <c r="G34" s="273">
        <f t="shared" si="62"/>
        <v>10094</v>
      </c>
      <c r="H34" s="273">
        <f t="shared" si="1"/>
        <v>37265</v>
      </c>
      <c r="I34" s="273">
        <f t="shared" ref="I34:J34" si="63">I46-I30-I33</f>
        <v>26779</v>
      </c>
      <c r="J34" s="273">
        <f t="shared" si="63"/>
        <v>10501</v>
      </c>
      <c r="K34" s="273">
        <f t="shared" si="2"/>
        <v>37280</v>
      </c>
      <c r="L34" s="273">
        <v>32676</v>
      </c>
      <c r="M34" s="273"/>
      <c r="N34" s="273">
        <f t="shared" si="3"/>
        <v>32676</v>
      </c>
      <c r="O34" s="923">
        <f t="shared" ref="O34:P34" si="64">O46-O30-O33</f>
        <v>28785.5</v>
      </c>
      <c r="P34" s="923">
        <f t="shared" si="64"/>
        <v>9388</v>
      </c>
      <c r="Q34" s="923">
        <f t="shared" si="4"/>
        <v>38173.5</v>
      </c>
      <c r="R34" s="273">
        <f t="shared" ref="R34:S34" si="65">R46-R30-R33</f>
        <v>28786</v>
      </c>
      <c r="S34" s="273">
        <f t="shared" si="65"/>
        <v>9388</v>
      </c>
      <c r="T34" s="273">
        <f t="shared" si="5"/>
        <v>38174</v>
      </c>
      <c r="U34" s="273">
        <f t="shared" ref="U34:V34" si="66">U46-U30-U33</f>
        <v>29333</v>
      </c>
      <c r="V34" s="273">
        <f t="shared" si="66"/>
        <v>9448</v>
      </c>
      <c r="W34" s="273">
        <f t="shared" si="6"/>
        <v>38781</v>
      </c>
      <c r="X34" s="923">
        <f t="shared" ref="X34:Y34" si="67">X46-X30-X33</f>
        <v>29333</v>
      </c>
      <c r="Y34" s="923">
        <f t="shared" si="67"/>
        <v>9528</v>
      </c>
      <c r="Z34" s="923">
        <f t="shared" si="7"/>
        <v>38861</v>
      </c>
    </row>
    <row r="35" spans="1:26" x14ac:dyDescent="0.25">
      <c r="A35" s="361"/>
      <c r="B35" s="362" t="s">
        <v>333</v>
      </c>
      <c r="C35" s="333">
        <f t="shared" ref="C35:D35" si="68">C31+C22+C8</f>
        <v>26934</v>
      </c>
      <c r="D35" s="333">
        <f t="shared" si="68"/>
        <v>10094</v>
      </c>
      <c r="E35" s="333">
        <f t="shared" si="0"/>
        <v>37028</v>
      </c>
      <c r="F35" s="333">
        <f t="shared" ref="F35:G35" si="69">F31+F22+F8</f>
        <v>27882</v>
      </c>
      <c r="G35" s="333">
        <f t="shared" si="69"/>
        <v>10094</v>
      </c>
      <c r="H35" s="333">
        <f t="shared" si="1"/>
        <v>37976</v>
      </c>
      <c r="I35" s="333">
        <f t="shared" ref="I35:J35" si="70">I31+I22+I8</f>
        <v>27475</v>
      </c>
      <c r="J35" s="333">
        <f t="shared" si="70"/>
        <v>10501</v>
      </c>
      <c r="K35" s="333">
        <f t="shared" si="2"/>
        <v>37976</v>
      </c>
      <c r="L35" s="333">
        <f t="shared" ref="L35:M35" si="71">L31+L22+L8</f>
        <v>33268</v>
      </c>
      <c r="M35" s="333">
        <f t="shared" si="71"/>
        <v>0</v>
      </c>
      <c r="N35" s="333">
        <f t="shared" si="3"/>
        <v>33268</v>
      </c>
      <c r="O35" s="333">
        <f t="shared" ref="O35:P35" si="72">O31+O22+O8</f>
        <v>28835.5</v>
      </c>
      <c r="P35" s="333">
        <f t="shared" si="72"/>
        <v>9388</v>
      </c>
      <c r="Q35" s="333">
        <f t="shared" si="4"/>
        <v>38223.5</v>
      </c>
      <c r="R35" s="333">
        <f t="shared" ref="R35:S35" si="73">R31+R22+R8</f>
        <v>29949</v>
      </c>
      <c r="S35" s="333">
        <f t="shared" si="73"/>
        <v>9388</v>
      </c>
      <c r="T35" s="333">
        <f t="shared" si="5"/>
        <v>39337</v>
      </c>
      <c r="U35" s="333">
        <f t="shared" ref="U35:V35" si="74">U31+U22+U8</f>
        <v>30496</v>
      </c>
      <c r="V35" s="333">
        <f t="shared" si="74"/>
        <v>9448</v>
      </c>
      <c r="W35" s="333">
        <f t="shared" si="6"/>
        <v>39944</v>
      </c>
      <c r="X35" s="333">
        <f t="shared" ref="X35:Y35" si="75">X31+X22+X8</f>
        <v>30496</v>
      </c>
      <c r="Y35" s="333">
        <f t="shared" si="75"/>
        <v>9528</v>
      </c>
      <c r="Z35" s="333">
        <f t="shared" si="7"/>
        <v>40024</v>
      </c>
    </row>
    <row r="36" spans="1:26" x14ac:dyDescent="0.25">
      <c r="A36" s="350" t="s">
        <v>309</v>
      </c>
      <c r="B36" s="351" t="s">
        <v>334</v>
      </c>
      <c r="C36" s="352">
        <f t="shared" ref="C36:D36" si="76">SUM(C37:C41)</f>
        <v>23588</v>
      </c>
      <c r="D36" s="352">
        <f t="shared" si="76"/>
        <v>10094</v>
      </c>
      <c r="E36" s="352">
        <f t="shared" si="0"/>
        <v>33682</v>
      </c>
      <c r="F36" s="352">
        <f t="shared" ref="F36:G36" si="77">SUM(F37:F41)</f>
        <v>24122</v>
      </c>
      <c r="G36" s="352">
        <f t="shared" si="77"/>
        <v>10094</v>
      </c>
      <c r="H36" s="352">
        <f t="shared" si="1"/>
        <v>34216</v>
      </c>
      <c r="I36" s="352">
        <f t="shared" ref="I36:J36" si="78">SUM(I37:I41)</f>
        <v>24122</v>
      </c>
      <c r="J36" s="352">
        <f t="shared" si="78"/>
        <v>10094</v>
      </c>
      <c r="K36" s="352">
        <f t="shared" si="2"/>
        <v>34216</v>
      </c>
      <c r="L36" s="352">
        <f t="shared" ref="L36:M36" si="79">SUM(L37:L41)</f>
        <v>23293</v>
      </c>
      <c r="M36" s="352">
        <f t="shared" si="79"/>
        <v>6660</v>
      </c>
      <c r="N36" s="352">
        <f t="shared" si="3"/>
        <v>29953</v>
      </c>
      <c r="O36" s="352">
        <f t="shared" ref="O36:P36" si="80">SUM(O37:O41)</f>
        <v>28314.5</v>
      </c>
      <c r="P36" s="352">
        <f t="shared" si="80"/>
        <v>9138</v>
      </c>
      <c r="Q36" s="352">
        <f t="shared" si="4"/>
        <v>37452.5</v>
      </c>
      <c r="R36" s="352">
        <f t="shared" ref="R36:S36" si="81">SUM(R37:R41)</f>
        <v>27905</v>
      </c>
      <c r="S36" s="352">
        <f t="shared" si="81"/>
        <v>9138</v>
      </c>
      <c r="T36" s="352">
        <f t="shared" si="5"/>
        <v>37043</v>
      </c>
      <c r="U36" s="352">
        <f t="shared" ref="U36:V36" si="82">SUM(U37:U41)</f>
        <v>27845</v>
      </c>
      <c r="V36" s="352">
        <f t="shared" si="82"/>
        <v>9198</v>
      </c>
      <c r="W36" s="352">
        <f t="shared" si="6"/>
        <v>37043</v>
      </c>
      <c r="X36" s="352">
        <f t="shared" ref="X36:Y36" si="83">SUM(X37:X41)</f>
        <v>27845</v>
      </c>
      <c r="Y36" s="352">
        <f t="shared" si="83"/>
        <v>9278</v>
      </c>
      <c r="Z36" s="352">
        <f t="shared" si="7"/>
        <v>37123</v>
      </c>
    </row>
    <row r="37" spans="1:26" x14ac:dyDescent="0.25">
      <c r="A37" s="353" t="s">
        <v>311</v>
      </c>
      <c r="B37" s="354" t="s">
        <v>286</v>
      </c>
      <c r="C37" s="355">
        <f>'5 GSZNR fel'!E76+'5 GSZNR fel'!E82</f>
        <v>13135</v>
      </c>
      <c r="D37" s="355">
        <f>'5 GSZNR fel'!E88</f>
        <v>4252</v>
      </c>
      <c r="E37" s="355">
        <f t="shared" si="0"/>
        <v>17387</v>
      </c>
      <c r="F37" s="355">
        <f>'5 GSZNR fel'!H76+'5 GSZNR fel'!H82</f>
        <v>13135</v>
      </c>
      <c r="G37" s="355">
        <f>'5 GSZNR fel'!H88</f>
        <v>4252</v>
      </c>
      <c r="H37" s="355">
        <f t="shared" si="1"/>
        <v>17387</v>
      </c>
      <c r="I37" s="355">
        <f>'5 GSZNR fel'!K76+'5 GSZNR fel'!K82</f>
        <v>13135</v>
      </c>
      <c r="J37" s="355">
        <f>'5 GSZNR fel'!K88</f>
        <v>4252</v>
      </c>
      <c r="K37" s="355">
        <f t="shared" si="2"/>
        <v>17387</v>
      </c>
      <c r="L37" s="355">
        <f>'5 GSZNR fel'!N76+'5 GSZNR fel'!N82</f>
        <v>13086</v>
      </c>
      <c r="M37" s="355">
        <f>'5 GSZNR fel'!N88</f>
        <v>3002</v>
      </c>
      <c r="N37" s="355">
        <f t="shared" si="3"/>
        <v>16088</v>
      </c>
      <c r="O37" s="921">
        <f>'5 GSZNR fel'!Q76+'5 GSZNR fel'!Q82</f>
        <v>13123</v>
      </c>
      <c r="P37" s="921">
        <f>'5 GSZNR fel'!Q88</f>
        <v>6146</v>
      </c>
      <c r="Q37" s="921">
        <f t="shared" si="4"/>
        <v>19269</v>
      </c>
      <c r="R37" s="355">
        <f>'5 GSZNR fel'!T76+'5 GSZNR fel'!T82</f>
        <v>13123</v>
      </c>
      <c r="S37" s="355">
        <f>'5 GSZNR fel'!T88</f>
        <v>6146</v>
      </c>
      <c r="T37" s="355">
        <f t="shared" si="5"/>
        <v>19269</v>
      </c>
      <c r="U37" s="355">
        <f>'5 GSZNR fel'!W76+'5 GSZNR fel'!W82</f>
        <v>13063</v>
      </c>
      <c r="V37" s="355">
        <f>'5 GSZNR fel'!W88</f>
        <v>6206</v>
      </c>
      <c r="W37" s="355">
        <f t="shared" si="6"/>
        <v>19269</v>
      </c>
      <c r="X37" s="921">
        <f>'5 GSZNR fel'!Z76+'5 GSZNR fel'!Z82</f>
        <v>12914</v>
      </c>
      <c r="Y37" s="921">
        <f>'5 GSZNR fel'!Z88</f>
        <v>6206</v>
      </c>
      <c r="Z37" s="921">
        <f t="shared" si="7"/>
        <v>19120</v>
      </c>
    </row>
    <row r="38" spans="1:26" x14ac:dyDescent="0.25">
      <c r="A38" s="353" t="s">
        <v>322</v>
      </c>
      <c r="B38" s="354" t="s">
        <v>335</v>
      </c>
      <c r="C38" s="355">
        <f>'5 GSZNR fel'!E77+'5 GSZNR fel'!E83</f>
        <v>2634</v>
      </c>
      <c r="D38" s="355">
        <f>'5 GSZNR fel'!E89</f>
        <v>1011</v>
      </c>
      <c r="E38" s="355">
        <f t="shared" si="0"/>
        <v>3645</v>
      </c>
      <c r="F38" s="355">
        <f>'5 GSZNR fel'!H77+'5 GSZNR fel'!H83</f>
        <v>2634</v>
      </c>
      <c r="G38" s="355">
        <f>'5 GSZNR fel'!H89</f>
        <v>1011</v>
      </c>
      <c r="H38" s="355">
        <f t="shared" si="1"/>
        <v>3645</v>
      </c>
      <c r="I38" s="355">
        <f>'5 GSZNR fel'!K77+'5 GSZNR fel'!K83</f>
        <v>2634</v>
      </c>
      <c r="J38" s="355">
        <f>'5 GSZNR fel'!K89</f>
        <v>1011</v>
      </c>
      <c r="K38" s="355">
        <f t="shared" si="2"/>
        <v>3645</v>
      </c>
      <c r="L38" s="355">
        <f>'5 GSZNR fel'!N77+'5 GSZNR fel'!N83</f>
        <v>2874</v>
      </c>
      <c r="M38" s="355">
        <f>'5 GSZNR fel'!N89</f>
        <v>696</v>
      </c>
      <c r="N38" s="355">
        <f t="shared" si="3"/>
        <v>3570</v>
      </c>
      <c r="O38" s="921">
        <f>'5 GSZNR fel'!Q77+'5 GSZNR fel'!Q83</f>
        <v>2493</v>
      </c>
      <c r="P38" s="921">
        <f>'5 GSZNR fel'!Q89</f>
        <v>1168</v>
      </c>
      <c r="Q38" s="921">
        <f t="shared" si="4"/>
        <v>3661</v>
      </c>
      <c r="R38" s="355">
        <f>'5 GSZNR fel'!T77+'5 GSZNR fel'!T83</f>
        <v>2493</v>
      </c>
      <c r="S38" s="355">
        <f>'5 GSZNR fel'!T89</f>
        <v>1168</v>
      </c>
      <c r="T38" s="355">
        <f t="shared" si="5"/>
        <v>3661</v>
      </c>
      <c r="U38" s="355">
        <f>'5 GSZNR fel'!W77+'5 GSZNR fel'!W83</f>
        <v>2493</v>
      </c>
      <c r="V38" s="355">
        <f>'5 GSZNR fel'!W89</f>
        <v>1168</v>
      </c>
      <c r="W38" s="355">
        <f t="shared" si="6"/>
        <v>3661</v>
      </c>
      <c r="X38" s="921">
        <f>'5 GSZNR fel'!Z77+'5 GSZNR fel'!Z83</f>
        <v>2642</v>
      </c>
      <c r="Y38" s="921">
        <f>'5 GSZNR fel'!Z89</f>
        <v>1168</v>
      </c>
      <c r="Z38" s="921">
        <f t="shared" si="7"/>
        <v>3810</v>
      </c>
    </row>
    <row r="39" spans="1:26" x14ac:dyDescent="0.25">
      <c r="A39" s="353" t="s">
        <v>315</v>
      </c>
      <c r="B39" s="354" t="s">
        <v>292</v>
      </c>
      <c r="C39" s="355">
        <f>'5 GSZNR fel'!E78+'5 GSZNR fel'!E84</f>
        <v>7819</v>
      </c>
      <c r="D39" s="355">
        <f>'5 GSZNR fel'!E90</f>
        <v>4831</v>
      </c>
      <c r="E39" s="355">
        <f t="shared" si="0"/>
        <v>12650</v>
      </c>
      <c r="F39" s="355">
        <f>'5 GSZNR fel'!H78+'5 GSZNR fel'!H84</f>
        <v>8058</v>
      </c>
      <c r="G39" s="355">
        <f>'5 GSZNR fel'!H90</f>
        <v>4831</v>
      </c>
      <c r="H39" s="355">
        <f t="shared" si="1"/>
        <v>12889</v>
      </c>
      <c r="I39" s="355">
        <f>'5 GSZNR fel'!K78+'5 GSZNR fel'!K84</f>
        <v>8058</v>
      </c>
      <c r="J39" s="355">
        <f>'5 GSZNR fel'!K90</f>
        <v>4831</v>
      </c>
      <c r="K39" s="355">
        <f t="shared" si="2"/>
        <v>12889</v>
      </c>
      <c r="L39" s="355">
        <f>'5 GSZNR fel'!N78+'5 GSZNR fel'!N84</f>
        <v>7038</v>
      </c>
      <c r="M39" s="355">
        <f>'5 GSZNR fel'!N90</f>
        <v>2962</v>
      </c>
      <c r="N39" s="355">
        <f t="shared" si="3"/>
        <v>10000</v>
      </c>
      <c r="O39" s="921">
        <f>'5 GSZNR fel'!Q78+'5 GSZNR fel'!Q84</f>
        <v>12698.5</v>
      </c>
      <c r="P39" s="921">
        <f>'5 GSZNR fel'!Q90</f>
        <v>1824</v>
      </c>
      <c r="Q39" s="921">
        <f t="shared" si="4"/>
        <v>14522.5</v>
      </c>
      <c r="R39" s="355">
        <f>'5 GSZNR fel'!T78+'5 GSZNR fel'!T84</f>
        <v>12289</v>
      </c>
      <c r="S39" s="355">
        <f>'5 GSZNR fel'!T90</f>
        <v>1824</v>
      </c>
      <c r="T39" s="355">
        <f t="shared" si="5"/>
        <v>14113</v>
      </c>
      <c r="U39" s="355">
        <f>'5 GSZNR fel'!W78+'5 GSZNR fel'!W84</f>
        <v>12289</v>
      </c>
      <c r="V39" s="355">
        <f>'5 GSZNR fel'!W90</f>
        <v>1824</v>
      </c>
      <c r="W39" s="355">
        <f t="shared" si="6"/>
        <v>14113</v>
      </c>
      <c r="X39" s="921">
        <f>'5 GSZNR fel'!Z78+'5 GSZNR fel'!Z84</f>
        <v>12289</v>
      </c>
      <c r="Y39" s="921">
        <f>'5 GSZNR fel'!Z90</f>
        <v>1904</v>
      </c>
      <c r="Z39" s="921">
        <f t="shared" si="7"/>
        <v>14193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fel'!H79</f>
        <v>295</v>
      </c>
      <c r="G41" s="355">
        <v>0</v>
      </c>
      <c r="H41" s="355">
        <f t="shared" si="1"/>
        <v>295</v>
      </c>
      <c r="I41" s="355">
        <f>+'5 GSZNR fel'!K79</f>
        <v>295</v>
      </c>
      <c r="J41" s="355">
        <v>0</v>
      </c>
      <c r="K41" s="355">
        <f t="shared" si="2"/>
        <v>295</v>
      </c>
      <c r="L41" s="355">
        <f>+'5 GSZNR fel'!N79</f>
        <v>295</v>
      </c>
      <c r="M41" s="355">
        <v>0</v>
      </c>
      <c r="N41" s="355">
        <f t="shared" si="3"/>
        <v>295</v>
      </c>
      <c r="O41" s="921">
        <f>+'5 GSZNR fel'!Q79</f>
        <v>0</v>
      </c>
      <c r="P41" s="921">
        <v>0</v>
      </c>
      <c r="Q41" s="921">
        <f t="shared" si="4"/>
        <v>0</v>
      </c>
      <c r="R41" s="355">
        <f>+'5 GSZNR fel'!T79</f>
        <v>0</v>
      </c>
      <c r="S41" s="355">
        <v>0</v>
      </c>
      <c r="T41" s="355">
        <f t="shared" si="5"/>
        <v>0</v>
      </c>
      <c r="U41" s="355">
        <f>+'5 GSZNR fel'!W79</f>
        <v>0</v>
      </c>
      <c r="V41" s="355">
        <v>0</v>
      </c>
      <c r="W41" s="355">
        <f t="shared" si="6"/>
        <v>0</v>
      </c>
      <c r="X41" s="921">
        <f>+'5 GSZNR fel'!Z79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4">SUM(C43:C45)</f>
        <v>3346</v>
      </c>
      <c r="D42" s="352">
        <f t="shared" si="84"/>
        <v>0</v>
      </c>
      <c r="E42" s="352">
        <f t="shared" si="0"/>
        <v>3346</v>
      </c>
      <c r="F42" s="352">
        <f>SUM(F43:F45)</f>
        <v>3760</v>
      </c>
      <c r="G42" s="352">
        <f t="shared" ref="G42" si="85">SUM(G43:G45)</f>
        <v>0</v>
      </c>
      <c r="H42" s="352">
        <f t="shared" si="1"/>
        <v>3760</v>
      </c>
      <c r="I42" s="352">
        <f>SUM(I43:I45)</f>
        <v>3353</v>
      </c>
      <c r="J42" s="352">
        <f t="shared" ref="J42" si="86">SUM(J43:J45)</f>
        <v>407</v>
      </c>
      <c r="K42" s="352">
        <f t="shared" si="2"/>
        <v>3760</v>
      </c>
      <c r="L42" s="352">
        <f>SUM(L43:L45)</f>
        <v>2079</v>
      </c>
      <c r="M42" s="352">
        <f t="shared" ref="M42" si="87">SUM(M43:M45)</f>
        <v>129</v>
      </c>
      <c r="N42" s="352">
        <f t="shared" si="3"/>
        <v>2208</v>
      </c>
      <c r="O42" s="352">
        <f>SUM(O43:O45)</f>
        <v>521</v>
      </c>
      <c r="P42" s="352">
        <f t="shared" ref="P42" si="88">SUM(P43:P45)</f>
        <v>250</v>
      </c>
      <c r="Q42" s="352">
        <f t="shared" si="4"/>
        <v>771</v>
      </c>
      <c r="R42" s="352">
        <f>SUM(R43:R45)</f>
        <v>2044</v>
      </c>
      <c r="S42" s="352">
        <f t="shared" ref="S42" si="89">SUM(S43:S45)</f>
        <v>250</v>
      </c>
      <c r="T42" s="352">
        <f t="shared" si="5"/>
        <v>2294</v>
      </c>
      <c r="U42" s="352">
        <f>SUM(U43:U45)</f>
        <v>2651</v>
      </c>
      <c r="V42" s="352">
        <f t="shared" ref="V42" si="90">SUM(V43:V45)</f>
        <v>250</v>
      </c>
      <c r="W42" s="352">
        <f t="shared" si="6"/>
        <v>2901</v>
      </c>
      <c r="X42" s="352">
        <f>SUM(X43:X45)</f>
        <v>2651</v>
      </c>
      <c r="Y42" s="352">
        <f t="shared" ref="Y42" si="91">SUM(Y43:Y45)</f>
        <v>250</v>
      </c>
      <c r="Z42" s="352">
        <f t="shared" si="7"/>
        <v>2901</v>
      </c>
    </row>
    <row r="43" spans="1:26" x14ac:dyDescent="0.25">
      <c r="A43" s="353" t="s">
        <v>311</v>
      </c>
      <c r="B43" s="354" t="s">
        <v>341</v>
      </c>
      <c r="C43" s="355">
        <f>'5 GSZNR fel'!E80+'5 GSZNR fel'!E85</f>
        <v>3346</v>
      </c>
      <c r="D43" s="355">
        <f>'5 GSZNR fel'!D80+'5 GSZNR fel'!D85+'5 GSZNR fel'!D91</f>
        <v>0</v>
      </c>
      <c r="E43" s="355">
        <f t="shared" si="0"/>
        <v>3346</v>
      </c>
      <c r="F43" s="355">
        <f>'5 GSZNR fel'!H80+'5 GSZNR fel'!H85+'5 GSZNR fel'!H91</f>
        <v>3760</v>
      </c>
      <c r="G43" s="355">
        <f>'5 GSZNR fel'!I80+'5 GSZNR fel'!I85+'5 GSZNR fel'!I91</f>
        <v>0</v>
      </c>
      <c r="H43" s="355">
        <f t="shared" si="1"/>
        <v>3760</v>
      </c>
      <c r="I43" s="355">
        <f>'5 GSZNR fel'!K80+'5 GSZNR fel'!K85</f>
        <v>3353</v>
      </c>
      <c r="J43" s="355">
        <f>'5 GSZNR fel'!K91</f>
        <v>407</v>
      </c>
      <c r="K43" s="355">
        <f t="shared" si="2"/>
        <v>3760</v>
      </c>
      <c r="L43" s="355">
        <f>'5 GSZNR fel'!N80+'5 GSZNR fel'!N85</f>
        <v>2079</v>
      </c>
      <c r="M43" s="355">
        <f>'5 GSZNR fel'!N91</f>
        <v>129</v>
      </c>
      <c r="N43" s="355">
        <f t="shared" si="3"/>
        <v>2208</v>
      </c>
      <c r="O43" s="921">
        <f>'5 GSZNR fel'!Q80+'5 GSZNR fel'!Q85</f>
        <v>521</v>
      </c>
      <c r="P43" s="921">
        <f>'5 GSZNR fel'!Q91</f>
        <v>250</v>
      </c>
      <c r="Q43" s="921">
        <f t="shared" si="4"/>
        <v>771</v>
      </c>
      <c r="R43" s="355">
        <f>'5 GSZNR fel'!T80+'5 GSZNR fel'!T85</f>
        <v>2044</v>
      </c>
      <c r="S43" s="355">
        <f>'5 GSZNR fel'!T91</f>
        <v>250</v>
      </c>
      <c r="T43" s="355">
        <f t="shared" si="5"/>
        <v>2294</v>
      </c>
      <c r="U43" s="355">
        <f>'5 GSZNR fel'!W80+'5 GSZNR fel'!W85</f>
        <v>2651</v>
      </c>
      <c r="V43" s="355">
        <f>'5 GSZNR fel'!W91</f>
        <v>250</v>
      </c>
      <c r="W43" s="355">
        <f t="shared" si="6"/>
        <v>2901</v>
      </c>
      <c r="X43" s="921">
        <f>'5 GSZNR fel'!Z80+'5 GSZNR fel'!Z85</f>
        <v>2651</v>
      </c>
      <c r="Y43" s="921">
        <f>'5 GSZNR fel'!Z91</f>
        <v>250</v>
      </c>
      <c r="Z43" s="921">
        <f t="shared" si="7"/>
        <v>2901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2">C36+C42</f>
        <v>26934</v>
      </c>
      <c r="D46" s="333">
        <f t="shared" si="92"/>
        <v>10094</v>
      </c>
      <c r="E46" s="333">
        <f t="shared" si="0"/>
        <v>37028</v>
      </c>
      <c r="F46" s="333">
        <f t="shared" ref="F46:G46" si="93">F36+F42</f>
        <v>27882</v>
      </c>
      <c r="G46" s="333">
        <f t="shared" si="93"/>
        <v>10094</v>
      </c>
      <c r="H46" s="333">
        <f t="shared" si="1"/>
        <v>37976</v>
      </c>
      <c r="I46" s="333">
        <f t="shared" ref="I46:J46" si="94">I36+I42</f>
        <v>27475</v>
      </c>
      <c r="J46" s="333">
        <f t="shared" si="94"/>
        <v>10501</v>
      </c>
      <c r="K46" s="333">
        <f t="shared" si="2"/>
        <v>37976</v>
      </c>
      <c r="L46" s="333">
        <f t="shared" ref="L46:M46" si="95">L36+L42</f>
        <v>25372</v>
      </c>
      <c r="M46" s="333">
        <f t="shared" si="95"/>
        <v>6789</v>
      </c>
      <c r="N46" s="333">
        <f t="shared" si="3"/>
        <v>32161</v>
      </c>
      <c r="O46" s="333">
        <f t="shared" ref="O46:P46" si="96">O36+O42</f>
        <v>28835.5</v>
      </c>
      <c r="P46" s="333">
        <f t="shared" si="96"/>
        <v>9388</v>
      </c>
      <c r="Q46" s="333">
        <f t="shared" si="4"/>
        <v>38223.5</v>
      </c>
      <c r="R46" s="333">
        <f t="shared" ref="R46:S46" si="97">R36+R42</f>
        <v>29949</v>
      </c>
      <c r="S46" s="333">
        <f t="shared" si="97"/>
        <v>9388</v>
      </c>
      <c r="T46" s="333">
        <f t="shared" si="5"/>
        <v>39337</v>
      </c>
      <c r="U46" s="333">
        <f t="shared" ref="U46:V46" si="98">U36+U42</f>
        <v>30496</v>
      </c>
      <c r="V46" s="333">
        <f t="shared" si="98"/>
        <v>9448</v>
      </c>
      <c r="W46" s="333">
        <f t="shared" si="6"/>
        <v>39944</v>
      </c>
      <c r="X46" s="333">
        <f t="shared" ref="X46:Y46" si="99">X36+X42</f>
        <v>30496</v>
      </c>
      <c r="Y46" s="333">
        <f t="shared" si="99"/>
        <v>9528</v>
      </c>
      <c r="Z46" s="333">
        <f t="shared" si="7"/>
        <v>40024</v>
      </c>
    </row>
  </sheetData>
  <mergeCells count="10">
    <mergeCell ref="X4:Z4"/>
    <mergeCell ref="U4:W4"/>
    <mergeCell ref="A4:A5"/>
    <mergeCell ref="B4:B5"/>
    <mergeCell ref="F4:H4"/>
    <mergeCell ref="C4:E4"/>
    <mergeCell ref="R4:T4"/>
    <mergeCell ref="L4:N4"/>
    <mergeCell ref="O4:Q4"/>
    <mergeCell ref="I4:K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9" fitToHeight="0" orientation="portrait" copies="2" r:id="rId1"/>
  <headerFooter>
    <oddHeader>&amp;L4/E.  melléklet a ...../2020. (.......) önkormányzati rendelethez&amp;C&amp;"-,Félkövér"&amp;16
A Volf György Könyvtár és Helytörténeti Gyűjtemény 2019. évi bevételei és kiadásai jogcímenként és feladatonként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14" sqref="O14"/>
    </sheetView>
  </sheetViews>
  <sheetFormatPr defaultRowHeight="15" x14ac:dyDescent="0.25"/>
  <cols>
    <col min="1" max="1" width="7.140625" style="31" customWidth="1"/>
    <col min="2" max="2" width="51.85546875" customWidth="1"/>
    <col min="3" max="3" width="11.140625" hidden="1" customWidth="1"/>
    <col min="4" max="5" width="9" hidden="1" customWidth="1"/>
    <col min="6" max="6" width="9.7109375" hidden="1" customWidth="1"/>
    <col min="7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15" customHeight="1" x14ac:dyDescent="0.25">
      <c r="A2" s="346" t="s">
        <v>303</v>
      </c>
      <c r="B2" s="779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ht="15" customHeight="1" x14ac:dyDescent="0.25">
      <c r="A3" s="346" t="s">
        <v>304</v>
      </c>
      <c r="B3" s="346" t="s">
        <v>1511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66.400000000000006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1729</v>
      </c>
      <c r="V4" s="1005"/>
      <c r="W4" s="1006"/>
      <c r="X4" s="1004" t="s">
        <v>1743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17</v>
      </c>
      <c r="D6" s="349"/>
      <c r="E6" s="349">
        <f t="shared" ref="E6:E46" si="0">SUM(C6:D6)</f>
        <v>17</v>
      </c>
      <c r="F6" s="349">
        <v>17</v>
      </c>
      <c r="G6" s="349"/>
      <c r="H6" s="349">
        <f t="shared" ref="H6:H46" si="1">SUM(F6:G6)</f>
        <v>17</v>
      </c>
      <c r="I6" s="349">
        <v>17</v>
      </c>
      <c r="J6" s="349"/>
      <c r="K6" s="349">
        <f t="shared" ref="K6:K46" si="2">SUM(I6:J6)</f>
        <v>17</v>
      </c>
      <c r="L6" s="349">
        <v>17</v>
      </c>
      <c r="M6" s="349"/>
      <c r="N6" s="349">
        <f t="shared" ref="N6:N46" si="3">SUM(L6:M6)</f>
        <v>17</v>
      </c>
      <c r="O6" s="936">
        <v>17</v>
      </c>
      <c r="P6" s="936"/>
      <c r="Q6" s="936">
        <f t="shared" ref="Q6:Q46" si="4">SUM(O6:P6)</f>
        <v>17</v>
      </c>
      <c r="R6" s="349">
        <v>17</v>
      </c>
      <c r="S6" s="349"/>
      <c r="T6" s="349">
        <f t="shared" ref="T6:T46" si="5">SUM(R6:S6)</f>
        <v>17</v>
      </c>
      <c r="U6" s="349">
        <v>18</v>
      </c>
      <c r="V6" s="349"/>
      <c r="W6" s="349">
        <f t="shared" ref="W6:W46" si="6">SUM(U6:V6)</f>
        <v>18</v>
      </c>
      <c r="X6" s="936">
        <v>18</v>
      </c>
      <c r="Y6" s="936"/>
      <c r="Z6" s="936">
        <f t="shared" ref="Z6:Z46" si="7">SUM(X6:Y6)</f>
        <v>18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7671</v>
      </c>
      <c r="D8" s="352">
        <f t="shared" si="8"/>
        <v>0</v>
      </c>
      <c r="E8" s="352">
        <f t="shared" si="0"/>
        <v>7671</v>
      </c>
      <c r="F8" s="352">
        <f t="shared" ref="F8:G8" si="9">F9+F11+F20</f>
        <v>7671</v>
      </c>
      <c r="G8" s="352">
        <f t="shared" si="9"/>
        <v>0</v>
      </c>
      <c r="H8" s="352">
        <f t="shared" si="1"/>
        <v>7671</v>
      </c>
      <c r="I8" s="352">
        <f t="shared" ref="I8:J8" si="10">I9+I11+I20</f>
        <v>6731</v>
      </c>
      <c r="J8" s="352">
        <f t="shared" si="10"/>
        <v>0</v>
      </c>
      <c r="K8" s="352">
        <f t="shared" si="2"/>
        <v>6731</v>
      </c>
      <c r="L8" s="352">
        <f t="shared" ref="L8:M8" si="11">L9+L11+L20</f>
        <v>7875</v>
      </c>
      <c r="M8" s="352">
        <f t="shared" si="11"/>
        <v>0</v>
      </c>
      <c r="N8" s="352">
        <f t="shared" si="3"/>
        <v>7875</v>
      </c>
      <c r="O8" s="352">
        <f t="shared" ref="O8:P8" si="12">O9+O11+O20</f>
        <v>7671</v>
      </c>
      <c r="P8" s="352">
        <f t="shared" si="12"/>
        <v>0</v>
      </c>
      <c r="Q8" s="352">
        <f t="shared" si="4"/>
        <v>7671</v>
      </c>
      <c r="R8" s="352">
        <f t="shared" ref="R8:S8" si="13">R9+R11+R20</f>
        <v>7671</v>
      </c>
      <c r="S8" s="352">
        <f t="shared" si="13"/>
        <v>0</v>
      </c>
      <c r="T8" s="352">
        <f t="shared" si="5"/>
        <v>7671</v>
      </c>
      <c r="U8" s="352">
        <f t="shared" ref="U8:V8" si="14">U9+U11+U20</f>
        <v>7671</v>
      </c>
      <c r="V8" s="352">
        <f t="shared" si="14"/>
        <v>0</v>
      </c>
      <c r="W8" s="352">
        <f t="shared" si="6"/>
        <v>7671</v>
      </c>
      <c r="X8" s="352">
        <f t="shared" ref="X8:Y8" si="15">X9+X11+X20</f>
        <v>7671</v>
      </c>
      <c r="Y8" s="352">
        <f t="shared" si="15"/>
        <v>0</v>
      </c>
      <c r="Z8" s="352">
        <f t="shared" si="7"/>
        <v>7671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C12+C13+C14+C15+C16+C17+C18+C19</f>
        <v>7671</v>
      </c>
      <c r="D11" s="355">
        <f t="shared" si="17"/>
        <v>0</v>
      </c>
      <c r="E11" s="355">
        <f t="shared" si="0"/>
        <v>7671</v>
      </c>
      <c r="F11" s="355">
        <f t="shared" ref="F11:G11" si="18">F12+F13+F14+F15+F16+F17+F18+F19</f>
        <v>7671</v>
      </c>
      <c r="G11" s="355">
        <f t="shared" si="18"/>
        <v>0</v>
      </c>
      <c r="H11" s="355">
        <f t="shared" si="1"/>
        <v>7671</v>
      </c>
      <c r="I11" s="355">
        <f t="shared" ref="I11:J11" si="19">I12+I13+I14+I15+I16+I17+I18+I19</f>
        <v>6731</v>
      </c>
      <c r="J11" s="355">
        <f t="shared" si="19"/>
        <v>0</v>
      </c>
      <c r="K11" s="355">
        <f t="shared" si="2"/>
        <v>6731</v>
      </c>
      <c r="L11" s="355">
        <f t="shared" ref="L11:M11" si="20">L12+L13+L14+L15+L16+L17+L18+L19</f>
        <v>7875</v>
      </c>
      <c r="M11" s="355">
        <f t="shared" si="20"/>
        <v>0</v>
      </c>
      <c r="N11" s="355">
        <f t="shared" si="3"/>
        <v>7875</v>
      </c>
      <c r="O11" s="355">
        <f t="shared" ref="O11:P11" si="21">O12+O13+O14+O15+O16+O17+O18+O19</f>
        <v>7671</v>
      </c>
      <c r="P11" s="355">
        <f t="shared" si="21"/>
        <v>0</v>
      </c>
      <c r="Q11" s="355">
        <f t="shared" si="4"/>
        <v>7671</v>
      </c>
      <c r="R11" s="355">
        <f t="shared" ref="R11:S11" si="22">R12+R13+R14+R15+R16+R17+R18+R19</f>
        <v>7671</v>
      </c>
      <c r="S11" s="355">
        <f t="shared" si="22"/>
        <v>0</v>
      </c>
      <c r="T11" s="355">
        <f t="shared" si="5"/>
        <v>7671</v>
      </c>
      <c r="U11" s="355">
        <f t="shared" ref="U11:V11" si="23">U12+U13+U14+U15+U16+U17+U18+U19</f>
        <v>7671</v>
      </c>
      <c r="V11" s="355">
        <f t="shared" si="23"/>
        <v>0</v>
      </c>
      <c r="W11" s="355">
        <f t="shared" si="6"/>
        <v>7671</v>
      </c>
      <c r="X11" s="355">
        <f t="shared" ref="X11:Y11" si="24">X12+X13+X14+X15+X16+X17+X18+X19</f>
        <v>7671</v>
      </c>
      <c r="Y11" s="355">
        <f t="shared" si="24"/>
        <v>0</v>
      </c>
      <c r="Z11" s="355">
        <f t="shared" si="7"/>
        <v>7671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273">
        <v>0</v>
      </c>
      <c r="D13" s="273">
        <v>0</v>
      </c>
      <c r="E13" s="273">
        <f t="shared" si="0"/>
        <v>0</v>
      </c>
      <c r="F13" s="273">
        <v>0</v>
      </c>
      <c r="G13" s="273">
        <v>0</v>
      </c>
      <c r="H13" s="273">
        <f t="shared" si="1"/>
        <v>0</v>
      </c>
      <c r="I13" s="273">
        <v>0</v>
      </c>
      <c r="J13" s="273">
        <v>0</v>
      </c>
      <c r="K13" s="273">
        <f t="shared" si="2"/>
        <v>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6040</v>
      </c>
      <c r="D15" s="273">
        <v>0</v>
      </c>
      <c r="E15" s="273">
        <f t="shared" si="0"/>
        <v>6040</v>
      </c>
      <c r="F15" s="273">
        <v>6040</v>
      </c>
      <c r="G15" s="273">
        <v>0</v>
      </c>
      <c r="H15" s="273">
        <f t="shared" si="1"/>
        <v>6040</v>
      </c>
      <c r="I15" s="273">
        <v>5300</v>
      </c>
      <c r="J15" s="273">
        <v>0</v>
      </c>
      <c r="K15" s="273">
        <f t="shared" si="2"/>
        <v>5300</v>
      </c>
      <c r="L15" s="273">
        <v>6324</v>
      </c>
      <c r="M15" s="273">
        <v>0</v>
      </c>
      <c r="N15" s="273">
        <f t="shared" si="3"/>
        <v>6324</v>
      </c>
      <c r="O15" s="923">
        <v>6040</v>
      </c>
      <c r="P15" s="923">
        <v>0</v>
      </c>
      <c r="Q15" s="923">
        <f t="shared" si="4"/>
        <v>6040</v>
      </c>
      <c r="R15" s="273">
        <v>6040</v>
      </c>
      <c r="S15" s="273">
        <v>0</v>
      </c>
      <c r="T15" s="273">
        <f t="shared" si="5"/>
        <v>6040</v>
      </c>
      <c r="U15" s="273">
        <v>6040</v>
      </c>
      <c r="V15" s="273">
        <v>0</v>
      </c>
      <c r="W15" s="273">
        <f t="shared" si="6"/>
        <v>6040</v>
      </c>
      <c r="X15" s="923">
        <v>6040</v>
      </c>
      <c r="Y15" s="923">
        <v>0</v>
      </c>
      <c r="Z15" s="923">
        <f t="shared" si="7"/>
        <v>6040</v>
      </c>
    </row>
    <row r="16" spans="1:26" x14ac:dyDescent="0.25">
      <c r="A16" s="392"/>
      <c r="B16" s="356" t="s">
        <v>665</v>
      </c>
      <c r="C16" s="273">
        <v>1631</v>
      </c>
      <c r="D16" s="273">
        <v>0</v>
      </c>
      <c r="E16" s="273">
        <f t="shared" si="0"/>
        <v>1631</v>
      </c>
      <c r="F16" s="273">
        <v>1631</v>
      </c>
      <c r="G16" s="273">
        <v>0</v>
      </c>
      <c r="H16" s="273">
        <f t="shared" si="1"/>
        <v>1631</v>
      </c>
      <c r="I16" s="273">
        <v>1431</v>
      </c>
      <c r="J16" s="273">
        <v>0</v>
      </c>
      <c r="K16" s="273">
        <f t="shared" si="2"/>
        <v>1431</v>
      </c>
      <c r="L16" s="273">
        <v>1549</v>
      </c>
      <c r="M16" s="273">
        <v>0</v>
      </c>
      <c r="N16" s="273">
        <f t="shared" si="3"/>
        <v>1549</v>
      </c>
      <c r="O16" s="923">
        <v>1631</v>
      </c>
      <c r="P16" s="923">
        <v>0</v>
      </c>
      <c r="Q16" s="923">
        <f t="shared" si="4"/>
        <v>1631</v>
      </c>
      <c r="R16" s="273">
        <v>1631</v>
      </c>
      <c r="S16" s="273">
        <v>0</v>
      </c>
      <c r="T16" s="273">
        <f t="shared" si="5"/>
        <v>1631</v>
      </c>
      <c r="U16" s="273">
        <v>1631</v>
      </c>
      <c r="V16" s="273">
        <v>0</v>
      </c>
      <c r="W16" s="273">
        <f t="shared" si="6"/>
        <v>1631</v>
      </c>
      <c r="X16" s="923">
        <v>1631</v>
      </c>
      <c r="Y16" s="923">
        <v>0</v>
      </c>
      <c r="Z16" s="923">
        <f t="shared" si="7"/>
        <v>1631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0</v>
      </c>
      <c r="M17" s="273">
        <v>0</v>
      </c>
      <c r="N17" s="273">
        <f t="shared" si="3"/>
        <v>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2</v>
      </c>
      <c r="M19" s="273">
        <v>0</v>
      </c>
      <c r="N19" s="273">
        <f t="shared" si="3"/>
        <v>2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7671</v>
      </c>
      <c r="D30" s="360">
        <f t="shared" si="44"/>
        <v>0</v>
      </c>
      <c r="E30" s="360">
        <f t="shared" si="0"/>
        <v>7671</v>
      </c>
      <c r="F30" s="360">
        <f t="shared" ref="F30:G30" si="45">F22+F8</f>
        <v>7671</v>
      </c>
      <c r="G30" s="360">
        <f t="shared" si="45"/>
        <v>0</v>
      </c>
      <c r="H30" s="360">
        <f t="shared" si="1"/>
        <v>7671</v>
      </c>
      <c r="I30" s="360">
        <f t="shared" ref="I30:J30" si="46">I22+I8</f>
        <v>6731</v>
      </c>
      <c r="J30" s="360">
        <f t="shared" si="46"/>
        <v>0</v>
      </c>
      <c r="K30" s="360">
        <f t="shared" si="2"/>
        <v>6731</v>
      </c>
      <c r="L30" s="360">
        <f t="shared" ref="L30:M30" si="47">L22+L8</f>
        <v>7875</v>
      </c>
      <c r="M30" s="360">
        <f t="shared" si="47"/>
        <v>0</v>
      </c>
      <c r="N30" s="360">
        <f t="shared" si="3"/>
        <v>7875</v>
      </c>
      <c r="O30" s="360">
        <f t="shared" ref="O30:P30" si="48">O22+O8</f>
        <v>7671</v>
      </c>
      <c r="P30" s="360">
        <f t="shared" si="48"/>
        <v>0</v>
      </c>
      <c r="Q30" s="360">
        <f t="shared" si="4"/>
        <v>7671</v>
      </c>
      <c r="R30" s="360">
        <f t="shared" ref="R30:S30" si="49">R22+R8</f>
        <v>7671</v>
      </c>
      <c r="S30" s="360">
        <f t="shared" si="49"/>
        <v>0</v>
      </c>
      <c r="T30" s="360">
        <f t="shared" si="5"/>
        <v>7671</v>
      </c>
      <c r="U30" s="360">
        <f t="shared" ref="U30:V30" si="50">U22+U8</f>
        <v>7671</v>
      </c>
      <c r="V30" s="360">
        <f t="shared" si="50"/>
        <v>0</v>
      </c>
      <c r="W30" s="360">
        <f t="shared" si="6"/>
        <v>7671</v>
      </c>
      <c r="X30" s="360">
        <f t="shared" ref="X30:Y30" si="51">X22+X8</f>
        <v>7671</v>
      </c>
      <c r="Y30" s="360">
        <f t="shared" si="51"/>
        <v>0</v>
      </c>
      <c r="Z30" s="360">
        <f t="shared" si="7"/>
        <v>7671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118876</v>
      </c>
      <c r="D31" s="352">
        <f t="shared" si="52"/>
        <v>0</v>
      </c>
      <c r="E31" s="352">
        <f t="shared" si="0"/>
        <v>118876</v>
      </c>
      <c r="F31" s="352">
        <f t="shared" si="52"/>
        <v>122556</v>
      </c>
      <c r="G31" s="352">
        <f t="shared" si="52"/>
        <v>2212</v>
      </c>
      <c r="H31" s="352">
        <f t="shared" si="1"/>
        <v>124768</v>
      </c>
      <c r="I31" s="352">
        <f t="shared" si="52"/>
        <v>123496</v>
      </c>
      <c r="J31" s="352">
        <f t="shared" si="52"/>
        <v>2212</v>
      </c>
      <c r="K31" s="352">
        <f t="shared" si="2"/>
        <v>125708</v>
      </c>
      <c r="L31" s="352">
        <f t="shared" si="52"/>
        <v>121793</v>
      </c>
      <c r="M31" s="352">
        <f t="shared" si="52"/>
        <v>0</v>
      </c>
      <c r="N31" s="352">
        <f t="shared" si="3"/>
        <v>121793</v>
      </c>
      <c r="O31" s="352">
        <f t="shared" si="52"/>
        <v>132235.68</v>
      </c>
      <c r="P31" s="352">
        <f t="shared" si="52"/>
        <v>0</v>
      </c>
      <c r="Q31" s="352">
        <f t="shared" si="4"/>
        <v>132235.68</v>
      </c>
      <c r="R31" s="352">
        <f t="shared" si="52"/>
        <v>134329.68</v>
      </c>
      <c r="S31" s="352">
        <f t="shared" si="52"/>
        <v>0</v>
      </c>
      <c r="T31" s="352">
        <f t="shared" si="5"/>
        <v>134329.68</v>
      </c>
      <c r="U31" s="352">
        <f t="shared" si="52"/>
        <v>135129.68</v>
      </c>
      <c r="V31" s="352">
        <f t="shared" si="52"/>
        <v>0</v>
      </c>
      <c r="W31" s="352">
        <f t="shared" si="6"/>
        <v>135129.68</v>
      </c>
      <c r="X31" s="352">
        <f t="shared" si="52"/>
        <v>136777.68</v>
      </c>
      <c r="Y31" s="352">
        <f t="shared" si="52"/>
        <v>0</v>
      </c>
      <c r="Z31" s="352">
        <f t="shared" si="7"/>
        <v>136777.68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118876</v>
      </c>
      <c r="D32" s="355">
        <f t="shared" si="53"/>
        <v>0</v>
      </c>
      <c r="E32" s="355">
        <f t="shared" si="0"/>
        <v>118876</v>
      </c>
      <c r="F32" s="355">
        <f t="shared" ref="F32:G32" si="54">SUM(F33:F34)</f>
        <v>122556</v>
      </c>
      <c r="G32" s="355">
        <f t="shared" si="54"/>
        <v>2212</v>
      </c>
      <c r="H32" s="355">
        <f t="shared" si="1"/>
        <v>124768</v>
      </c>
      <c r="I32" s="355">
        <f t="shared" ref="I32:J32" si="55">SUM(I33:I34)</f>
        <v>123496</v>
      </c>
      <c r="J32" s="355">
        <f t="shared" si="55"/>
        <v>2212</v>
      </c>
      <c r="K32" s="355">
        <f t="shared" si="2"/>
        <v>125708</v>
      </c>
      <c r="L32" s="355">
        <f t="shared" ref="L32:M32" si="56">SUM(L33:L34)</f>
        <v>121793</v>
      </c>
      <c r="M32" s="355">
        <f t="shared" si="56"/>
        <v>0</v>
      </c>
      <c r="N32" s="355">
        <f t="shared" si="3"/>
        <v>121793</v>
      </c>
      <c r="O32" s="355">
        <f t="shared" ref="O32:P32" si="57">SUM(O33:O34)</f>
        <v>132235.68</v>
      </c>
      <c r="P32" s="355">
        <f t="shared" si="57"/>
        <v>0</v>
      </c>
      <c r="Q32" s="355">
        <f t="shared" si="4"/>
        <v>132235.68</v>
      </c>
      <c r="R32" s="355">
        <f t="shared" ref="R32:S32" si="58">SUM(R33:R34)</f>
        <v>134329.68</v>
      </c>
      <c r="S32" s="355">
        <f t="shared" si="58"/>
        <v>0</v>
      </c>
      <c r="T32" s="355">
        <f t="shared" si="5"/>
        <v>134329.68</v>
      </c>
      <c r="U32" s="355">
        <f t="shared" ref="U32:V32" si="59">SUM(U33:U34)</f>
        <v>135129.68</v>
      </c>
      <c r="V32" s="355">
        <f t="shared" si="59"/>
        <v>0</v>
      </c>
      <c r="W32" s="355">
        <f t="shared" si="6"/>
        <v>135129.68</v>
      </c>
      <c r="X32" s="355">
        <f t="shared" ref="X32:Y32" si="60">SUM(X33:X34)</f>
        <v>136777.68</v>
      </c>
      <c r="Y32" s="355">
        <f t="shared" si="60"/>
        <v>0</v>
      </c>
      <c r="Z32" s="355">
        <f t="shared" si="7"/>
        <v>136777.68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548</v>
      </c>
      <c r="G33" s="273">
        <v>0</v>
      </c>
      <c r="H33" s="273">
        <f t="shared" si="1"/>
        <v>548</v>
      </c>
      <c r="I33" s="273">
        <v>3839</v>
      </c>
      <c r="J33" s="273">
        <v>0</v>
      </c>
      <c r="K33" s="273">
        <f t="shared" si="2"/>
        <v>3839</v>
      </c>
      <c r="L33" s="273">
        <v>548</v>
      </c>
      <c r="M33" s="273">
        <v>0</v>
      </c>
      <c r="N33" s="273">
        <f t="shared" si="3"/>
        <v>548</v>
      </c>
      <c r="O33" s="923">
        <v>0</v>
      </c>
      <c r="P33" s="923">
        <v>0</v>
      </c>
      <c r="Q33" s="923">
        <f t="shared" si="4"/>
        <v>0</v>
      </c>
      <c r="R33" s="273">
        <v>454</v>
      </c>
      <c r="S33" s="273">
        <v>0</v>
      </c>
      <c r="T33" s="273">
        <f t="shared" si="5"/>
        <v>454</v>
      </c>
      <c r="U33" s="273">
        <v>454</v>
      </c>
      <c r="V33" s="273">
        <v>0</v>
      </c>
      <c r="W33" s="273">
        <f t="shared" si="6"/>
        <v>454</v>
      </c>
      <c r="X33" s="923">
        <v>454</v>
      </c>
      <c r="Y33" s="923">
        <v>0</v>
      </c>
      <c r="Z33" s="923">
        <f t="shared" si="7"/>
        <v>454</v>
      </c>
    </row>
    <row r="34" spans="1:26" x14ac:dyDescent="0.25">
      <c r="A34" s="392"/>
      <c r="B34" s="358" t="s">
        <v>332</v>
      </c>
      <c r="C34" s="273">
        <f t="shared" ref="C34:D34" si="61">C36+C42-C30-C33</f>
        <v>118876</v>
      </c>
      <c r="D34" s="273">
        <f t="shared" si="61"/>
        <v>0</v>
      </c>
      <c r="E34" s="273">
        <f t="shared" si="0"/>
        <v>118876</v>
      </c>
      <c r="F34" s="273">
        <f t="shared" ref="F34:G34" si="62">F36+F42-F30-F33</f>
        <v>122008</v>
      </c>
      <c r="G34" s="273">
        <f t="shared" si="62"/>
        <v>2212</v>
      </c>
      <c r="H34" s="273">
        <f t="shared" si="1"/>
        <v>124220</v>
      </c>
      <c r="I34" s="273">
        <f t="shared" ref="I34:J34" si="63">I36+I42-I30-I33</f>
        <v>119657</v>
      </c>
      <c r="J34" s="273">
        <f t="shared" si="63"/>
        <v>2212</v>
      </c>
      <c r="K34" s="273">
        <f t="shared" si="2"/>
        <v>121869</v>
      </c>
      <c r="L34" s="273">
        <v>121245</v>
      </c>
      <c r="M34" s="273">
        <f t="shared" ref="M34" si="64">M36+M42-M30-M33</f>
        <v>0</v>
      </c>
      <c r="N34" s="273">
        <f t="shared" si="3"/>
        <v>121245</v>
      </c>
      <c r="O34" s="923">
        <f t="shared" ref="O34:P34" si="65">O36+O42-O30-O33</f>
        <v>132235.68</v>
      </c>
      <c r="P34" s="923">
        <f t="shared" si="65"/>
        <v>0</v>
      </c>
      <c r="Q34" s="923">
        <f t="shared" si="4"/>
        <v>132235.68</v>
      </c>
      <c r="R34" s="273">
        <f t="shared" ref="R34:S34" si="66">R36+R42-R30-R33</f>
        <v>133875.68</v>
      </c>
      <c r="S34" s="273">
        <f t="shared" si="66"/>
        <v>0</v>
      </c>
      <c r="T34" s="273">
        <f t="shared" si="5"/>
        <v>133875.68</v>
      </c>
      <c r="U34" s="273">
        <f t="shared" ref="U34:V34" si="67">U36+U42-U30-U33</f>
        <v>134675.68</v>
      </c>
      <c r="V34" s="273">
        <f t="shared" si="67"/>
        <v>0</v>
      </c>
      <c r="W34" s="273">
        <f t="shared" si="6"/>
        <v>134675.68</v>
      </c>
      <c r="X34" s="923">
        <f t="shared" ref="X34:Y34" si="68">X36+X42-X30-X33</f>
        <v>136323.68</v>
      </c>
      <c r="Y34" s="923">
        <f t="shared" si="68"/>
        <v>0</v>
      </c>
      <c r="Z34" s="923">
        <f t="shared" si="7"/>
        <v>136323.68</v>
      </c>
    </row>
    <row r="35" spans="1:26" x14ac:dyDescent="0.25">
      <c r="A35" s="361"/>
      <c r="B35" s="362" t="s">
        <v>333</v>
      </c>
      <c r="C35" s="333">
        <f t="shared" ref="C35:D35" si="69">C31+C22+C8</f>
        <v>126547</v>
      </c>
      <c r="D35" s="333">
        <f t="shared" si="69"/>
        <v>0</v>
      </c>
      <c r="E35" s="333">
        <f t="shared" si="0"/>
        <v>126547</v>
      </c>
      <c r="F35" s="333">
        <f t="shared" ref="F35:G35" si="70">F31+F22+F8</f>
        <v>130227</v>
      </c>
      <c r="G35" s="333">
        <f t="shared" si="70"/>
        <v>2212</v>
      </c>
      <c r="H35" s="333">
        <f t="shared" si="1"/>
        <v>132439</v>
      </c>
      <c r="I35" s="333">
        <f t="shared" ref="I35:J35" si="71">I31+I22+I8</f>
        <v>130227</v>
      </c>
      <c r="J35" s="333">
        <f t="shared" si="71"/>
        <v>2212</v>
      </c>
      <c r="K35" s="333">
        <f t="shared" si="2"/>
        <v>132439</v>
      </c>
      <c r="L35" s="333">
        <f t="shared" ref="L35:M35" si="72">L31+L22+L8</f>
        <v>129668</v>
      </c>
      <c r="M35" s="333">
        <f t="shared" si="72"/>
        <v>0</v>
      </c>
      <c r="N35" s="333">
        <f t="shared" si="3"/>
        <v>129668</v>
      </c>
      <c r="O35" s="333">
        <f t="shared" ref="O35:P35" si="73">O31+O22+O8</f>
        <v>139906.68</v>
      </c>
      <c r="P35" s="333">
        <f t="shared" si="73"/>
        <v>0</v>
      </c>
      <c r="Q35" s="333">
        <f t="shared" si="4"/>
        <v>139906.68</v>
      </c>
      <c r="R35" s="333">
        <f t="shared" ref="R35:S35" si="74">R31+R22+R8</f>
        <v>142000.68</v>
      </c>
      <c r="S35" s="333">
        <f t="shared" si="74"/>
        <v>0</v>
      </c>
      <c r="T35" s="333">
        <f t="shared" si="5"/>
        <v>142000.68</v>
      </c>
      <c r="U35" s="333">
        <f t="shared" ref="U35:V35" si="75">U31+U22+U8</f>
        <v>142800.68</v>
      </c>
      <c r="V35" s="333">
        <f t="shared" si="75"/>
        <v>0</v>
      </c>
      <c r="W35" s="333">
        <f t="shared" si="6"/>
        <v>142800.68</v>
      </c>
      <c r="X35" s="333">
        <f t="shared" ref="X35:Y35" si="76">X31+X22+X8</f>
        <v>144448.68</v>
      </c>
      <c r="Y35" s="333">
        <f t="shared" si="76"/>
        <v>0</v>
      </c>
      <c r="Z35" s="333">
        <f t="shared" si="7"/>
        <v>144448.68</v>
      </c>
    </row>
    <row r="36" spans="1:26" x14ac:dyDescent="0.25">
      <c r="A36" s="350" t="s">
        <v>309</v>
      </c>
      <c r="B36" s="351" t="s">
        <v>334</v>
      </c>
      <c r="C36" s="352">
        <f t="shared" ref="C36:D36" si="77">SUM(C37:C41)</f>
        <v>125277</v>
      </c>
      <c r="D36" s="352">
        <f t="shared" si="77"/>
        <v>0</v>
      </c>
      <c r="E36" s="352">
        <f t="shared" si="0"/>
        <v>125277</v>
      </c>
      <c r="F36" s="352">
        <f>SUM(F37:F41)</f>
        <v>129207</v>
      </c>
      <c r="G36" s="352">
        <f t="shared" ref="G36" si="78">SUM(G37:G41)</f>
        <v>2137</v>
      </c>
      <c r="H36" s="352">
        <f t="shared" si="1"/>
        <v>131344</v>
      </c>
      <c r="I36" s="352">
        <f>SUM(I37:I41)</f>
        <v>129207</v>
      </c>
      <c r="J36" s="352">
        <f t="shared" ref="J36" si="79">SUM(J37:J41)</f>
        <v>2137</v>
      </c>
      <c r="K36" s="352">
        <f t="shared" si="2"/>
        <v>131344</v>
      </c>
      <c r="L36" s="352">
        <f>SUM(L37:L41)</f>
        <v>125928</v>
      </c>
      <c r="M36" s="352">
        <f t="shared" ref="M36" si="80">SUM(M37:M41)</f>
        <v>0</v>
      </c>
      <c r="N36" s="352">
        <f t="shared" si="3"/>
        <v>125928</v>
      </c>
      <c r="O36" s="352">
        <f>SUM(O37:O41)</f>
        <v>139656.68</v>
      </c>
      <c r="P36" s="352">
        <f t="shared" ref="P36" si="81">SUM(P37:P41)</f>
        <v>0</v>
      </c>
      <c r="Q36" s="352">
        <f t="shared" si="4"/>
        <v>139656.68</v>
      </c>
      <c r="R36" s="352">
        <f>SUM(R37:R41)</f>
        <v>140661.68</v>
      </c>
      <c r="S36" s="352">
        <f t="shared" ref="S36" si="82">SUM(S37:S41)</f>
        <v>0</v>
      </c>
      <c r="T36" s="352">
        <f t="shared" si="5"/>
        <v>140661.68</v>
      </c>
      <c r="U36" s="352">
        <f>SUM(U37:U41)</f>
        <v>141461.68</v>
      </c>
      <c r="V36" s="352">
        <f t="shared" ref="V36" si="83">SUM(V37:V41)</f>
        <v>0</v>
      </c>
      <c r="W36" s="352">
        <f t="shared" si="6"/>
        <v>141461.68</v>
      </c>
      <c r="X36" s="352">
        <f>SUM(X37:X41)</f>
        <v>143060.68</v>
      </c>
      <c r="Y36" s="352">
        <f t="shared" ref="Y36" si="84">SUM(Y37:Y41)</f>
        <v>0</v>
      </c>
      <c r="Z36" s="352">
        <f t="shared" si="7"/>
        <v>143060.68</v>
      </c>
    </row>
    <row r="37" spans="1:26" x14ac:dyDescent="0.25">
      <c r="A37" s="353" t="s">
        <v>311</v>
      </c>
      <c r="B37" s="354" t="s">
        <v>286</v>
      </c>
      <c r="C37" s="355">
        <f>'5 GSZNR fel'!E95+'5 GSZNR fel'!E101+'5 GSZNR fel'!E106</f>
        <v>72628</v>
      </c>
      <c r="D37" s="355">
        <f>'5 GSZNR fel'!D95+'5 GSZNR fel'!D101+'5 GSZNR fel'!D106</f>
        <v>0</v>
      </c>
      <c r="E37" s="355">
        <f t="shared" si="0"/>
        <v>72628</v>
      </c>
      <c r="F37" s="355">
        <f>'5 GSZNR fel'!H95+'5 GSZNR fel'!H101+'5 GSZNR fel'!H106</f>
        <v>75411</v>
      </c>
      <c r="G37" s="355">
        <f>'5 GSZNR fel'!H112</f>
        <v>128</v>
      </c>
      <c r="H37" s="355">
        <f t="shared" si="1"/>
        <v>75539</v>
      </c>
      <c r="I37" s="355">
        <f>'5 GSZNR fel'!K95+'5 GSZNR fel'!K101+'5 GSZNR fel'!K106</f>
        <v>75411</v>
      </c>
      <c r="J37" s="355">
        <f>'5 GSZNR fel'!K112</f>
        <v>128</v>
      </c>
      <c r="K37" s="355">
        <f t="shared" si="2"/>
        <v>75539</v>
      </c>
      <c r="L37" s="355">
        <f>'5 GSZNR fel'!N95+'5 GSZNR fel'!N101+'5 GSZNR fel'!N106</f>
        <v>72015</v>
      </c>
      <c r="M37" s="355">
        <f>'5 GSZNR fel'!L95+'5 GSZNR fel'!L101+'5 GSZNR fel'!L106</f>
        <v>0</v>
      </c>
      <c r="N37" s="355">
        <f t="shared" si="3"/>
        <v>72015</v>
      </c>
      <c r="O37" s="921">
        <f>'5 GSZNR fel'!Q95+'5 GSZNR fel'!Q101+'5 GSZNR fel'!Q106</f>
        <v>76194</v>
      </c>
      <c r="P37" s="921">
        <f>'5 GSZNR fel'!P95+'5 GSZNR fel'!P101+'5 GSZNR fel'!P106</f>
        <v>0</v>
      </c>
      <c r="Q37" s="921">
        <f t="shared" si="4"/>
        <v>76194</v>
      </c>
      <c r="R37" s="355">
        <f>'5 GSZNR fel'!T95+'5 GSZNR fel'!T101+'5 GSZNR fel'!T106</f>
        <v>77567</v>
      </c>
      <c r="S37" s="355">
        <f>'5 GSZNR fel'!S95+'5 GSZNR fel'!S101+'5 GSZNR fel'!S106</f>
        <v>0</v>
      </c>
      <c r="T37" s="355">
        <f t="shared" si="5"/>
        <v>77567</v>
      </c>
      <c r="U37" s="355">
        <f>'5 GSZNR fel'!W95+'5 GSZNR fel'!W101+'5 GSZNR fel'!W106</f>
        <v>77567</v>
      </c>
      <c r="V37" s="355">
        <f>'5 GSZNR fel'!V95+'5 GSZNR fel'!V101+'5 GSZNR fel'!V106</f>
        <v>0</v>
      </c>
      <c r="W37" s="355">
        <f t="shared" si="6"/>
        <v>77567</v>
      </c>
      <c r="X37" s="921">
        <f>'5 GSZNR fel'!Z95+'5 GSZNR fel'!Z101+'5 GSZNR fel'!Z106</f>
        <v>77567</v>
      </c>
      <c r="Y37" s="921">
        <f>'5 GSZNR fel'!Y95+'5 GSZNR fel'!Y101+'5 GSZNR fel'!Y106</f>
        <v>0</v>
      </c>
      <c r="Z37" s="921">
        <f t="shared" si="7"/>
        <v>77567</v>
      </c>
    </row>
    <row r="38" spans="1:26" x14ac:dyDescent="0.25">
      <c r="A38" s="353" t="s">
        <v>322</v>
      </c>
      <c r="B38" s="354" t="s">
        <v>335</v>
      </c>
      <c r="C38" s="355">
        <f>'5 GSZNR fel'!E96+'5 GSZNR fel'!E102+'5 GSZNR fel'!E107</f>
        <v>14059</v>
      </c>
      <c r="D38" s="355">
        <f>'5 GSZNR fel'!D96+'5 GSZNR fel'!D102+'5 GSZNR fel'!D107</f>
        <v>0</v>
      </c>
      <c r="E38" s="355">
        <f t="shared" si="0"/>
        <v>14059</v>
      </c>
      <c r="F38" s="355">
        <f>'5 GSZNR fel'!H96+'5 GSZNR fel'!H102+'5 GSZNR fel'!H107</f>
        <v>14314</v>
      </c>
      <c r="G38" s="355">
        <f>'5 GSZNR fel'!H113</f>
        <v>49</v>
      </c>
      <c r="H38" s="355">
        <f t="shared" si="1"/>
        <v>14363</v>
      </c>
      <c r="I38" s="355">
        <f>'5 GSZNR fel'!K96+'5 GSZNR fel'!K102+'5 GSZNR fel'!K107</f>
        <v>14314</v>
      </c>
      <c r="J38" s="355">
        <f>'5 GSZNR fel'!K113</f>
        <v>49</v>
      </c>
      <c r="K38" s="355">
        <f t="shared" si="2"/>
        <v>14363</v>
      </c>
      <c r="L38" s="355">
        <f>'5 GSZNR fel'!N96+'5 GSZNR fel'!N102+'5 GSZNR fel'!N107</f>
        <v>12869</v>
      </c>
      <c r="M38" s="355">
        <f>'5 GSZNR fel'!L96+'5 GSZNR fel'!L102+'5 GSZNR fel'!L107</f>
        <v>0</v>
      </c>
      <c r="N38" s="355">
        <f t="shared" si="3"/>
        <v>12869</v>
      </c>
      <c r="O38" s="921">
        <f>'5 GSZNR fel'!Q96+'5 GSZNR fel'!Q102+'5 GSZNR fel'!Q107</f>
        <v>14477</v>
      </c>
      <c r="P38" s="921">
        <f>'5 GSZNR fel'!P96+'5 GSZNR fel'!P102+'5 GSZNR fel'!P107</f>
        <v>0</v>
      </c>
      <c r="Q38" s="921">
        <f t="shared" si="4"/>
        <v>14477</v>
      </c>
      <c r="R38" s="355">
        <f>'5 GSZNR fel'!T96+'5 GSZNR fel'!T102+'5 GSZNR fel'!T107</f>
        <v>14744</v>
      </c>
      <c r="S38" s="355">
        <f>'5 GSZNR fel'!S96+'5 GSZNR fel'!S102+'5 GSZNR fel'!S107</f>
        <v>0</v>
      </c>
      <c r="T38" s="355">
        <f t="shared" si="5"/>
        <v>14744</v>
      </c>
      <c r="U38" s="355">
        <f>'5 GSZNR fel'!W96+'5 GSZNR fel'!W102+'5 GSZNR fel'!W107</f>
        <v>14744</v>
      </c>
      <c r="V38" s="355">
        <f>'5 GSZNR fel'!V96+'5 GSZNR fel'!V102+'5 GSZNR fel'!V107</f>
        <v>0</v>
      </c>
      <c r="W38" s="355">
        <f t="shared" si="6"/>
        <v>14744</v>
      </c>
      <c r="X38" s="921">
        <f>'5 GSZNR fel'!Z96+'5 GSZNR fel'!Z102+'5 GSZNR fel'!Z107</f>
        <v>14744</v>
      </c>
      <c r="Y38" s="921">
        <f>'5 GSZNR fel'!Y96+'5 GSZNR fel'!Y102+'5 GSZNR fel'!Y107</f>
        <v>0</v>
      </c>
      <c r="Z38" s="921">
        <f t="shared" si="7"/>
        <v>14744</v>
      </c>
    </row>
    <row r="39" spans="1:26" x14ac:dyDescent="0.25">
      <c r="A39" s="353" t="s">
        <v>315</v>
      </c>
      <c r="B39" s="354" t="s">
        <v>292</v>
      </c>
      <c r="C39" s="355">
        <f>'5 GSZNR fel'!E97+'5 GSZNR fel'!E103+'5 GSZNR fel'!E108</f>
        <v>38590</v>
      </c>
      <c r="D39" s="355">
        <f>'5 GSZNR fel'!D97+'5 GSZNR fel'!D103+'5 GSZNR fel'!D108</f>
        <v>0</v>
      </c>
      <c r="E39" s="355">
        <f t="shared" si="0"/>
        <v>38590</v>
      </c>
      <c r="F39" s="355">
        <f>'5 GSZNR fel'!H97+'5 GSZNR fel'!H103+'5 GSZNR fel'!H108</f>
        <v>39482</v>
      </c>
      <c r="G39" s="355">
        <f>'5 GSZNR fel'!H114</f>
        <v>1960</v>
      </c>
      <c r="H39" s="355">
        <f t="shared" si="1"/>
        <v>41442</v>
      </c>
      <c r="I39" s="355">
        <f>'5 GSZNR fel'!K97+'5 GSZNR fel'!K103+'5 GSZNR fel'!K108</f>
        <v>39482</v>
      </c>
      <c r="J39" s="355">
        <f>'5 GSZNR fel'!K114</f>
        <v>1960</v>
      </c>
      <c r="K39" s="355">
        <f t="shared" si="2"/>
        <v>41442</v>
      </c>
      <c r="L39" s="355">
        <f>'5 GSZNR fel'!N97+'5 GSZNR fel'!N103+'5 GSZNR fel'!N108</f>
        <v>41044</v>
      </c>
      <c r="M39" s="355">
        <f>'5 GSZNR fel'!L97+'5 GSZNR fel'!L103+'5 GSZNR fel'!L108</f>
        <v>0</v>
      </c>
      <c r="N39" s="355">
        <f t="shared" si="3"/>
        <v>41044</v>
      </c>
      <c r="O39" s="921">
        <f>'5 GSZNR fel'!Q97+'5 GSZNR fel'!Q103+'5 GSZNR fel'!Q108</f>
        <v>48985.68</v>
      </c>
      <c r="P39" s="921">
        <f>'5 GSZNR fel'!P97+'5 GSZNR fel'!P103+'5 GSZNR fel'!P108</f>
        <v>0</v>
      </c>
      <c r="Q39" s="921">
        <f t="shared" si="4"/>
        <v>48985.68</v>
      </c>
      <c r="R39" s="355">
        <f>'5 GSZNR fel'!T97+'5 GSZNR fel'!T103+'5 GSZNR fel'!T108</f>
        <v>48350.68</v>
      </c>
      <c r="S39" s="355">
        <f>'5 GSZNR fel'!S97+'5 GSZNR fel'!S103+'5 GSZNR fel'!S108</f>
        <v>0</v>
      </c>
      <c r="T39" s="355">
        <f t="shared" si="5"/>
        <v>48350.68</v>
      </c>
      <c r="U39" s="355">
        <f>'5 GSZNR fel'!W97+'5 GSZNR fel'!W103+'5 GSZNR fel'!W108</f>
        <v>49150.68</v>
      </c>
      <c r="V39" s="355">
        <f>'5 GSZNR fel'!V97+'5 GSZNR fel'!V103+'5 GSZNR fel'!V108</f>
        <v>0</v>
      </c>
      <c r="W39" s="355">
        <f t="shared" si="6"/>
        <v>49150.68</v>
      </c>
      <c r="X39" s="921">
        <f>'5 GSZNR fel'!Z97+'5 GSZNR fel'!Z103+'5 GSZNR fel'!Z108</f>
        <v>50749.68</v>
      </c>
      <c r="Y39" s="921">
        <f>'5 GSZNR fel'!Y97+'5 GSZNR fel'!Y103+'5 GSZNR fel'!Y108</f>
        <v>0</v>
      </c>
      <c r="Z39" s="921">
        <f t="shared" si="7"/>
        <v>50749.68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fel'!H98</f>
        <v>0</v>
      </c>
      <c r="G41" s="355">
        <v>0</v>
      </c>
      <c r="H41" s="355">
        <f t="shared" si="1"/>
        <v>0</v>
      </c>
      <c r="I41" s="355">
        <f>+'5 GSZNR fel'!K98</f>
        <v>0</v>
      </c>
      <c r="J41" s="355">
        <v>0</v>
      </c>
      <c r="K41" s="355">
        <f t="shared" si="2"/>
        <v>0</v>
      </c>
      <c r="L41" s="355">
        <f>+'5 GSZNR fel'!N98</f>
        <v>0</v>
      </c>
      <c r="M41" s="355">
        <v>0</v>
      </c>
      <c r="N41" s="355">
        <f t="shared" si="3"/>
        <v>0</v>
      </c>
      <c r="O41" s="921">
        <f>+'5 GSZNR fel'!Q98</f>
        <v>0</v>
      </c>
      <c r="P41" s="921">
        <v>0</v>
      </c>
      <c r="Q41" s="921">
        <f t="shared" si="4"/>
        <v>0</v>
      </c>
      <c r="R41" s="355">
        <f>+'5 GSZNR fel'!T98</f>
        <v>0</v>
      </c>
      <c r="S41" s="355">
        <v>0</v>
      </c>
      <c r="T41" s="355">
        <f t="shared" si="5"/>
        <v>0</v>
      </c>
      <c r="U41" s="355">
        <f>+'5 GSZNR fel'!W98</f>
        <v>0</v>
      </c>
      <c r="V41" s="355">
        <v>0</v>
      </c>
      <c r="W41" s="355">
        <f t="shared" si="6"/>
        <v>0</v>
      </c>
      <c r="X41" s="921">
        <f>+'5 GSZNR fel'!Z98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5">SUM(C43:C45)</f>
        <v>1270</v>
      </c>
      <c r="D42" s="352">
        <f t="shared" si="85"/>
        <v>0</v>
      </c>
      <c r="E42" s="352">
        <f t="shared" si="0"/>
        <v>1270</v>
      </c>
      <c r="F42" s="352">
        <f>SUM(F43:F45)</f>
        <v>1020</v>
      </c>
      <c r="G42" s="352">
        <f>SUM(G43:G45)</f>
        <v>75</v>
      </c>
      <c r="H42" s="352">
        <f t="shared" si="1"/>
        <v>1095</v>
      </c>
      <c r="I42" s="352">
        <f>SUM(I43:I45)</f>
        <v>1020</v>
      </c>
      <c r="J42" s="352">
        <f>SUM(J43:J45)</f>
        <v>75</v>
      </c>
      <c r="K42" s="352">
        <f t="shared" si="2"/>
        <v>1095</v>
      </c>
      <c r="L42" s="352">
        <f>SUM(L43:L45)</f>
        <v>0</v>
      </c>
      <c r="M42" s="352">
        <f>SUM(M43:M45)</f>
        <v>0</v>
      </c>
      <c r="N42" s="352">
        <f t="shared" si="3"/>
        <v>0</v>
      </c>
      <c r="O42" s="352">
        <f>SUM(O43:O45)</f>
        <v>250</v>
      </c>
      <c r="P42" s="352">
        <f>SUM(P43:P45)</f>
        <v>0</v>
      </c>
      <c r="Q42" s="352">
        <f t="shared" si="4"/>
        <v>250</v>
      </c>
      <c r="R42" s="352">
        <f>SUM(R43:R45)</f>
        <v>1339</v>
      </c>
      <c r="S42" s="352">
        <f>SUM(S43:S45)</f>
        <v>0</v>
      </c>
      <c r="T42" s="352">
        <f t="shared" si="5"/>
        <v>1339</v>
      </c>
      <c r="U42" s="352">
        <f>SUM(U43:U45)</f>
        <v>1339</v>
      </c>
      <c r="V42" s="352">
        <f>SUM(V43:V45)</f>
        <v>0</v>
      </c>
      <c r="W42" s="352">
        <f t="shared" si="6"/>
        <v>1339</v>
      </c>
      <c r="X42" s="352">
        <f>SUM(X43:X45)</f>
        <v>1388</v>
      </c>
      <c r="Y42" s="352">
        <f>SUM(Y43:Y45)</f>
        <v>0</v>
      </c>
      <c r="Z42" s="352">
        <f t="shared" si="7"/>
        <v>1388</v>
      </c>
    </row>
    <row r="43" spans="1:26" x14ac:dyDescent="0.25">
      <c r="A43" s="353" t="s">
        <v>311</v>
      </c>
      <c r="B43" s="354" t="s">
        <v>341</v>
      </c>
      <c r="C43" s="355">
        <f>'5 GSZNR fel'!E99+'5 GSZNR fel'!E104+'5 GSZNR fel'!E109</f>
        <v>1270</v>
      </c>
      <c r="D43" s="355">
        <f>'5 GSZNR fel'!D99+'5 GSZNR fel'!D104+'5 GSZNR fel'!D109</f>
        <v>0</v>
      </c>
      <c r="E43" s="355">
        <f t="shared" si="0"/>
        <v>1270</v>
      </c>
      <c r="F43" s="355">
        <f>'5 GSZNR fel'!H99+'5 GSZNR fel'!H104+'5 GSZNR fel'!H109</f>
        <v>1020</v>
      </c>
      <c r="G43" s="355">
        <f>'5 GSZNR fel'!H115</f>
        <v>75</v>
      </c>
      <c r="H43" s="355">
        <f t="shared" si="1"/>
        <v>1095</v>
      </c>
      <c r="I43" s="355">
        <f>'5 GSZNR fel'!K99+'5 GSZNR fel'!K104+'5 GSZNR fel'!K109</f>
        <v>1020</v>
      </c>
      <c r="J43" s="355">
        <f>'5 GSZNR fel'!K115</f>
        <v>75</v>
      </c>
      <c r="K43" s="355">
        <f t="shared" si="2"/>
        <v>1095</v>
      </c>
      <c r="L43" s="355">
        <f>'5 GSZNR fel'!N99+'5 GSZNR fel'!N104+'5 GSZNR fel'!N109</f>
        <v>0</v>
      </c>
      <c r="M43" s="355">
        <f>'5 GSZNR fel'!L99+'5 GSZNR fel'!L104+'5 GSZNR fel'!L109</f>
        <v>0</v>
      </c>
      <c r="N43" s="355">
        <f t="shared" si="3"/>
        <v>0</v>
      </c>
      <c r="O43" s="921">
        <f>'5 GSZNR fel'!Q99+'5 GSZNR fel'!Q104+'5 GSZNR fel'!Q109</f>
        <v>250</v>
      </c>
      <c r="P43" s="921">
        <f>'5 GSZNR fel'!P99+'5 GSZNR fel'!P104+'5 GSZNR fel'!P109</f>
        <v>0</v>
      </c>
      <c r="Q43" s="921">
        <f t="shared" si="4"/>
        <v>250</v>
      </c>
      <c r="R43" s="355">
        <f>'5 GSZNR fel'!T99+'5 GSZNR fel'!T104+'5 GSZNR fel'!T109</f>
        <v>1339</v>
      </c>
      <c r="S43" s="355">
        <f>'5 GSZNR fel'!S99+'5 GSZNR fel'!S104+'5 GSZNR fel'!S109</f>
        <v>0</v>
      </c>
      <c r="T43" s="355">
        <f t="shared" si="5"/>
        <v>1339</v>
      </c>
      <c r="U43" s="355">
        <f>'5 GSZNR fel'!W99+'5 GSZNR fel'!W104+'5 GSZNR fel'!W109</f>
        <v>1339</v>
      </c>
      <c r="V43" s="355">
        <f>'5 GSZNR fel'!V99+'5 GSZNR fel'!V104+'5 GSZNR fel'!V109</f>
        <v>0</v>
      </c>
      <c r="W43" s="355">
        <f t="shared" si="6"/>
        <v>1339</v>
      </c>
      <c r="X43" s="921">
        <f>'5 GSZNR fel'!Z99+'5 GSZNR fel'!Z104+'5 GSZNR fel'!Z109</f>
        <v>1388</v>
      </c>
      <c r="Y43" s="921">
        <f>'5 GSZNR fel'!Y99+'5 GSZNR fel'!Y104+'5 GSZNR fel'!Y109</f>
        <v>0</v>
      </c>
      <c r="Z43" s="921">
        <f t="shared" si="7"/>
        <v>1388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86">C36+C42</f>
        <v>126547</v>
      </c>
      <c r="D46" s="333">
        <f t="shared" si="86"/>
        <v>0</v>
      </c>
      <c r="E46" s="333">
        <f t="shared" si="0"/>
        <v>126547</v>
      </c>
      <c r="F46" s="333">
        <f t="shared" ref="F46:G46" si="87">F36+F42</f>
        <v>130227</v>
      </c>
      <c r="G46" s="333">
        <f t="shared" si="87"/>
        <v>2212</v>
      </c>
      <c r="H46" s="333">
        <f t="shared" si="1"/>
        <v>132439</v>
      </c>
      <c r="I46" s="333">
        <f t="shared" ref="I46:J46" si="88">I36+I42</f>
        <v>130227</v>
      </c>
      <c r="J46" s="333">
        <f t="shared" si="88"/>
        <v>2212</v>
      </c>
      <c r="K46" s="333">
        <f t="shared" si="2"/>
        <v>132439</v>
      </c>
      <c r="L46" s="333">
        <f t="shared" ref="L46:M46" si="89">L36+L42</f>
        <v>125928</v>
      </c>
      <c r="M46" s="333">
        <f t="shared" si="89"/>
        <v>0</v>
      </c>
      <c r="N46" s="333">
        <f t="shared" si="3"/>
        <v>125928</v>
      </c>
      <c r="O46" s="333">
        <f t="shared" ref="O46:P46" si="90">O36+O42</f>
        <v>139906.68</v>
      </c>
      <c r="P46" s="333">
        <f t="shared" si="90"/>
        <v>0</v>
      </c>
      <c r="Q46" s="333">
        <f t="shared" si="4"/>
        <v>139906.68</v>
      </c>
      <c r="R46" s="333">
        <f t="shared" ref="R46:S46" si="91">R36+R42</f>
        <v>142000.68</v>
      </c>
      <c r="S46" s="333">
        <f t="shared" si="91"/>
        <v>0</v>
      </c>
      <c r="T46" s="333">
        <f t="shared" si="5"/>
        <v>142000.68</v>
      </c>
      <c r="U46" s="333">
        <f t="shared" ref="U46:V46" si="92">U36+U42</f>
        <v>142800.68</v>
      </c>
      <c r="V46" s="333">
        <f t="shared" si="92"/>
        <v>0</v>
      </c>
      <c r="W46" s="333">
        <f t="shared" si="6"/>
        <v>142800.68</v>
      </c>
      <c r="X46" s="333">
        <f t="shared" ref="X46:Y46" si="93">X36+X42</f>
        <v>144448.68</v>
      </c>
      <c r="Y46" s="333">
        <f t="shared" si="93"/>
        <v>0</v>
      </c>
      <c r="Z46" s="333">
        <f t="shared" si="7"/>
        <v>144448.68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0" fitToHeight="0" orientation="portrait" copies="2" r:id="rId1"/>
  <headerFooter>
    <oddHeader>&amp;L4/F.  melléklet a ...../2020. (.......) önkormányzati rendelethez&amp;C&amp;"-,Félkövér"&amp;16
A Segítő Kéz Szolgálat 2019. évi bevételei és kiadásai jogcímenként és feladatonként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X9" sqref="X9"/>
    </sheetView>
  </sheetViews>
  <sheetFormatPr defaultRowHeight="15" x14ac:dyDescent="0.25"/>
  <cols>
    <col min="1" max="1" width="7.140625" style="31" customWidth="1"/>
    <col min="2" max="2" width="53.85546875" customWidth="1"/>
    <col min="3" max="3" width="10.28515625" hidden="1" customWidth="1"/>
    <col min="4" max="4" width="9" hidden="1" customWidth="1"/>
    <col min="5" max="5" width="9.28515625" hidden="1" customWidth="1"/>
    <col min="6" max="7" width="9" hidden="1" customWidth="1"/>
    <col min="8" max="8" width="9.7109375" hidden="1" customWidth="1"/>
    <col min="9" max="9" width="10.28515625" hidden="1" customWidth="1"/>
    <col min="10" max="11" width="9" hidden="1" customWidth="1"/>
    <col min="12" max="12" width="10.28515625" hidden="1" customWidth="1"/>
    <col min="13" max="14" width="9" hidden="1" customWidth="1"/>
    <col min="15" max="15" width="10.28515625" customWidth="1"/>
    <col min="18" max="20" width="0" hidden="1" customWidth="1"/>
  </cols>
  <sheetData>
    <row r="1" spans="1:26" x14ac:dyDescent="0.25">
      <c r="E1" s="32"/>
      <c r="K1" s="32" t="s">
        <v>302</v>
      </c>
      <c r="N1" s="32"/>
      <c r="Q1" s="32"/>
      <c r="T1" s="32"/>
      <c r="W1" s="32"/>
      <c r="Z1" s="32" t="s">
        <v>302</v>
      </c>
    </row>
    <row r="2" spans="1:26" ht="20.45" customHeight="1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ht="19.149999999999999" customHeight="1" x14ac:dyDescent="0.25">
      <c r="A3" s="346" t="s">
        <v>304</v>
      </c>
      <c r="B3" s="346" t="s">
        <v>1502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48.4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1729</v>
      </c>
      <c r="V4" s="1005"/>
      <c r="W4" s="1006"/>
      <c r="X4" s="1004" t="s">
        <v>1743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24</v>
      </c>
      <c r="D6" s="349"/>
      <c r="E6" s="349">
        <f t="shared" ref="E6:E46" si="0">SUM(C6:D6)</f>
        <v>24</v>
      </c>
      <c r="F6" s="349">
        <v>24</v>
      </c>
      <c r="G6" s="349"/>
      <c r="H6" s="349">
        <f t="shared" ref="H6:H46" si="1">SUM(F6:G6)</f>
        <v>24</v>
      </c>
      <c r="I6" s="349">
        <v>24</v>
      </c>
      <c r="J6" s="349"/>
      <c r="K6" s="349">
        <f t="shared" ref="K6:K46" si="2">SUM(I6:J6)</f>
        <v>24</v>
      </c>
      <c r="L6" s="349">
        <v>24</v>
      </c>
      <c r="M6" s="349"/>
      <c r="N6" s="349">
        <f t="shared" ref="N6:N46" si="3">SUM(L6:M6)</f>
        <v>24</v>
      </c>
      <c r="O6" s="936">
        <v>24</v>
      </c>
      <c r="P6" s="936"/>
      <c r="Q6" s="936">
        <f t="shared" ref="Q6:Q46" si="4">SUM(O6:P6)</f>
        <v>24</v>
      </c>
      <c r="R6" s="349">
        <v>24</v>
      </c>
      <c r="S6" s="349"/>
      <c r="T6" s="349">
        <f t="shared" ref="T6:T46" si="5">SUM(R6:S6)</f>
        <v>24</v>
      </c>
      <c r="U6" s="349">
        <v>24</v>
      </c>
      <c r="V6" s="349"/>
      <c r="W6" s="349">
        <f t="shared" ref="W6:W46" si="6">SUM(U6:V6)</f>
        <v>24</v>
      </c>
      <c r="X6" s="349">
        <v>24</v>
      </c>
      <c r="Y6" s="349"/>
      <c r="Z6" s="349">
        <f t="shared" ref="Z6:Z46" si="7">SUM(X6:Y6)</f>
        <v>24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349"/>
      <c r="Y7" s="349"/>
      <c r="Z7" s="349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4786</v>
      </c>
      <c r="D8" s="352">
        <f t="shared" si="8"/>
        <v>0</v>
      </c>
      <c r="E8" s="352">
        <f t="shared" si="0"/>
        <v>4786</v>
      </c>
      <c r="F8" s="352">
        <f t="shared" ref="F8:G8" si="9">F9+F11+F20</f>
        <v>4786</v>
      </c>
      <c r="G8" s="352">
        <f t="shared" si="9"/>
        <v>0</v>
      </c>
      <c r="H8" s="352">
        <f t="shared" si="1"/>
        <v>4786</v>
      </c>
      <c r="I8" s="352">
        <f t="shared" ref="I8:J8" si="10">I9+I11+I20</f>
        <v>4786</v>
      </c>
      <c r="J8" s="352">
        <f t="shared" si="10"/>
        <v>0</v>
      </c>
      <c r="K8" s="352">
        <f t="shared" si="2"/>
        <v>4786</v>
      </c>
      <c r="L8" s="352">
        <f t="shared" ref="L8:M8" si="11">L9+L11+L20</f>
        <v>7076</v>
      </c>
      <c r="M8" s="352">
        <f t="shared" si="11"/>
        <v>0</v>
      </c>
      <c r="N8" s="352">
        <f t="shared" si="3"/>
        <v>7076</v>
      </c>
      <c r="O8" s="352">
        <f t="shared" ref="O8:P8" si="12">O9+O11+O20</f>
        <v>7010</v>
      </c>
      <c r="P8" s="352">
        <f t="shared" si="12"/>
        <v>0</v>
      </c>
      <c r="Q8" s="352">
        <f t="shared" si="4"/>
        <v>7010</v>
      </c>
      <c r="R8" s="352">
        <f t="shared" ref="R8:S8" si="13">R9+R11+R20</f>
        <v>7010</v>
      </c>
      <c r="S8" s="352">
        <f t="shared" si="13"/>
        <v>0</v>
      </c>
      <c r="T8" s="352">
        <f t="shared" si="5"/>
        <v>7010</v>
      </c>
      <c r="U8" s="352">
        <f t="shared" ref="U8:V8" si="14">U9+U11+U20</f>
        <v>7010</v>
      </c>
      <c r="V8" s="352">
        <f t="shared" si="14"/>
        <v>0</v>
      </c>
      <c r="W8" s="352">
        <f t="shared" si="6"/>
        <v>7010</v>
      </c>
      <c r="X8" s="352">
        <f t="shared" ref="X8:Y8" si="15">X9+X11+X20</f>
        <v>7010</v>
      </c>
      <c r="Y8" s="352">
        <f t="shared" si="15"/>
        <v>0</v>
      </c>
      <c r="Z8" s="352">
        <f t="shared" si="7"/>
        <v>7010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.4" hidden="1" customHeight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C12+C13+C14+C15+C16+C17+C18+C19</f>
        <v>4786</v>
      </c>
      <c r="D11" s="355">
        <f t="shared" si="17"/>
        <v>0</v>
      </c>
      <c r="E11" s="355">
        <f t="shared" si="0"/>
        <v>4786</v>
      </c>
      <c r="F11" s="355">
        <f t="shared" ref="F11:G11" si="18">F12+F13+F14+F15+F16+F17+F18+F19</f>
        <v>4786</v>
      </c>
      <c r="G11" s="355">
        <f t="shared" si="18"/>
        <v>0</v>
      </c>
      <c r="H11" s="355">
        <f t="shared" si="1"/>
        <v>4786</v>
      </c>
      <c r="I11" s="355">
        <f t="shared" ref="I11:J11" si="19">I12+I13+I14+I15+I16+I17+I18+I19</f>
        <v>4786</v>
      </c>
      <c r="J11" s="355">
        <f t="shared" si="19"/>
        <v>0</v>
      </c>
      <c r="K11" s="355">
        <f t="shared" si="2"/>
        <v>4786</v>
      </c>
      <c r="L11" s="355">
        <f t="shared" ref="L11:M11" si="20">L12+L13+L14+L15+L16+L17+L18+L19</f>
        <v>7076</v>
      </c>
      <c r="M11" s="355">
        <f t="shared" si="20"/>
        <v>0</v>
      </c>
      <c r="N11" s="355">
        <f t="shared" si="3"/>
        <v>7076</v>
      </c>
      <c r="O11" s="355">
        <f t="shared" ref="O11:P11" si="21">O12+O13+O14+O15+O16+O17+O18+O19</f>
        <v>7010</v>
      </c>
      <c r="P11" s="355">
        <f t="shared" si="21"/>
        <v>0</v>
      </c>
      <c r="Q11" s="355">
        <f t="shared" si="4"/>
        <v>7010</v>
      </c>
      <c r="R11" s="355">
        <f t="shared" ref="R11:S11" si="22">R12+R13+R14+R15+R16+R17+R18+R19</f>
        <v>7010</v>
      </c>
      <c r="S11" s="355">
        <f t="shared" si="22"/>
        <v>0</v>
      </c>
      <c r="T11" s="355">
        <f t="shared" si="5"/>
        <v>7010</v>
      </c>
      <c r="U11" s="355">
        <f t="shared" ref="U11:V11" si="23">U12+U13+U14+U15+U16+U17+U18+U19</f>
        <v>7010</v>
      </c>
      <c r="V11" s="355">
        <f t="shared" si="23"/>
        <v>0</v>
      </c>
      <c r="W11" s="355">
        <f t="shared" si="6"/>
        <v>7010</v>
      </c>
      <c r="X11" s="355">
        <f t="shared" ref="X11:Y11" si="24">X12+X13+X14+X15+X16+X17+X18+X19</f>
        <v>7010</v>
      </c>
      <c r="Y11" s="355">
        <f t="shared" si="24"/>
        <v>0</v>
      </c>
      <c r="Z11" s="355">
        <f t="shared" si="7"/>
        <v>7010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273">
        <v>0</v>
      </c>
      <c r="D13" s="273">
        <v>0</v>
      </c>
      <c r="E13" s="273">
        <f t="shared" si="0"/>
        <v>0</v>
      </c>
      <c r="F13" s="273">
        <v>0</v>
      </c>
      <c r="G13" s="273">
        <v>0</v>
      </c>
      <c r="H13" s="273">
        <f t="shared" si="1"/>
        <v>0</v>
      </c>
      <c r="I13" s="273">
        <v>0</v>
      </c>
      <c r="J13" s="273">
        <v>0</v>
      </c>
      <c r="K13" s="273">
        <f t="shared" si="2"/>
        <v>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4300</v>
      </c>
      <c r="D15" s="273">
        <v>0</v>
      </c>
      <c r="E15" s="273">
        <f t="shared" si="0"/>
        <v>4300</v>
      </c>
      <c r="F15" s="273">
        <v>4300</v>
      </c>
      <c r="G15" s="273">
        <v>0</v>
      </c>
      <c r="H15" s="273">
        <f t="shared" si="1"/>
        <v>4300</v>
      </c>
      <c r="I15" s="273">
        <v>4300</v>
      </c>
      <c r="J15" s="273">
        <v>0</v>
      </c>
      <c r="K15" s="273">
        <f t="shared" si="2"/>
        <v>4300</v>
      </c>
      <c r="L15" s="273">
        <v>6275</v>
      </c>
      <c r="M15" s="273">
        <v>0</v>
      </c>
      <c r="N15" s="273">
        <f t="shared" si="3"/>
        <v>6275</v>
      </c>
      <c r="O15" s="923">
        <v>6300</v>
      </c>
      <c r="P15" s="923">
        <v>0</v>
      </c>
      <c r="Q15" s="923">
        <f t="shared" si="4"/>
        <v>6300</v>
      </c>
      <c r="R15" s="273">
        <v>6300</v>
      </c>
      <c r="S15" s="273">
        <v>0</v>
      </c>
      <c r="T15" s="273">
        <f t="shared" si="5"/>
        <v>6300</v>
      </c>
      <c r="U15" s="273">
        <v>6300</v>
      </c>
      <c r="V15" s="273">
        <v>0</v>
      </c>
      <c r="W15" s="273">
        <f t="shared" si="6"/>
        <v>6300</v>
      </c>
      <c r="X15" s="923">
        <v>6300</v>
      </c>
      <c r="Y15" s="923">
        <v>0</v>
      </c>
      <c r="Z15" s="923">
        <f t="shared" si="7"/>
        <v>6300</v>
      </c>
    </row>
    <row r="16" spans="1:26" x14ac:dyDescent="0.25">
      <c r="A16" s="392"/>
      <c r="B16" s="356" t="s">
        <v>665</v>
      </c>
      <c r="C16" s="273">
        <v>486</v>
      </c>
      <c r="D16" s="273">
        <v>0</v>
      </c>
      <c r="E16" s="273">
        <f t="shared" si="0"/>
        <v>486</v>
      </c>
      <c r="F16" s="273">
        <v>486</v>
      </c>
      <c r="G16" s="273">
        <v>0</v>
      </c>
      <c r="H16" s="273">
        <f t="shared" si="1"/>
        <v>486</v>
      </c>
      <c r="I16" s="273">
        <v>486</v>
      </c>
      <c r="J16" s="273">
        <v>0</v>
      </c>
      <c r="K16" s="273">
        <f t="shared" si="2"/>
        <v>486</v>
      </c>
      <c r="L16" s="273">
        <v>708</v>
      </c>
      <c r="M16" s="273">
        <v>0</v>
      </c>
      <c r="N16" s="273">
        <f t="shared" si="3"/>
        <v>708</v>
      </c>
      <c r="O16" s="923">
        <v>710</v>
      </c>
      <c r="P16" s="923">
        <v>0</v>
      </c>
      <c r="Q16" s="923">
        <f t="shared" si="4"/>
        <v>710</v>
      </c>
      <c r="R16" s="273">
        <v>710</v>
      </c>
      <c r="S16" s="273">
        <v>0</v>
      </c>
      <c r="T16" s="273">
        <f t="shared" si="5"/>
        <v>710</v>
      </c>
      <c r="U16" s="273">
        <v>710</v>
      </c>
      <c r="V16" s="273">
        <v>0</v>
      </c>
      <c r="W16" s="273">
        <f t="shared" si="6"/>
        <v>710</v>
      </c>
      <c r="X16" s="923">
        <v>710</v>
      </c>
      <c r="Y16" s="923">
        <v>0</v>
      </c>
      <c r="Z16" s="923">
        <f t="shared" si="7"/>
        <v>710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0</v>
      </c>
      <c r="M17" s="273">
        <v>0</v>
      </c>
      <c r="N17" s="273">
        <f t="shared" si="3"/>
        <v>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93</v>
      </c>
      <c r="M19" s="273">
        <v>0</v>
      </c>
      <c r="N19" s="273">
        <f t="shared" si="3"/>
        <v>93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4786</v>
      </c>
      <c r="D30" s="360">
        <f t="shared" si="44"/>
        <v>0</v>
      </c>
      <c r="E30" s="360">
        <f t="shared" si="0"/>
        <v>4786</v>
      </c>
      <c r="F30" s="360">
        <f t="shared" ref="F30:G30" si="45">F22+F8</f>
        <v>4786</v>
      </c>
      <c r="G30" s="360">
        <f t="shared" si="45"/>
        <v>0</v>
      </c>
      <c r="H30" s="360">
        <f t="shared" si="1"/>
        <v>4786</v>
      </c>
      <c r="I30" s="360">
        <f t="shared" ref="I30:J30" si="46">I22+I8</f>
        <v>4786</v>
      </c>
      <c r="J30" s="360">
        <f t="shared" si="46"/>
        <v>0</v>
      </c>
      <c r="K30" s="360">
        <f t="shared" si="2"/>
        <v>4786</v>
      </c>
      <c r="L30" s="360">
        <f t="shared" ref="L30:M30" si="47">L22+L8</f>
        <v>7076</v>
      </c>
      <c r="M30" s="360">
        <f t="shared" si="47"/>
        <v>0</v>
      </c>
      <c r="N30" s="360">
        <f t="shared" si="3"/>
        <v>7076</v>
      </c>
      <c r="O30" s="360">
        <f t="shared" ref="O30:P30" si="48">O22+O8</f>
        <v>7010</v>
      </c>
      <c r="P30" s="360">
        <f t="shared" si="48"/>
        <v>0</v>
      </c>
      <c r="Q30" s="360">
        <f t="shared" si="4"/>
        <v>7010</v>
      </c>
      <c r="R30" s="360">
        <f t="shared" ref="R30:S30" si="49">R22+R8</f>
        <v>7010</v>
      </c>
      <c r="S30" s="360">
        <f t="shared" si="49"/>
        <v>0</v>
      </c>
      <c r="T30" s="360">
        <f t="shared" si="5"/>
        <v>7010</v>
      </c>
      <c r="U30" s="360">
        <f t="shared" ref="U30:V30" si="50">U22+U8</f>
        <v>7010</v>
      </c>
      <c r="V30" s="360">
        <f t="shared" si="50"/>
        <v>0</v>
      </c>
      <c r="W30" s="360">
        <f t="shared" si="6"/>
        <v>7010</v>
      </c>
      <c r="X30" s="360">
        <f t="shared" ref="X30:Y30" si="51">X22+X8</f>
        <v>7010</v>
      </c>
      <c r="Y30" s="360">
        <f t="shared" si="51"/>
        <v>0</v>
      </c>
      <c r="Z30" s="360">
        <f t="shared" si="7"/>
        <v>7010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119838</v>
      </c>
      <c r="D31" s="352">
        <f t="shared" si="52"/>
        <v>0</v>
      </c>
      <c r="E31" s="352">
        <f t="shared" si="0"/>
        <v>119838</v>
      </c>
      <c r="F31" s="352">
        <f t="shared" si="52"/>
        <v>121138</v>
      </c>
      <c r="G31" s="352">
        <f t="shared" si="52"/>
        <v>0</v>
      </c>
      <c r="H31" s="352">
        <f t="shared" si="1"/>
        <v>121138</v>
      </c>
      <c r="I31" s="352">
        <f t="shared" si="52"/>
        <v>121138</v>
      </c>
      <c r="J31" s="352">
        <f t="shared" si="52"/>
        <v>0</v>
      </c>
      <c r="K31" s="352">
        <f t="shared" si="2"/>
        <v>121138</v>
      </c>
      <c r="L31" s="352">
        <f t="shared" si="52"/>
        <v>116168</v>
      </c>
      <c r="M31" s="352">
        <f t="shared" si="52"/>
        <v>0</v>
      </c>
      <c r="N31" s="352">
        <f t="shared" si="3"/>
        <v>116168</v>
      </c>
      <c r="O31" s="352">
        <f t="shared" si="52"/>
        <v>127842</v>
      </c>
      <c r="P31" s="352">
        <f t="shared" si="52"/>
        <v>0</v>
      </c>
      <c r="Q31" s="352">
        <f t="shared" si="4"/>
        <v>127842</v>
      </c>
      <c r="R31" s="352">
        <f t="shared" si="52"/>
        <v>129274</v>
      </c>
      <c r="S31" s="352">
        <f t="shared" si="52"/>
        <v>0</v>
      </c>
      <c r="T31" s="352">
        <f t="shared" si="5"/>
        <v>129274</v>
      </c>
      <c r="U31" s="352">
        <f t="shared" si="52"/>
        <v>129274</v>
      </c>
      <c r="V31" s="352">
        <f t="shared" si="52"/>
        <v>0</v>
      </c>
      <c r="W31" s="352">
        <f t="shared" si="6"/>
        <v>129274</v>
      </c>
      <c r="X31" s="352">
        <f t="shared" si="52"/>
        <v>129274</v>
      </c>
      <c r="Y31" s="352">
        <f t="shared" si="52"/>
        <v>0</v>
      </c>
      <c r="Z31" s="352">
        <f t="shared" si="7"/>
        <v>129274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119838</v>
      </c>
      <c r="D32" s="355">
        <f t="shared" si="53"/>
        <v>0</v>
      </c>
      <c r="E32" s="355">
        <f t="shared" si="0"/>
        <v>119838</v>
      </c>
      <c r="F32" s="355">
        <f t="shared" ref="F32:G32" si="54">SUM(F33:F34)</f>
        <v>121138</v>
      </c>
      <c r="G32" s="355">
        <f t="shared" si="54"/>
        <v>0</v>
      </c>
      <c r="H32" s="355">
        <f t="shared" si="1"/>
        <v>121138</v>
      </c>
      <c r="I32" s="355">
        <f t="shared" ref="I32:J32" si="55">SUM(I33:I34)</f>
        <v>121138</v>
      </c>
      <c r="J32" s="355">
        <f t="shared" si="55"/>
        <v>0</v>
      </c>
      <c r="K32" s="355">
        <f t="shared" si="2"/>
        <v>121138</v>
      </c>
      <c r="L32" s="355">
        <f t="shared" ref="L32:M32" si="56">SUM(L33:L34)</f>
        <v>116168</v>
      </c>
      <c r="M32" s="355">
        <f t="shared" si="56"/>
        <v>0</v>
      </c>
      <c r="N32" s="355">
        <f t="shared" si="3"/>
        <v>116168</v>
      </c>
      <c r="O32" s="355">
        <f t="shared" ref="O32:P32" si="57">SUM(O33:O34)</f>
        <v>127842</v>
      </c>
      <c r="P32" s="355">
        <f t="shared" si="57"/>
        <v>0</v>
      </c>
      <c r="Q32" s="355">
        <f t="shared" si="4"/>
        <v>127842</v>
      </c>
      <c r="R32" s="355">
        <f t="shared" ref="R32:S32" si="58">SUM(R33:R34)</f>
        <v>129274</v>
      </c>
      <c r="S32" s="355">
        <f t="shared" si="58"/>
        <v>0</v>
      </c>
      <c r="T32" s="355">
        <f t="shared" si="5"/>
        <v>129274</v>
      </c>
      <c r="U32" s="355">
        <f t="shared" ref="U32:V32" si="59">SUM(U33:U34)</f>
        <v>129274</v>
      </c>
      <c r="V32" s="355">
        <f t="shared" si="59"/>
        <v>0</v>
      </c>
      <c r="W32" s="355">
        <f t="shared" si="6"/>
        <v>129274</v>
      </c>
      <c r="X32" s="355">
        <f t="shared" ref="X32:Y32" si="60">SUM(X33:X34)</f>
        <v>129274</v>
      </c>
      <c r="Y32" s="355">
        <f t="shared" si="60"/>
        <v>0</v>
      </c>
      <c r="Z32" s="355">
        <f t="shared" si="7"/>
        <v>129274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1300</v>
      </c>
      <c r="G33" s="273">
        <v>0</v>
      </c>
      <c r="H33" s="273">
        <f t="shared" si="1"/>
        <v>1300</v>
      </c>
      <c r="I33" s="273">
        <v>638</v>
      </c>
      <c r="J33" s="273">
        <v>0</v>
      </c>
      <c r="K33" s="273">
        <f t="shared" si="2"/>
        <v>638</v>
      </c>
      <c r="L33" s="273">
        <v>1300</v>
      </c>
      <c r="M33" s="273">
        <v>0</v>
      </c>
      <c r="N33" s="273">
        <f t="shared" si="3"/>
        <v>1300</v>
      </c>
      <c r="O33" s="923">
        <v>0</v>
      </c>
      <c r="P33" s="923">
        <v>0</v>
      </c>
      <c r="Q33" s="923">
        <f t="shared" si="4"/>
        <v>0</v>
      </c>
      <c r="R33" s="273">
        <v>1432</v>
      </c>
      <c r="S33" s="273">
        <v>0</v>
      </c>
      <c r="T33" s="273">
        <f t="shared" si="5"/>
        <v>1432</v>
      </c>
      <c r="U33" s="273">
        <v>1432</v>
      </c>
      <c r="V33" s="273">
        <v>0</v>
      </c>
      <c r="W33" s="273">
        <f t="shared" si="6"/>
        <v>1432</v>
      </c>
      <c r="X33" s="923">
        <v>1432</v>
      </c>
      <c r="Y33" s="923">
        <v>0</v>
      </c>
      <c r="Z33" s="923">
        <f t="shared" si="7"/>
        <v>1432</v>
      </c>
    </row>
    <row r="34" spans="1:26" x14ac:dyDescent="0.25">
      <c r="A34" s="392"/>
      <c r="B34" s="358" t="s">
        <v>332</v>
      </c>
      <c r="C34" s="273">
        <f t="shared" ref="C34:D34" si="61">C36+C42-C30-C33</f>
        <v>119838</v>
      </c>
      <c r="D34" s="273">
        <f t="shared" si="61"/>
        <v>0</v>
      </c>
      <c r="E34" s="273">
        <f t="shared" si="0"/>
        <v>119838</v>
      </c>
      <c r="F34" s="273">
        <f t="shared" ref="F34:G34" si="62">F36+F42-F30-F33</f>
        <v>119838</v>
      </c>
      <c r="G34" s="273">
        <f t="shared" si="62"/>
        <v>0</v>
      </c>
      <c r="H34" s="273">
        <f t="shared" si="1"/>
        <v>119838</v>
      </c>
      <c r="I34" s="273">
        <f t="shared" ref="I34:J34" si="63">I36+I42-I30-I33</f>
        <v>120500</v>
      </c>
      <c r="J34" s="273">
        <f t="shared" si="63"/>
        <v>0</v>
      </c>
      <c r="K34" s="273">
        <f t="shared" si="2"/>
        <v>120500</v>
      </c>
      <c r="L34" s="273">
        <v>114868</v>
      </c>
      <c r="M34" s="273">
        <f t="shared" ref="M34" si="64">M36+M42-M30-M33</f>
        <v>0</v>
      </c>
      <c r="N34" s="273">
        <f t="shared" si="3"/>
        <v>114868</v>
      </c>
      <c r="O34" s="923">
        <f t="shared" ref="O34:P34" si="65">O36+O42-O30-O33</f>
        <v>127842</v>
      </c>
      <c r="P34" s="923">
        <f t="shared" si="65"/>
        <v>0</v>
      </c>
      <c r="Q34" s="923">
        <f t="shared" si="4"/>
        <v>127842</v>
      </c>
      <c r="R34" s="273">
        <f t="shared" ref="R34:S34" si="66">R36+R42-R30-R33</f>
        <v>127842</v>
      </c>
      <c r="S34" s="273">
        <f t="shared" si="66"/>
        <v>0</v>
      </c>
      <c r="T34" s="273">
        <f t="shared" si="5"/>
        <v>127842</v>
      </c>
      <c r="U34" s="273">
        <f t="shared" ref="U34:V34" si="67">U36+U42-U30-U33</f>
        <v>127842</v>
      </c>
      <c r="V34" s="273">
        <f t="shared" si="67"/>
        <v>0</v>
      </c>
      <c r="W34" s="273">
        <f t="shared" si="6"/>
        <v>127842</v>
      </c>
      <c r="X34" s="923">
        <f t="shared" ref="X34:Y34" si="68">X36+X42-X30-X33</f>
        <v>127842</v>
      </c>
      <c r="Y34" s="923">
        <f t="shared" si="68"/>
        <v>0</v>
      </c>
      <c r="Z34" s="923">
        <f t="shared" si="7"/>
        <v>127842</v>
      </c>
    </row>
    <row r="35" spans="1:26" x14ac:dyDescent="0.25">
      <c r="A35" s="361"/>
      <c r="B35" s="362" t="s">
        <v>333</v>
      </c>
      <c r="C35" s="333">
        <f t="shared" ref="C35:D35" si="69">C31+C22+C8</f>
        <v>124624</v>
      </c>
      <c r="D35" s="333">
        <f t="shared" si="69"/>
        <v>0</v>
      </c>
      <c r="E35" s="333">
        <f t="shared" si="0"/>
        <v>124624</v>
      </c>
      <c r="F35" s="333">
        <f t="shared" ref="F35:G35" si="70">F31+F22+F8</f>
        <v>125924</v>
      </c>
      <c r="G35" s="333">
        <f t="shared" si="70"/>
        <v>0</v>
      </c>
      <c r="H35" s="333">
        <f t="shared" si="1"/>
        <v>125924</v>
      </c>
      <c r="I35" s="333">
        <f t="shared" ref="I35:J35" si="71">I31+I22+I8</f>
        <v>125924</v>
      </c>
      <c r="J35" s="333">
        <f t="shared" si="71"/>
        <v>0</v>
      </c>
      <c r="K35" s="333">
        <f t="shared" si="2"/>
        <v>125924</v>
      </c>
      <c r="L35" s="333">
        <f t="shared" ref="L35:M35" si="72">L31+L22+L8</f>
        <v>123244</v>
      </c>
      <c r="M35" s="333">
        <f t="shared" si="72"/>
        <v>0</v>
      </c>
      <c r="N35" s="333">
        <f t="shared" si="3"/>
        <v>123244</v>
      </c>
      <c r="O35" s="333">
        <f t="shared" ref="O35:P35" si="73">O31+O22+O8</f>
        <v>134852</v>
      </c>
      <c r="P35" s="333">
        <f t="shared" si="73"/>
        <v>0</v>
      </c>
      <c r="Q35" s="333">
        <f t="shared" si="4"/>
        <v>134852</v>
      </c>
      <c r="R35" s="333">
        <f t="shared" ref="R35:S35" si="74">R31+R22+R8</f>
        <v>136284</v>
      </c>
      <c r="S35" s="333">
        <f t="shared" si="74"/>
        <v>0</v>
      </c>
      <c r="T35" s="333">
        <f t="shared" si="5"/>
        <v>136284</v>
      </c>
      <c r="U35" s="333">
        <f t="shared" ref="U35:V35" si="75">U31+U22+U8</f>
        <v>136284</v>
      </c>
      <c r="V35" s="333">
        <f t="shared" si="75"/>
        <v>0</v>
      </c>
      <c r="W35" s="333">
        <f t="shared" si="6"/>
        <v>136284</v>
      </c>
      <c r="X35" s="333">
        <f t="shared" ref="X35:Y35" si="76">X31+X22+X8</f>
        <v>136284</v>
      </c>
      <c r="Y35" s="333">
        <f t="shared" si="76"/>
        <v>0</v>
      </c>
      <c r="Z35" s="333">
        <f t="shared" si="7"/>
        <v>136284</v>
      </c>
    </row>
    <row r="36" spans="1:26" x14ac:dyDescent="0.25">
      <c r="A36" s="350" t="s">
        <v>309</v>
      </c>
      <c r="B36" s="351" t="s">
        <v>334</v>
      </c>
      <c r="C36" s="352">
        <f t="shared" ref="C36:D36" si="77">SUM(C37:C41)</f>
        <v>123012</v>
      </c>
      <c r="D36" s="352">
        <f t="shared" si="77"/>
        <v>0</v>
      </c>
      <c r="E36" s="352">
        <f t="shared" si="0"/>
        <v>123012</v>
      </c>
      <c r="F36" s="352">
        <f t="shared" ref="F36:G36" si="78">SUM(F37:F41)</f>
        <v>124144</v>
      </c>
      <c r="G36" s="352">
        <f t="shared" si="78"/>
        <v>0</v>
      </c>
      <c r="H36" s="352">
        <f t="shared" si="1"/>
        <v>124144</v>
      </c>
      <c r="I36" s="352">
        <f t="shared" ref="I36:J36" si="79">SUM(I37:I41)</f>
        <v>124144</v>
      </c>
      <c r="J36" s="352">
        <f t="shared" si="79"/>
        <v>0</v>
      </c>
      <c r="K36" s="352">
        <f t="shared" si="2"/>
        <v>124144</v>
      </c>
      <c r="L36" s="352">
        <f t="shared" ref="L36:M36" si="80">SUM(L37:L41)</f>
        <v>118937</v>
      </c>
      <c r="M36" s="352">
        <f t="shared" si="80"/>
        <v>0</v>
      </c>
      <c r="N36" s="352">
        <f t="shared" si="3"/>
        <v>118937</v>
      </c>
      <c r="O36" s="352">
        <f t="shared" ref="O36:P36" si="81">SUM(O37:O41)</f>
        <v>131867</v>
      </c>
      <c r="P36" s="352">
        <f t="shared" si="81"/>
        <v>0</v>
      </c>
      <c r="Q36" s="352">
        <f t="shared" si="4"/>
        <v>131867</v>
      </c>
      <c r="R36" s="352">
        <f t="shared" ref="R36:S36" si="82">SUM(R37:R41)</f>
        <v>133299</v>
      </c>
      <c r="S36" s="352">
        <f t="shared" si="82"/>
        <v>0</v>
      </c>
      <c r="T36" s="352">
        <f t="shared" si="5"/>
        <v>133299</v>
      </c>
      <c r="U36" s="352">
        <f t="shared" ref="U36:V36" si="83">SUM(U37:U41)</f>
        <v>133299</v>
      </c>
      <c r="V36" s="352">
        <f t="shared" si="83"/>
        <v>0</v>
      </c>
      <c r="W36" s="352">
        <f t="shared" si="6"/>
        <v>133299</v>
      </c>
      <c r="X36" s="352">
        <f t="shared" ref="X36:Y36" si="84">SUM(X37:X41)</f>
        <v>133299</v>
      </c>
      <c r="Y36" s="352">
        <f t="shared" si="84"/>
        <v>0</v>
      </c>
      <c r="Z36" s="352">
        <f t="shared" si="7"/>
        <v>133299</v>
      </c>
    </row>
    <row r="37" spans="1:26" x14ac:dyDescent="0.25">
      <c r="A37" s="353" t="s">
        <v>311</v>
      </c>
      <c r="B37" s="354" t="s">
        <v>286</v>
      </c>
      <c r="C37" s="355">
        <f>'5 GSZNR fel'!E119+'5 GSZNR fel'!E125</f>
        <v>81237</v>
      </c>
      <c r="D37" s="355">
        <f>'5 GSZNR fel'!D119+'5 GSZNR fel'!D125</f>
        <v>0</v>
      </c>
      <c r="E37" s="355">
        <f t="shared" si="0"/>
        <v>81237</v>
      </c>
      <c r="F37" s="355">
        <f>'5 GSZNR fel'!H119+'5 GSZNR fel'!H125</f>
        <v>81237</v>
      </c>
      <c r="G37" s="355">
        <f>'5 GSZNR fel'!I119+'5 GSZNR fel'!I125</f>
        <v>0</v>
      </c>
      <c r="H37" s="355">
        <f t="shared" si="1"/>
        <v>81237</v>
      </c>
      <c r="I37" s="355">
        <f>'5 GSZNR fel'!K119+'5 GSZNR fel'!K125</f>
        <v>81237</v>
      </c>
      <c r="J37" s="355">
        <f>'5 GSZNR fel'!M119+'5 GSZNR fel'!M125</f>
        <v>0</v>
      </c>
      <c r="K37" s="355">
        <f t="shared" si="2"/>
        <v>81237</v>
      </c>
      <c r="L37" s="355">
        <f>'5 GSZNR fel'!N119+'5 GSZNR fel'!N125</f>
        <v>80375</v>
      </c>
      <c r="M37" s="355">
        <f>'5 GSZNR fel'!L119+'5 GSZNR fel'!L125</f>
        <v>0</v>
      </c>
      <c r="N37" s="355">
        <f t="shared" si="3"/>
        <v>80375</v>
      </c>
      <c r="O37" s="921">
        <f>'5 GSZNR fel'!Q119+'5 GSZNR fel'!Q125</f>
        <v>89678</v>
      </c>
      <c r="P37" s="921">
        <f>'5 GSZNR fel'!P119+'5 GSZNR fel'!P125</f>
        <v>0</v>
      </c>
      <c r="Q37" s="921">
        <f t="shared" si="4"/>
        <v>89678</v>
      </c>
      <c r="R37" s="355">
        <f>'5 GSZNR fel'!T119+'5 GSZNR fel'!T125</f>
        <v>89678</v>
      </c>
      <c r="S37" s="355">
        <f>'5 GSZNR fel'!S119+'5 GSZNR fel'!S125</f>
        <v>0</v>
      </c>
      <c r="T37" s="355">
        <f t="shared" si="5"/>
        <v>89678</v>
      </c>
      <c r="U37" s="355">
        <f>'5 GSZNR fel'!W119+'5 GSZNR fel'!W125</f>
        <v>89678</v>
      </c>
      <c r="V37" s="355">
        <f>'5 GSZNR fel'!V119+'5 GSZNR fel'!V125</f>
        <v>0</v>
      </c>
      <c r="W37" s="355">
        <f t="shared" si="6"/>
        <v>89678</v>
      </c>
      <c r="X37" s="921">
        <f>'5 GSZNR fel'!Z119+'5 GSZNR fel'!Z125</f>
        <v>90283</v>
      </c>
      <c r="Y37" s="921">
        <f>'5 GSZNR fel'!Y119+'5 GSZNR fel'!Y125</f>
        <v>0</v>
      </c>
      <c r="Z37" s="921">
        <f t="shared" si="7"/>
        <v>90283</v>
      </c>
    </row>
    <row r="38" spans="1:26" x14ac:dyDescent="0.25">
      <c r="A38" s="353" t="s">
        <v>322</v>
      </c>
      <c r="B38" s="354" t="s">
        <v>335</v>
      </c>
      <c r="C38" s="355">
        <f>'5 GSZNR fel'!E120+'5 GSZNR fel'!E126</f>
        <v>15948</v>
      </c>
      <c r="D38" s="355">
        <f>'5 GSZNR fel'!D120+'5 GSZNR fel'!D126</f>
        <v>0</v>
      </c>
      <c r="E38" s="355">
        <f t="shared" si="0"/>
        <v>15948</v>
      </c>
      <c r="F38" s="355">
        <f>'5 GSZNR fel'!H120+'5 GSZNR fel'!H126</f>
        <v>15948</v>
      </c>
      <c r="G38" s="355">
        <f>'5 GSZNR fel'!I120+'5 GSZNR fel'!I126</f>
        <v>0</v>
      </c>
      <c r="H38" s="355">
        <f t="shared" si="1"/>
        <v>15948</v>
      </c>
      <c r="I38" s="355">
        <f>'5 GSZNR fel'!K120+'5 GSZNR fel'!K126</f>
        <v>15948</v>
      </c>
      <c r="J38" s="355">
        <f>'5 GSZNR fel'!M120+'5 GSZNR fel'!M126</f>
        <v>0</v>
      </c>
      <c r="K38" s="355">
        <f t="shared" si="2"/>
        <v>15948</v>
      </c>
      <c r="L38" s="355">
        <f>'5 GSZNR fel'!N120+'5 GSZNR fel'!N126</f>
        <v>16146</v>
      </c>
      <c r="M38" s="355">
        <f>'5 GSZNR fel'!L120+'5 GSZNR fel'!L126</f>
        <v>0</v>
      </c>
      <c r="N38" s="355">
        <f t="shared" si="3"/>
        <v>16146</v>
      </c>
      <c r="O38" s="921">
        <f>'5 GSZNR fel'!Q120+'5 GSZNR fel'!Q126</f>
        <v>17039</v>
      </c>
      <c r="P38" s="921">
        <f>'5 GSZNR fel'!P120+'5 GSZNR fel'!P126</f>
        <v>0</v>
      </c>
      <c r="Q38" s="921">
        <f t="shared" si="4"/>
        <v>17039</v>
      </c>
      <c r="R38" s="355">
        <f>'5 GSZNR fel'!T120+'5 GSZNR fel'!T126</f>
        <v>17039</v>
      </c>
      <c r="S38" s="355">
        <f>'5 GSZNR fel'!S120+'5 GSZNR fel'!S126</f>
        <v>0</v>
      </c>
      <c r="T38" s="355">
        <f t="shared" si="5"/>
        <v>17039</v>
      </c>
      <c r="U38" s="355">
        <f>'5 GSZNR fel'!W120+'5 GSZNR fel'!W126</f>
        <v>17039</v>
      </c>
      <c r="V38" s="355">
        <f>'5 GSZNR fel'!V120+'5 GSZNR fel'!V126</f>
        <v>0</v>
      </c>
      <c r="W38" s="355">
        <f t="shared" si="6"/>
        <v>17039</v>
      </c>
      <c r="X38" s="921">
        <f>'5 GSZNR fel'!Z120+'5 GSZNR fel'!Z126</f>
        <v>17265</v>
      </c>
      <c r="Y38" s="921">
        <f>'5 GSZNR fel'!Y120+'5 GSZNR fel'!Y126</f>
        <v>0</v>
      </c>
      <c r="Z38" s="921">
        <f t="shared" si="7"/>
        <v>17265</v>
      </c>
    </row>
    <row r="39" spans="1:26" x14ac:dyDescent="0.25">
      <c r="A39" s="353" t="s">
        <v>315</v>
      </c>
      <c r="B39" s="354" t="s">
        <v>292</v>
      </c>
      <c r="C39" s="355">
        <f>'5 GSZNR fel'!E121+'5 GSZNR fel'!E127</f>
        <v>25827</v>
      </c>
      <c r="D39" s="355">
        <f>'5 GSZNR fel'!D121+'5 GSZNR fel'!D127</f>
        <v>0</v>
      </c>
      <c r="E39" s="355">
        <f t="shared" si="0"/>
        <v>25827</v>
      </c>
      <c r="F39" s="355">
        <f>'5 GSZNR fel'!H121+'5 GSZNR fel'!H127</f>
        <v>25734</v>
      </c>
      <c r="G39" s="355">
        <f>'5 GSZNR fel'!I121+'5 GSZNR fel'!I127</f>
        <v>0</v>
      </c>
      <c r="H39" s="355">
        <f t="shared" si="1"/>
        <v>25734</v>
      </c>
      <c r="I39" s="355">
        <f>'5 GSZNR fel'!K121+'5 GSZNR fel'!K127</f>
        <v>25734</v>
      </c>
      <c r="J39" s="355">
        <f>'5 GSZNR fel'!M121+'5 GSZNR fel'!M127</f>
        <v>0</v>
      </c>
      <c r="K39" s="355">
        <f t="shared" si="2"/>
        <v>25734</v>
      </c>
      <c r="L39" s="355">
        <f>'5 GSZNR fel'!N121+'5 GSZNR fel'!N127</f>
        <v>21191</v>
      </c>
      <c r="M39" s="355">
        <f>'5 GSZNR fel'!L121+'5 GSZNR fel'!L127</f>
        <v>0</v>
      </c>
      <c r="N39" s="355">
        <f t="shared" si="3"/>
        <v>21191</v>
      </c>
      <c r="O39" s="921">
        <f>'5 GSZNR fel'!Q121+'5 GSZNR fel'!Q127</f>
        <v>25150</v>
      </c>
      <c r="P39" s="921">
        <f>'5 GSZNR fel'!P121+'5 GSZNR fel'!P127</f>
        <v>0</v>
      </c>
      <c r="Q39" s="921">
        <f t="shared" si="4"/>
        <v>25150</v>
      </c>
      <c r="R39" s="355">
        <f>'5 GSZNR fel'!T121+'5 GSZNR fel'!T127</f>
        <v>26582</v>
      </c>
      <c r="S39" s="355">
        <f>'5 GSZNR fel'!S121+'5 GSZNR fel'!S127</f>
        <v>0</v>
      </c>
      <c r="T39" s="355">
        <f t="shared" si="5"/>
        <v>26582</v>
      </c>
      <c r="U39" s="355">
        <f>'5 GSZNR fel'!W121+'5 GSZNR fel'!W127</f>
        <v>26582</v>
      </c>
      <c r="V39" s="355">
        <f>'5 GSZNR fel'!V121+'5 GSZNR fel'!V127</f>
        <v>0</v>
      </c>
      <c r="W39" s="355">
        <f t="shared" si="6"/>
        <v>26582</v>
      </c>
      <c r="X39" s="921">
        <f>'5 GSZNR fel'!Z121+'5 GSZNR fel'!Z127</f>
        <v>25751</v>
      </c>
      <c r="Y39" s="921">
        <f>'5 GSZNR fel'!Y121+'5 GSZNR fel'!Y127</f>
        <v>0</v>
      </c>
      <c r="Z39" s="921">
        <f t="shared" si="7"/>
        <v>25751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fel'!H122</f>
        <v>1225</v>
      </c>
      <c r="G41" s="355">
        <v>0</v>
      </c>
      <c r="H41" s="355">
        <f t="shared" si="1"/>
        <v>1225</v>
      </c>
      <c r="I41" s="355">
        <f>+'5 GSZNR fel'!K122</f>
        <v>1225</v>
      </c>
      <c r="J41" s="355">
        <v>0</v>
      </c>
      <c r="K41" s="355">
        <f t="shared" si="2"/>
        <v>1225</v>
      </c>
      <c r="L41" s="355">
        <f>+'5 GSZNR fel'!N122</f>
        <v>1225</v>
      </c>
      <c r="M41" s="355">
        <v>0</v>
      </c>
      <c r="N41" s="355">
        <f t="shared" si="3"/>
        <v>1225</v>
      </c>
      <c r="O41" s="921">
        <f>+'5 GSZNR fel'!Q122</f>
        <v>0</v>
      </c>
      <c r="P41" s="921">
        <v>0</v>
      </c>
      <c r="Q41" s="921">
        <f t="shared" si="4"/>
        <v>0</v>
      </c>
      <c r="R41" s="355">
        <f>+'5 GSZNR fel'!T122</f>
        <v>0</v>
      </c>
      <c r="S41" s="355">
        <v>0</v>
      </c>
      <c r="T41" s="355">
        <f t="shared" si="5"/>
        <v>0</v>
      </c>
      <c r="U41" s="355">
        <f>+'5 GSZNR fel'!W122</f>
        <v>0</v>
      </c>
      <c r="V41" s="355">
        <v>0</v>
      </c>
      <c r="W41" s="355">
        <f t="shared" si="6"/>
        <v>0</v>
      </c>
      <c r="X41" s="921">
        <f>+'5 GSZNR fel'!Z122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" si="85">SUM(C43:C45)</f>
        <v>1612</v>
      </c>
      <c r="D42" s="352">
        <f t="shared" ref="D42" si="86">SUM(D43:D45)</f>
        <v>0</v>
      </c>
      <c r="E42" s="352">
        <f t="shared" si="0"/>
        <v>1612</v>
      </c>
      <c r="F42" s="352">
        <f t="shared" ref="F42:G42" si="87">SUM(F43:F45)</f>
        <v>1780</v>
      </c>
      <c r="G42" s="352">
        <f t="shared" si="87"/>
        <v>0</v>
      </c>
      <c r="H42" s="352">
        <f t="shared" si="1"/>
        <v>1780</v>
      </c>
      <c r="I42" s="352">
        <f t="shared" ref="I42:J42" si="88">SUM(I43:I45)</f>
        <v>1780</v>
      </c>
      <c r="J42" s="352">
        <f t="shared" si="88"/>
        <v>0</v>
      </c>
      <c r="K42" s="352">
        <f t="shared" si="2"/>
        <v>1780</v>
      </c>
      <c r="L42" s="352">
        <f t="shared" ref="L42:M42" si="89">SUM(L43:L45)</f>
        <v>2610</v>
      </c>
      <c r="M42" s="352">
        <f t="shared" si="89"/>
        <v>0</v>
      </c>
      <c r="N42" s="352">
        <f t="shared" si="3"/>
        <v>2610</v>
      </c>
      <c r="O42" s="352">
        <f t="shared" ref="O42:P42" si="90">SUM(O43:O45)</f>
        <v>2985</v>
      </c>
      <c r="P42" s="352">
        <f t="shared" si="90"/>
        <v>0</v>
      </c>
      <c r="Q42" s="352">
        <f t="shared" si="4"/>
        <v>2985</v>
      </c>
      <c r="R42" s="352">
        <f t="shared" ref="R42:S42" si="91">SUM(R43:R45)</f>
        <v>2985</v>
      </c>
      <c r="S42" s="352">
        <f t="shared" si="91"/>
        <v>0</v>
      </c>
      <c r="T42" s="352">
        <f t="shared" si="5"/>
        <v>2985</v>
      </c>
      <c r="U42" s="352">
        <f t="shared" ref="U42:V42" si="92">SUM(U43:U45)</f>
        <v>2985</v>
      </c>
      <c r="V42" s="352">
        <f t="shared" si="92"/>
        <v>0</v>
      </c>
      <c r="W42" s="352">
        <f t="shared" si="6"/>
        <v>2985</v>
      </c>
      <c r="X42" s="352">
        <f t="shared" ref="X42:Y42" si="93">SUM(X43:X45)</f>
        <v>2985</v>
      </c>
      <c r="Y42" s="352">
        <f t="shared" si="93"/>
        <v>0</v>
      </c>
      <c r="Z42" s="352">
        <f t="shared" si="7"/>
        <v>2985</v>
      </c>
    </row>
    <row r="43" spans="1:26" x14ac:dyDescent="0.25">
      <c r="A43" s="353" t="s">
        <v>311</v>
      </c>
      <c r="B43" s="354" t="s">
        <v>341</v>
      </c>
      <c r="C43" s="355">
        <f>'5 GSZNR fel'!E123+'5 GSZNR fel'!E128</f>
        <v>1612</v>
      </c>
      <c r="D43" s="355">
        <f>'5 GSZNR fel'!D123+'5 GSZNR fel'!D128</f>
        <v>0</v>
      </c>
      <c r="E43" s="355">
        <f t="shared" si="0"/>
        <v>1612</v>
      </c>
      <c r="F43" s="355">
        <f>'5 GSZNR fel'!H123+'5 GSZNR fel'!H128</f>
        <v>1780</v>
      </c>
      <c r="G43" s="355">
        <f>'5 GSZNR fel'!I123+'5 GSZNR fel'!I128</f>
        <v>0</v>
      </c>
      <c r="H43" s="355">
        <f t="shared" si="1"/>
        <v>1780</v>
      </c>
      <c r="I43" s="355">
        <f>'5 GSZNR fel'!K123+'5 GSZNR fel'!K128</f>
        <v>1780</v>
      </c>
      <c r="J43" s="355">
        <f>'5 GSZNR fel'!M123+'5 GSZNR fel'!M128</f>
        <v>0</v>
      </c>
      <c r="K43" s="355">
        <f t="shared" si="2"/>
        <v>1780</v>
      </c>
      <c r="L43" s="355">
        <f>'5 GSZNR fel'!N123+'5 GSZNR fel'!N128</f>
        <v>2610</v>
      </c>
      <c r="M43" s="355">
        <f>'5 GSZNR fel'!L123+'5 GSZNR fel'!L128</f>
        <v>0</v>
      </c>
      <c r="N43" s="355">
        <f t="shared" si="3"/>
        <v>2610</v>
      </c>
      <c r="O43" s="921">
        <f>'5 GSZNR fel'!Q123+'5 GSZNR fel'!Q128</f>
        <v>2985</v>
      </c>
      <c r="P43" s="921">
        <f>'5 GSZNR fel'!P123+'5 GSZNR fel'!P128</f>
        <v>0</v>
      </c>
      <c r="Q43" s="921">
        <f t="shared" si="4"/>
        <v>2985</v>
      </c>
      <c r="R43" s="355">
        <f>'5 GSZNR fel'!T123+'5 GSZNR fel'!T128</f>
        <v>2985</v>
      </c>
      <c r="S43" s="355">
        <f>'5 GSZNR fel'!S123+'5 GSZNR fel'!S128</f>
        <v>0</v>
      </c>
      <c r="T43" s="355">
        <f t="shared" si="5"/>
        <v>2985</v>
      </c>
      <c r="U43" s="355">
        <f>'5 GSZNR fel'!W123+'5 GSZNR fel'!W128</f>
        <v>2985</v>
      </c>
      <c r="V43" s="355">
        <f>'5 GSZNR fel'!V123+'5 GSZNR fel'!V128</f>
        <v>0</v>
      </c>
      <c r="W43" s="355">
        <f t="shared" si="6"/>
        <v>2985</v>
      </c>
      <c r="X43" s="921">
        <f>'5 GSZNR fel'!Z123+'5 GSZNR fel'!Z128</f>
        <v>2985</v>
      </c>
      <c r="Y43" s="921">
        <f>'5 GSZNR fel'!Y123+'5 GSZNR fel'!Y128</f>
        <v>0</v>
      </c>
      <c r="Z43" s="921">
        <f t="shared" si="7"/>
        <v>2985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f>'5 GSZNR fel'!I128+'5 GSZNR fel'!I133</f>
        <v>0</v>
      </c>
      <c r="G45" s="355">
        <v>0</v>
      </c>
      <c r="H45" s="355">
        <f t="shared" si="1"/>
        <v>0</v>
      </c>
      <c r="I45" s="355">
        <f>'5 GSZNR fel'!L128+'5 GSZNR fel'!L133</f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f>'5 GSZNR fel'!O128+'5 GSZNR fel'!O133</f>
        <v>0</v>
      </c>
      <c r="P45" s="921">
        <v>0</v>
      </c>
      <c r="Q45" s="921">
        <f t="shared" si="4"/>
        <v>0</v>
      </c>
      <c r="R45" s="355">
        <f>'5 GSZNR fel'!R128+'5 GSZNR fel'!R133</f>
        <v>0</v>
      </c>
      <c r="S45" s="355">
        <v>0</v>
      </c>
      <c r="T45" s="355">
        <f t="shared" si="5"/>
        <v>0</v>
      </c>
      <c r="U45" s="355">
        <f>'5 GSZNR fel'!U128+'5 GSZNR fel'!U133</f>
        <v>0</v>
      </c>
      <c r="V45" s="355">
        <v>0</v>
      </c>
      <c r="W45" s="355">
        <f t="shared" si="6"/>
        <v>0</v>
      </c>
      <c r="X45" s="921">
        <f>'5 GSZNR fel'!X128+'5 GSZNR fel'!X133</f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4">C36+C42</f>
        <v>124624</v>
      </c>
      <c r="D46" s="333">
        <f t="shared" si="94"/>
        <v>0</v>
      </c>
      <c r="E46" s="333">
        <f t="shared" si="0"/>
        <v>124624</v>
      </c>
      <c r="F46" s="333">
        <f t="shared" ref="F46:G46" si="95">F36+F42</f>
        <v>125924</v>
      </c>
      <c r="G46" s="333">
        <f t="shared" si="95"/>
        <v>0</v>
      </c>
      <c r="H46" s="333">
        <f t="shared" si="1"/>
        <v>125924</v>
      </c>
      <c r="I46" s="333">
        <f t="shared" ref="I46:J46" si="96">I36+I42</f>
        <v>125924</v>
      </c>
      <c r="J46" s="333">
        <f t="shared" si="96"/>
        <v>0</v>
      </c>
      <c r="K46" s="333">
        <f t="shared" si="2"/>
        <v>125924</v>
      </c>
      <c r="L46" s="333">
        <f t="shared" ref="L46:M46" si="97">L36+L42</f>
        <v>121547</v>
      </c>
      <c r="M46" s="333">
        <f t="shared" si="97"/>
        <v>0</v>
      </c>
      <c r="N46" s="333">
        <f t="shared" si="3"/>
        <v>121547</v>
      </c>
      <c r="O46" s="333">
        <f t="shared" ref="O46:P46" si="98">O36+O42</f>
        <v>134852</v>
      </c>
      <c r="P46" s="333">
        <f t="shared" si="98"/>
        <v>0</v>
      </c>
      <c r="Q46" s="333">
        <f t="shared" si="4"/>
        <v>134852</v>
      </c>
      <c r="R46" s="333">
        <f t="shared" ref="R46:S46" si="99">R36+R42</f>
        <v>136284</v>
      </c>
      <c r="S46" s="333">
        <f t="shared" si="99"/>
        <v>0</v>
      </c>
      <c r="T46" s="333">
        <f t="shared" si="5"/>
        <v>136284</v>
      </c>
      <c r="U46" s="333">
        <f t="shared" ref="U46:V46" si="100">U36+U42</f>
        <v>136284</v>
      </c>
      <c r="V46" s="333">
        <f t="shared" si="100"/>
        <v>0</v>
      </c>
      <c r="W46" s="333">
        <f t="shared" si="6"/>
        <v>136284</v>
      </c>
      <c r="X46" s="333">
        <f t="shared" ref="X46:Y46" si="101">X36+X42</f>
        <v>136284</v>
      </c>
      <c r="Y46" s="333">
        <f t="shared" si="101"/>
        <v>0</v>
      </c>
      <c r="Z46" s="333">
        <f t="shared" si="7"/>
        <v>136284</v>
      </c>
    </row>
  </sheetData>
  <mergeCells count="10">
    <mergeCell ref="X4:Z4"/>
    <mergeCell ref="U4:W4"/>
    <mergeCell ref="R4:T4"/>
    <mergeCell ref="A4:A5"/>
    <mergeCell ref="B4:B5"/>
    <mergeCell ref="L4:N4"/>
    <mergeCell ref="O4:Q4"/>
    <mergeCell ref="I4:K4"/>
    <mergeCell ref="F4:H4"/>
    <mergeCell ref="C4:E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8" fitToHeight="0" orientation="portrait" copies="2" r:id="rId1"/>
  <headerFooter>
    <oddHeader>&amp;L4/G.  melléklet a ...../2020. (.......) önkormányzati rendelethez&amp;C&amp;"-,Félkövér"&amp;16
A Szérűskert Bölcsőde 2019. évi bevételei és kiadásai jogcímenként és feladatonként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R186"/>
  <sheetViews>
    <sheetView zoomScale="150" zoomScaleNormal="150" zoomScaleSheetLayoutView="100" workbookViewId="0">
      <pane ySplit="4" topLeftCell="A183" activePane="bottomLeft" state="frozen"/>
      <selection pane="bottomLeft" activeCell="A187" sqref="A187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22" t="s">
        <v>258</v>
      </c>
      <c r="B1" s="1022"/>
      <c r="C1" s="1022"/>
      <c r="D1" s="1022"/>
      <c r="E1" s="1022"/>
      <c r="F1" s="1022"/>
      <c r="G1" s="1022"/>
      <c r="H1" s="1022"/>
      <c r="I1" s="1022"/>
    </row>
    <row r="2" spans="1:9" s="1" customFormat="1" ht="14.1" customHeight="1" x14ac:dyDescent="0.25">
      <c r="A2" s="1022" t="s">
        <v>0</v>
      </c>
      <c r="B2" s="1023" t="s">
        <v>1</v>
      </c>
      <c r="C2" s="1022" t="s">
        <v>2</v>
      </c>
      <c r="D2" s="1024" t="s">
        <v>260</v>
      </c>
      <c r="E2" s="1014" t="s">
        <v>259</v>
      </c>
      <c r="F2" s="1016" t="s">
        <v>261</v>
      </c>
      <c r="G2" s="1017"/>
      <c r="H2" s="1016" t="s">
        <v>262</v>
      </c>
      <c r="I2" s="1017"/>
    </row>
    <row r="3" spans="1:9" s="3" customFormat="1" ht="25.5" customHeight="1" x14ac:dyDescent="0.25">
      <c r="A3" s="1022"/>
      <c r="B3" s="1023"/>
      <c r="C3" s="1022"/>
      <c r="D3" s="1024"/>
      <c r="E3" s="1015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1021" t="s">
        <v>3</v>
      </c>
      <c r="B5" s="1021"/>
      <c r="C5" s="1021"/>
      <c r="D5" s="1021"/>
      <c r="E5" s="1021"/>
      <c r="F5" s="1021"/>
      <c r="G5" s="1021"/>
      <c r="H5" s="1021"/>
      <c r="I5" s="1021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34533</v>
      </c>
      <c r="E6" s="9">
        <f>G6+I6</f>
        <v>35647</v>
      </c>
      <c r="F6" s="10">
        <v>34533</v>
      </c>
      <c r="G6" s="10">
        <f>SUM(G7:G19)</f>
        <v>35647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266</v>
      </c>
      <c r="D7" s="13"/>
      <c r="E7" s="13"/>
      <c r="F7" s="14"/>
      <c r="G7" s="14">
        <v>1541</v>
      </c>
      <c r="H7" s="14"/>
      <c r="I7" s="14"/>
    </row>
    <row r="8" spans="1:9" s="15" customFormat="1" ht="11.45" customHeight="1" x14ac:dyDescent="0.25">
      <c r="A8" s="11"/>
      <c r="B8" s="11"/>
      <c r="C8" s="12" t="s">
        <v>267</v>
      </c>
      <c r="D8" s="13"/>
      <c r="E8" s="13"/>
      <c r="F8" s="14"/>
      <c r="G8" s="14">
        <v>3283</v>
      </c>
      <c r="H8" s="14"/>
      <c r="I8" s="14"/>
    </row>
    <row r="9" spans="1:9" s="15" customFormat="1" ht="11.45" customHeight="1" x14ac:dyDescent="0.25">
      <c r="A9" s="11"/>
      <c r="B9" s="11"/>
      <c r="C9" s="12" t="s">
        <v>268</v>
      </c>
      <c r="D9" s="13"/>
      <c r="E9" s="13"/>
      <c r="F9" s="14"/>
      <c r="G9" s="14">
        <v>3489</v>
      </c>
      <c r="H9" s="14"/>
      <c r="I9" s="14"/>
    </row>
    <row r="10" spans="1:9" s="15" customFormat="1" ht="11.45" customHeight="1" x14ac:dyDescent="0.25">
      <c r="A10" s="11"/>
      <c r="B10" s="11"/>
      <c r="C10" s="12" t="s">
        <v>269</v>
      </c>
      <c r="D10" s="13"/>
      <c r="E10" s="13"/>
      <c r="F10" s="14"/>
      <c r="G10" s="14">
        <v>3497</v>
      </c>
      <c r="H10" s="14"/>
      <c r="I10" s="14"/>
    </row>
    <row r="11" spans="1:9" s="15" customFormat="1" ht="11.45" customHeight="1" x14ac:dyDescent="0.25">
      <c r="A11" s="11"/>
      <c r="B11" s="11"/>
      <c r="C11" s="12" t="s">
        <v>270</v>
      </c>
      <c r="D11" s="13"/>
      <c r="E11" s="13"/>
      <c r="F11" s="14"/>
      <c r="G11" s="14">
        <f>1699+7*12</f>
        <v>1783</v>
      </c>
      <c r="H11" s="14"/>
      <c r="I11" s="14"/>
    </row>
    <row r="12" spans="1:9" s="15" customFormat="1" ht="11.45" customHeight="1" x14ac:dyDescent="0.25">
      <c r="A12" s="11"/>
      <c r="B12" s="11"/>
      <c r="C12" s="12" t="s">
        <v>271</v>
      </c>
      <c r="D12" s="13"/>
      <c r="E12" s="13"/>
      <c r="F12" s="14"/>
      <c r="G12" s="14">
        <v>1541</v>
      </c>
      <c r="H12" s="14"/>
      <c r="I12" s="14"/>
    </row>
    <row r="13" spans="1:9" s="15" customFormat="1" ht="11.45" customHeight="1" x14ac:dyDescent="0.25">
      <c r="A13" s="11"/>
      <c r="B13" s="11"/>
      <c r="C13" s="12" t="s">
        <v>272</v>
      </c>
      <c r="D13" s="13"/>
      <c r="E13" s="13"/>
      <c r="F13" s="14"/>
      <c r="G13" s="14">
        <f>2704+7*12</f>
        <v>2788</v>
      </c>
      <c r="H13" s="14"/>
      <c r="I13" s="14"/>
    </row>
    <row r="14" spans="1:9" s="15" customFormat="1" ht="11.45" customHeight="1" x14ac:dyDescent="0.25">
      <c r="A14" s="11"/>
      <c r="B14" s="11"/>
      <c r="C14" s="12" t="s">
        <v>273</v>
      </c>
      <c r="D14" s="13"/>
      <c r="E14" s="13"/>
      <c r="F14" s="14"/>
      <c r="G14" s="14">
        <v>3806</v>
      </c>
      <c r="H14" s="14"/>
      <c r="I14" s="14"/>
    </row>
    <row r="15" spans="1:9" s="15" customFormat="1" ht="11.45" customHeight="1" x14ac:dyDescent="0.25">
      <c r="A15" s="11"/>
      <c r="B15" s="11"/>
      <c r="C15" s="12" t="s">
        <v>265</v>
      </c>
      <c r="D15" s="13"/>
      <c r="E15" s="13"/>
      <c r="F15" s="14"/>
      <c r="G15" s="14">
        <v>771</v>
      </c>
      <c r="H15" s="14"/>
      <c r="I15" s="14"/>
    </row>
    <row r="16" spans="1:9" s="15" customFormat="1" ht="11.45" customHeight="1" x14ac:dyDescent="0.25">
      <c r="A16" s="11"/>
      <c r="B16" s="11"/>
      <c r="C16" s="12" t="s">
        <v>274</v>
      </c>
      <c r="D16" s="13"/>
      <c r="E16" s="13"/>
      <c r="F16" s="14"/>
      <c r="G16" s="14">
        <v>4621</v>
      </c>
      <c r="H16" s="14"/>
      <c r="I16" s="14"/>
    </row>
    <row r="17" spans="1:9" s="15" customFormat="1" ht="11.45" customHeight="1" x14ac:dyDescent="0.25">
      <c r="A17" s="11"/>
      <c r="B17" s="11"/>
      <c r="C17" s="12" t="s">
        <v>275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276</v>
      </c>
      <c r="D18" s="13"/>
      <c r="E18" s="13"/>
      <c r="F18" s="14"/>
      <c r="G18" s="14">
        <v>3798</v>
      </c>
      <c r="H18" s="14"/>
      <c r="I18" s="14"/>
    </row>
    <row r="19" spans="1:9" s="15" customFormat="1" ht="11.45" customHeight="1" x14ac:dyDescent="0.25">
      <c r="A19" s="11"/>
      <c r="B19" s="11"/>
      <c r="C19" s="12" t="s">
        <v>277</v>
      </c>
      <c r="D19" s="13"/>
      <c r="E19" s="13"/>
      <c r="F19" s="14"/>
      <c r="G19" s="14">
        <v>3188</v>
      </c>
      <c r="H19" s="14"/>
      <c r="I19" s="14"/>
    </row>
    <row r="20" spans="1:9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1000</v>
      </c>
      <c r="E22" s="9">
        <f t="shared" si="0"/>
        <v>900</v>
      </c>
      <c r="F22" s="10">
        <f>SUM(F23:F24)</f>
        <v>1000</v>
      </c>
      <c r="G22" s="10">
        <f>SUM(G23:G24)</f>
        <v>900</v>
      </c>
      <c r="H22" s="10">
        <v>0</v>
      </c>
      <c r="I22" s="10">
        <f t="shared" ref="I22" si="1">SUM(I23:I24)</f>
        <v>0</v>
      </c>
    </row>
    <row r="23" spans="1:9" s="15" customFormat="1" ht="11.45" customHeight="1" x14ac:dyDescent="0.25">
      <c r="A23" s="11"/>
      <c r="B23" s="11"/>
      <c r="C23" s="12" t="s">
        <v>16</v>
      </c>
      <c r="D23" s="13"/>
      <c r="E23" s="13"/>
      <c r="F23" s="14">
        <v>700</v>
      </c>
      <c r="G23" s="14">
        <v>600</v>
      </c>
      <c r="H23" s="14"/>
      <c r="I23" s="14"/>
    </row>
    <row r="24" spans="1:9" s="15" customFormat="1" ht="11.45" customHeight="1" x14ac:dyDescent="0.25">
      <c r="A24" s="11"/>
      <c r="B24" s="11"/>
      <c r="C24" s="12" t="s">
        <v>17</v>
      </c>
      <c r="D24" s="13"/>
      <c r="E24" s="13"/>
      <c r="F24" s="14">
        <v>300</v>
      </c>
      <c r="G24" s="14">
        <v>300</v>
      </c>
      <c r="H24" s="14"/>
      <c r="I24" s="14"/>
    </row>
    <row r="25" spans="1:9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2">F25+H25</f>
        <v>0</v>
      </c>
      <c r="E25" s="9">
        <f t="shared" si="2"/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2"/>
        <v>895</v>
      </c>
      <c r="E26" s="9">
        <f t="shared" si="2"/>
        <v>0</v>
      </c>
      <c r="F26" s="10">
        <v>895</v>
      </c>
      <c r="G26" s="10">
        <v>0</v>
      </c>
      <c r="H26" s="10">
        <v>0</v>
      </c>
      <c r="I26" s="10">
        <v>0</v>
      </c>
    </row>
    <row r="27" spans="1:9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2"/>
        <v>1200</v>
      </c>
      <c r="E27" s="9">
        <f t="shared" si="2"/>
        <v>1200</v>
      </c>
      <c r="F27" s="10">
        <v>1200</v>
      </c>
      <c r="G27" s="10">
        <f>G28</f>
        <v>1200</v>
      </c>
      <c r="H27" s="10">
        <v>0</v>
      </c>
      <c r="I27" s="10">
        <f t="shared" ref="I27" si="3">I28</f>
        <v>0</v>
      </c>
    </row>
    <row r="28" spans="1:9" s="15" customFormat="1" ht="11.45" customHeight="1" x14ac:dyDescent="0.25">
      <c r="A28" s="11"/>
      <c r="B28" s="11"/>
      <c r="C28" s="12" t="s">
        <v>278</v>
      </c>
      <c r="D28" s="13"/>
      <c r="E28" s="13"/>
      <c r="F28" s="14"/>
      <c r="G28" s="14">
        <f>ROUND(12.5*8000*12/1000,0)</f>
        <v>1200</v>
      </c>
      <c r="H28" s="14"/>
      <c r="I28" s="14"/>
    </row>
    <row r="29" spans="1:9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4">F29+H29</f>
        <v>0</v>
      </c>
      <c r="E29" s="9">
        <f t="shared" si="4"/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4"/>
        <v>250</v>
      </c>
      <c r="E30" s="9">
        <f t="shared" si="4"/>
        <v>250</v>
      </c>
      <c r="F30" s="10">
        <v>250</v>
      </c>
      <c r="G30" s="10">
        <v>250</v>
      </c>
      <c r="H30" s="10">
        <v>0</v>
      </c>
      <c r="I30" s="10">
        <v>0</v>
      </c>
    </row>
    <row r="31" spans="1:9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4"/>
        <v>0</v>
      </c>
      <c r="E31" s="9">
        <f t="shared" si="4"/>
        <v>276</v>
      </c>
      <c r="F31" s="10">
        <v>0</v>
      </c>
      <c r="G31" s="10">
        <f>G32+G33</f>
        <v>276</v>
      </c>
      <c r="H31" s="10">
        <v>0</v>
      </c>
      <c r="I31" s="10">
        <f>I32</f>
        <v>0</v>
      </c>
    </row>
    <row r="32" spans="1:9" s="3" customFormat="1" ht="12.75" customHeight="1" x14ac:dyDescent="0.25">
      <c r="A32" s="11"/>
      <c r="B32" s="11"/>
      <c r="C32" s="12" t="s">
        <v>279</v>
      </c>
      <c r="D32" s="13"/>
      <c r="E32" s="13"/>
      <c r="F32" s="14"/>
      <c r="G32" s="14">
        <v>120</v>
      </c>
      <c r="H32" s="14"/>
      <c r="I32" s="14"/>
    </row>
    <row r="33" spans="1:9" s="3" customFormat="1" ht="12.75" customHeight="1" x14ac:dyDescent="0.25">
      <c r="A33" s="11"/>
      <c r="B33" s="11"/>
      <c r="C33" s="12" t="s">
        <v>1275</v>
      </c>
      <c r="D33" s="13"/>
      <c r="E33" s="13"/>
      <c r="F33" s="14"/>
      <c r="G33" s="14">
        <v>156</v>
      </c>
      <c r="H33" s="14"/>
      <c r="I33" s="14"/>
    </row>
    <row r="34" spans="1:9" s="3" customFormat="1" ht="12.75" customHeight="1" x14ac:dyDescent="0.25">
      <c r="A34" s="7" t="s">
        <v>36</v>
      </c>
      <c r="B34" s="7" t="s">
        <v>37</v>
      </c>
      <c r="C34" s="8" t="s">
        <v>38</v>
      </c>
      <c r="D34" s="9">
        <f>F34+H34</f>
        <v>0</v>
      </c>
      <c r="E34" s="9">
        <f>G34+I34</f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s="3" customFormat="1" ht="12.75" customHeight="1" x14ac:dyDescent="0.25">
      <c r="A35" s="7" t="s">
        <v>39</v>
      </c>
      <c r="B35" s="7" t="s">
        <v>40</v>
      </c>
      <c r="C35" s="8" t="s">
        <v>41</v>
      </c>
      <c r="D35" s="9">
        <f>F35+H35</f>
        <v>173</v>
      </c>
      <c r="E35" s="9">
        <f>G35+I35</f>
        <v>143</v>
      </c>
      <c r="F35" s="10">
        <f>F36</f>
        <v>173</v>
      </c>
      <c r="G35" s="10">
        <f t="shared" ref="G35:I35" si="5">G36</f>
        <v>143</v>
      </c>
      <c r="H35" s="10">
        <f t="shared" si="5"/>
        <v>0</v>
      </c>
      <c r="I35" s="10">
        <f t="shared" si="5"/>
        <v>0</v>
      </c>
    </row>
    <row r="36" spans="1:9" s="3" customFormat="1" ht="12.75" customHeight="1" x14ac:dyDescent="0.25">
      <c r="A36" s="11"/>
      <c r="B36" s="11"/>
      <c r="C36" s="12" t="s">
        <v>280</v>
      </c>
      <c r="D36" s="13"/>
      <c r="E36" s="13"/>
      <c r="F36" s="14">
        <v>173</v>
      </c>
      <c r="G36" s="14">
        <f>ROUND(G6*0.004,0)</f>
        <v>143</v>
      </c>
      <c r="H36" s="14"/>
      <c r="I36" s="14"/>
    </row>
    <row r="37" spans="1:9" s="3" customFormat="1" ht="12.75" customHeight="1" x14ac:dyDescent="0.25">
      <c r="A37" s="7" t="s">
        <v>42</v>
      </c>
      <c r="B37" s="7" t="s">
        <v>43</v>
      </c>
      <c r="C37" s="8" t="s">
        <v>44</v>
      </c>
      <c r="D37" s="9">
        <f>F37+H37</f>
        <v>300</v>
      </c>
      <c r="E37" s="9">
        <f>G37+I37</f>
        <v>1390</v>
      </c>
      <c r="F37" s="10">
        <v>300</v>
      </c>
      <c r="G37" s="10">
        <f>G38+G39</f>
        <v>1390</v>
      </c>
      <c r="H37" s="10">
        <v>0</v>
      </c>
      <c r="I37" s="10">
        <f>I38</f>
        <v>0</v>
      </c>
    </row>
    <row r="38" spans="1:9" s="15" customFormat="1" ht="11.45" customHeight="1" x14ac:dyDescent="0.25">
      <c r="A38" s="11"/>
      <c r="B38" s="11"/>
      <c r="C38" s="12" t="s">
        <v>281</v>
      </c>
      <c r="D38" s="13"/>
      <c r="E38" s="13"/>
      <c r="F38" s="14"/>
      <c r="G38" s="14">
        <v>325</v>
      </c>
      <c r="H38" s="14"/>
      <c r="I38" s="14"/>
    </row>
    <row r="39" spans="1:9" s="15" customFormat="1" ht="11.45" customHeight="1" x14ac:dyDescent="0.25">
      <c r="A39" s="11"/>
      <c r="B39" s="11"/>
      <c r="C39" s="12" t="s">
        <v>1276</v>
      </c>
      <c r="D39" s="13"/>
      <c r="E39" s="13"/>
      <c r="F39" s="14"/>
      <c r="G39" s="14">
        <v>1065</v>
      </c>
      <c r="H39" s="14"/>
      <c r="I39" s="14"/>
    </row>
    <row r="40" spans="1:9" s="3" customFormat="1" ht="12.75" customHeight="1" x14ac:dyDescent="0.25">
      <c r="A40" s="16" t="s">
        <v>45</v>
      </c>
      <c r="B40" s="16" t="s">
        <v>46</v>
      </c>
      <c r="C40" s="17" t="s">
        <v>47</v>
      </c>
      <c r="D40" s="18">
        <f>D6+D20+D21+D22+D25+D26+D27+D29+D30+D31+D34+D35+D37</f>
        <v>38351</v>
      </c>
      <c r="E40" s="18">
        <f t="shared" ref="E40:I40" si="6">E6+E20+E21+E22+E25+E26+E27+E29+E30+E31+E34+E35+E37</f>
        <v>39806</v>
      </c>
      <c r="F40" s="18">
        <f t="shared" si="6"/>
        <v>38351</v>
      </c>
      <c r="G40" s="18">
        <f>G6+G20+G21+G22+G25+G26+G27+G29+G30+G31+G34+G35+G37</f>
        <v>39806</v>
      </c>
      <c r="H40" s="18">
        <f t="shared" si="6"/>
        <v>0</v>
      </c>
      <c r="I40" s="18">
        <f t="shared" si="6"/>
        <v>0</v>
      </c>
    </row>
    <row r="41" spans="1:9" s="3" customFormat="1" ht="12.75" customHeight="1" x14ac:dyDescent="0.25">
      <c r="A41" s="7" t="s">
        <v>48</v>
      </c>
      <c r="B41" s="7" t="s">
        <v>49</v>
      </c>
      <c r="C41" s="8" t="s">
        <v>50</v>
      </c>
      <c r="D41" s="9">
        <f>F41+H41</f>
        <v>0</v>
      </c>
      <c r="E41" s="9">
        <f>G41+I41</f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51</v>
      </c>
      <c r="B42" s="7" t="s">
        <v>52</v>
      </c>
      <c r="C42" s="8" t="s">
        <v>53</v>
      </c>
      <c r="D42" s="9">
        <f>F42+H42</f>
        <v>300</v>
      </c>
      <c r="E42" s="9">
        <f>G42+I42</f>
        <v>300</v>
      </c>
      <c r="F42" s="10">
        <f>F43</f>
        <v>300</v>
      </c>
      <c r="G42" s="10">
        <f t="shared" ref="G42:I42" si="7">G43</f>
        <v>300</v>
      </c>
      <c r="H42" s="10">
        <f t="shared" si="7"/>
        <v>0</v>
      </c>
      <c r="I42" s="10">
        <f t="shared" si="7"/>
        <v>0</v>
      </c>
    </row>
    <row r="43" spans="1:9" s="15" customFormat="1" ht="11.45" customHeight="1" x14ac:dyDescent="0.25">
      <c r="A43" s="11"/>
      <c r="B43" s="11"/>
      <c r="C43" s="12" t="s">
        <v>282</v>
      </c>
      <c r="D43" s="13"/>
      <c r="E43" s="13"/>
      <c r="F43" s="14">
        <v>300</v>
      </c>
      <c r="G43" s="14">
        <v>300</v>
      </c>
      <c r="H43" s="14"/>
      <c r="I43" s="14"/>
    </row>
    <row r="44" spans="1:9" s="3" customFormat="1" ht="12.75" customHeight="1" x14ac:dyDescent="0.25">
      <c r="A44" s="7" t="s">
        <v>54</v>
      </c>
      <c r="B44" s="7" t="s">
        <v>55</v>
      </c>
      <c r="C44" s="8" t="s">
        <v>285</v>
      </c>
      <c r="D44" s="9">
        <f>F44+H44</f>
        <v>100</v>
      </c>
      <c r="E44" s="9">
        <f>G44+I44</f>
        <v>50</v>
      </c>
      <c r="F44" s="10">
        <f>F45</f>
        <v>100</v>
      </c>
      <c r="G44" s="10">
        <f t="shared" ref="G44:I44" si="8">G45</f>
        <v>50</v>
      </c>
      <c r="H44" s="10">
        <f t="shared" si="8"/>
        <v>0</v>
      </c>
      <c r="I44" s="10">
        <f t="shared" si="8"/>
        <v>0</v>
      </c>
    </row>
    <row r="45" spans="1:9" s="15" customFormat="1" ht="11.45" customHeight="1" x14ac:dyDescent="0.25">
      <c r="A45" s="11"/>
      <c r="B45" s="11"/>
      <c r="C45" s="12" t="s">
        <v>283</v>
      </c>
      <c r="D45" s="13"/>
      <c r="E45" s="13"/>
      <c r="F45" s="14">
        <v>100</v>
      </c>
      <c r="G45" s="14">
        <v>50</v>
      </c>
      <c r="H45" s="14"/>
      <c r="I45" s="14"/>
    </row>
    <row r="46" spans="1:9" s="3" customFormat="1" ht="12.75" customHeight="1" x14ac:dyDescent="0.25">
      <c r="A46" s="16" t="s">
        <v>56</v>
      </c>
      <c r="B46" s="16" t="s">
        <v>57</v>
      </c>
      <c r="C46" s="17" t="s">
        <v>58</v>
      </c>
      <c r="D46" s="18">
        <f>D41+D42+D44</f>
        <v>400</v>
      </c>
      <c r="E46" s="18">
        <f t="shared" ref="E46:I46" si="9">E41+E42+E44</f>
        <v>350</v>
      </c>
      <c r="F46" s="18">
        <f t="shared" si="9"/>
        <v>400</v>
      </c>
      <c r="G46" s="18">
        <f t="shared" si="9"/>
        <v>350</v>
      </c>
      <c r="H46" s="18">
        <f t="shared" si="9"/>
        <v>0</v>
      </c>
      <c r="I46" s="18">
        <f t="shared" si="9"/>
        <v>0</v>
      </c>
    </row>
    <row r="47" spans="1:9" s="3" customFormat="1" ht="12.75" customHeight="1" x14ac:dyDescent="0.25">
      <c r="A47" s="20" t="s">
        <v>59</v>
      </c>
      <c r="B47" s="20" t="s">
        <v>60</v>
      </c>
      <c r="C47" s="21" t="s">
        <v>286</v>
      </c>
      <c r="D47" s="22">
        <f>D40+D46</f>
        <v>38751</v>
      </c>
      <c r="E47" s="22">
        <f t="shared" ref="E47:I47" si="10">E40+E46</f>
        <v>40156</v>
      </c>
      <c r="F47" s="22">
        <f t="shared" si="10"/>
        <v>38751</v>
      </c>
      <c r="G47" s="22">
        <f t="shared" si="10"/>
        <v>40156</v>
      </c>
      <c r="H47" s="22">
        <f t="shared" si="10"/>
        <v>0</v>
      </c>
      <c r="I47" s="22">
        <f t="shared" si="10"/>
        <v>0</v>
      </c>
    </row>
    <row r="48" spans="1:9" s="15" customFormat="1" ht="11.45" customHeight="1" x14ac:dyDescent="0.25">
      <c r="A48" s="11"/>
      <c r="B48" s="11"/>
      <c r="C48" s="12" t="s">
        <v>284</v>
      </c>
      <c r="D48" s="13">
        <f>H48+F48</f>
        <v>10025</v>
      </c>
      <c r="E48" s="13">
        <f>I48+G48</f>
        <v>9987</v>
      </c>
      <c r="F48" s="13">
        <v>10025</v>
      </c>
      <c r="G48" s="13">
        <f>ROUND((G6+G20+G21+G22+G25+G26+G35+G42)*0.27,0)</f>
        <v>9987</v>
      </c>
      <c r="H48" s="13">
        <f t="shared" ref="H48:I48" si="11">ROUND((H6+H20+H21+H22+H25+H26+H42)*0.27,0)</f>
        <v>0</v>
      </c>
      <c r="I48" s="13">
        <f t="shared" si="11"/>
        <v>0</v>
      </c>
    </row>
    <row r="49" spans="1:9" s="15" customFormat="1" ht="11.45" customHeight="1" x14ac:dyDescent="0.25">
      <c r="A49" s="11"/>
      <c r="B49" s="11"/>
      <c r="C49" s="12" t="s">
        <v>61</v>
      </c>
      <c r="D49" s="13">
        <f t="shared" ref="D49:E51" si="12">H49+F49</f>
        <v>232</v>
      </c>
      <c r="E49" s="13">
        <f t="shared" si="12"/>
        <v>663</v>
      </c>
      <c r="F49" s="14">
        <v>232</v>
      </c>
      <c r="G49" s="13">
        <f>ROUND(G27*1.19*0.14+(G44+G37)*1.19*0.27,0)</f>
        <v>663</v>
      </c>
      <c r="H49" s="14"/>
      <c r="I49" s="14"/>
    </row>
    <row r="50" spans="1:9" s="15" customFormat="1" ht="11.45" customHeight="1" x14ac:dyDescent="0.25">
      <c r="A50" s="11"/>
      <c r="B50" s="11"/>
      <c r="C50" s="12" t="s">
        <v>62</v>
      </c>
      <c r="D50" s="13">
        <f t="shared" si="12"/>
        <v>0</v>
      </c>
      <c r="E50" s="13">
        <f t="shared" si="12"/>
        <v>0</v>
      </c>
      <c r="F50" s="14">
        <v>0</v>
      </c>
      <c r="G50" s="14"/>
      <c r="H50" s="14"/>
      <c r="I50" s="14"/>
    </row>
    <row r="51" spans="1:9" s="15" customFormat="1" ht="11.45" customHeight="1" x14ac:dyDescent="0.25">
      <c r="A51" s="11"/>
      <c r="B51" s="11"/>
      <c r="C51" s="12" t="s">
        <v>63</v>
      </c>
      <c r="D51" s="13">
        <f t="shared" si="12"/>
        <v>248</v>
      </c>
      <c r="E51" s="13">
        <f t="shared" si="12"/>
        <v>300</v>
      </c>
      <c r="F51" s="14">
        <v>248</v>
      </c>
      <c r="G51" s="14">
        <f>ROUND((G45+G38+G28)*1.19*0.16,0)</f>
        <v>300</v>
      </c>
      <c r="H51" s="14"/>
      <c r="I51" s="14"/>
    </row>
    <row r="52" spans="1:9" s="3" customFormat="1" ht="12.75" customHeight="1" x14ac:dyDescent="0.25">
      <c r="A52" s="20" t="s">
        <v>64</v>
      </c>
      <c r="B52" s="20" t="s">
        <v>65</v>
      </c>
      <c r="C52" s="21" t="s">
        <v>287</v>
      </c>
      <c r="D52" s="22">
        <f>D48+D49+D50+D51</f>
        <v>10505</v>
      </c>
      <c r="E52" s="22">
        <f t="shared" ref="E52:I52" si="13">E48+E49+E50+E51</f>
        <v>10950</v>
      </c>
      <c r="F52" s="22">
        <f t="shared" si="13"/>
        <v>10505</v>
      </c>
      <c r="G52" s="22">
        <f t="shared" si="13"/>
        <v>10950</v>
      </c>
      <c r="H52" s="22">
        <f t="shared" si="13"/>
        <v>0</v>
      </c>
      <c r="I52" s="22">
        <f t="shared" si="13"/>
        <v>0</v>
      </c>
    </row>
    <row r="53" spans="1:9" s="3" customFormat="1" ht="14.1" customHeight="1" x14ac:dyDescent="0.25">
      <c r="A53" s="1018" t="s">
        <v>66</v>
      </c>
      <c r="B53" s="1019"/>
      <c r="C53" s="1020"/>
      <c r="D53" s="30">
        <f>D47+D52</f>
        <v>49256</v>
      </c>
      <c r="E53" s="30">
        <f t="shared" ref="E53:I53" si="14">E47+E52</f>
        <v>51106</v>
      </c>
      <c r="F53" s="30">
        <f t="shared" si="14"/>
        <v>49256</v>
      </c>
      <c r="G53" s="30">
        <f t="shared" si="14"/>
        <v>51106</v>
      </c>
      <c r="H53" s="30">
        <f t="shared" si="14"/>
        <v>0</v>
      </c>
      <c r="I53" s="30">
        <f t="shared" si="14"/>
        <v>0</v>
      </c>
    </row>
    <row r="54" spans="1:9" s="1" customFormat="1" ht="12.75" customHeight="1" x14ac:dyDescent="0.25">
      <c r="A54" s="1022" t="s">
        <v>264</v>
      </c>
      <c r="B54" s="1022"/>
      <c r="C54" s="1022"/>
      <c r="D54" s="1022"/>
      <c r="E54" s="1022"/>
      <c r="F54" s="1022"/>
      <c r="G54" s="1022"/>
      <c r="H54" s="1022"/>
      <c r="I54" s="1022"/>
    </row>
    <row r="55" spans="1:9" s="1" customFormat="1" ht="14.1" customHeight="1" x14ac:dyDescent="0.25">
      <c r="A55" s="1022" t="s">
        <v>0</v>
      </c>
      <c r="B55" s="1023" t="s">
        <v>1</v>
      </c>
      <c r="C55" s="1022" t="s">
        <v>2</v>
      </c>
      <c r="D55" s="1024" t="s">
        <v>260</v>
      </c>
      <c r="E55" s="1014" t="s">
        <v>259</v>
      </c>
      <c r="F55" s="1016" t="s">
        <v>261</v>
      </c>
      <c r="G55" s="1017"/>
      <c r="H55" s="1016" t="s">
        <v>262</v>
      </c>
      <c r="I55" s="1017"/>
    </row>
    <row r="56" spans="1:9" s="3" customFormat="1" ht="33" customHeight="1" x14ac:dyDescent="0.25">
      <c r="A56" s="1022"/>
      <c r="B56" s="1023"/>
      <c r="C56" s="1022"/>
      <c r="D56" s="1024"/>
      <c r="E56" s="1015"/>
      <c r="F56" s="2" t="s">
        <v>260</v>
      </c>
      <c r="G56" s="2" t="s">
        <v>259</v>
      </c>
      <c r="H56" s="2" t="s">
        <v>260</v>
      </c>
      <c r="I56" s="2" t="s">
        <v>259</v>
      </c>
    </row>
    <row r="57" spans="1:9" ht="5.65" customHeight="1" x14ac:dyDescent="0.25"/>
    <row r="58" spans="1:9" ht="14.1" customHeight="1" x14ac:dyDescent="0.25">
      <c r="A58" s="1021" t="s">
        <v>288</v>
      </c>
      <c r="B58" s="1021"/>
      <c r="C58" s="1021"/>
      <c r="D58" s="1021"/>
      <c r="E58" s="1021"/>
      <c r="F58" s="1021"/>
      <c r="G58" s="1021"/>
      <c r="H58" s="1021"/>
      <c r="I58" s="1021"/>
    </row>
    <row r="59" spans="1:9" s="3" customFormat="1" ht="14.1" customHeight="1" x14ac:dyDescent="0.25">
      <c r="A59" s="7" t="s">
        <v>67</v>
      </c>
      <c r="B59" s="7" t="s">
        <v>68</v>
      </c>
      <c r="C59" s="8" t="s">
        <v>69</v>
      </c>
      <c r="D59" s="9">
        <f>F59+H59</f>
        <v>136</v>
      </c>
      <c r="E59" s="9">
        <f>G59+I59</f>
        <v>205</v>
      </c>
      <c r="F59" s="10">
        <f>SUM(F60:F65)</f>
        <v>136</v>
      </c>
      <c r="G59" s="10">
        <f t="shared" ref="G59:I59" si="15">SUM(G60:G65)</f>
        <v>205</v>
      </c>
      <c r="H59" s="10">
        <f t="shared" si="15"/>
        <v>0</v>
      </c>
      <c r="I59" s="10">
        <f t="shared" si="15"/>
        <v>0</v>
      </c>
    </row>
    <row r="60" spans="1:9" ht="14.1" customHeight="1" x14ac:dyDescent="0.25">
      <c r="A60" s="24"/>
      <c r="B60" s="24"/>
      <c r="C60" s="25" t="s">
        <v>70</v>
      </c>
      <c r="D60" s="26"/>
      <c r="E60" s="26"/>
      <c r="F60" s="26">
        <v>6</v>
      </c>
      <c r="G60" s="26"/>
      <c r="H60" s="26"/>
      <c r="I60" s="26"/>
    </row>
    <row r="61" spans="1:9" ht="14.1" customHeight="1" x14ac:dyDescent="0.25">
      <c r="A61" s="24"/>
      <c r="B61" s="24"/>
      <c r="C61" s="25" t="s">
        <v>71</v>
      </c>
      <c r="D61" s="26"/>
      <c r="E61" s="26"/>
      <c r="F61" s="26">
        <v>0</v>
      </c>
      <c r="G61" s="26"/>
      <c r="H61" s="26"/>
      <c r="I61" s="26"/>
    </row>
    <row r="62" spans="1:9" ht="14.1" customHeight="1" x14ac:dyDescent="0.25">
      <c r="A62" s="24"/>
      <c r="B62" s="24"/>
      <c r="C62" s="25" t="s">
        <v>72</v>
      </c>
      <c r="D62" s="26"/>
      <c r="E62" s="26"/>
      <c r="F62" s="26">
        <v>70</v>
      </c>
      <c r="G62" s="26">
        <v>180</v>
      </c>
      <c r="H62" s="26"/>
      <c r="I62" s="26"/>
    </row>
    <row r="63" spans="1:9" ht="14.1" customHeight="1" x14ac:dyDescent="0.25">
      <c r="A63" s="24"/>
      <c r="B63" s="24"/>
      <c r="C63" s="25" t="s">
        <v>73</v>
      </c>
      <c r="D63" s="26"/>
      <c r="E63" s="26"/>
      <c r="F63" s="26">
        <v>30</v>
      </c>
      <c r="G63" s="26">
        <v>5</v>
      </c>
      <c r="H63" s="26"/>
      <c r="I63" s="26"/>
    </row>
    <row r="64" spans="1:9" ht="14.1" customHeight="1" x14ac:dyDescent="0.25">
      <c r="A64" s="24"/>
      <c r="B64" s="24"/>
      <c r="C64" s="25" t="s">
        <v>74</v>
      </c>
      <c r="D64" s="26"/>
      <c r="E64" s="26"/>
      <c r="F64" s="26">
        <v>10</v>
      </c>
      <c r="G64" s="26"/>
      <c r="H64" s="26"/>
      <c r="I64" s="26"/>
    </row>
    <row r="65" spans="1:9" ht="14.1" customHeight="1" x14ac:dyDescent="0.25">
      <c r="A65" s="24"/>
      <c r="B65" s="24"/>
      <c r="C65" s="25" t="s">
        <v>75</v>
      </c>
      <c r="D65" s="26"/>
      <c r="E65" s="26"/>
      <c r="F65" s="26">
        <v>20</v>
      </c>
      <c r="G65" s="26">
        <v>20</v>
      </c>
      <c r="H65" s="26"/>
      <c r="I65" s="26"/>
    </row>
    <row r="66" spans="1:9" s="3" customFormat="1" ht="14.1" customHeight="1" x14ac:dyDescent="0.25">
      <c r="A66" s="7" t="s">
        <v>76</v>
      </c>
      <c r="B66" s="7" t="s">
        <v>77</v>
      </c>
      <c r="C66" s="8" t="s">
        <v>78</v>
      </c>
      <c r="D66" s="9">
        <f>F66+H66</f>
        <v>1215</v>
      </c>
      <c r="E66" s="9">
        <f>G66+I66</f>
        <v>1205</v>
      </c>
      <c r="F66" s="10">
        <f>SUM(F67:F72)</f>
        <v>1215</v>
      </c>
      <c r="G66" s="10">
        <f>SUM(G67:G72)</f>
        <v>1205</v>
      </c>
      <c r="H66" s="10">
        <f>SUM(H67:H72)</f>
        <v>0</v>
      </c>
      <c r="I66" s="10">
        <f>SUM(I67:I72)</f>
        <v>0</v>
      </c>
    </row>
    <row r="67" spans="1:9" ht="14.1" customHeight="1" x14ac:dyDescent="0.25">
      <c r="A67" s="24"/>
      <c r="B67" s="24"/>
      <c r="C67" s="25" t="s">
        <v>79</v>
      </c>
      <c r="D67" s="26"/>
      <c r="E67" s="26"/>
      <c r="F67" s="26"/>
      <c r="G67" s="26"/>
      <c r="H67" s="26"/>
      <c r="I67" s="26"/>
    </row>
    <row r="68" spans="1:9" ht="14.1" customHeight="1" x14ac:dyDescent="0.25">
      <c r="A68" s="24"/>
      <c r="B68" s="24"/>
      <c r="C68" s="25" t="s">
        <v>80</v>
      </c>
      <c r="D68" s="26"/>
      <c r="E68" s="26"/>
      <c r="F68" s="26">
        <v>115</v>
      </c>
      <c r="G68" s="26">
        <v>100</v>
      </c>
      <c r="H68" s="26"/>
      <c r="I68" s="26"/>
    </row>
    <row r="69" spans="1:9" ht="14.1" customHeight="1" x14ac:dyDescent="0.25">
      <c r="A69" s="24"/>
      <c r="B69" s="24"/>
      <c r="C69" s="25" t="s">
        <v>81</v>
      </c>
      <c r="D69" s="26"/>
      <c r="E69" s="26"/>
      <c r="F69" s="26"/>
      <c r="G69" s="26"/>
      <c r="H69" s="26"/>
      <c r="I69" s="26"/>
    </row>
    <row r="70" spans="1:9" ht="14.1" customHeight="1" x14ac:dyDescent="0.25">
      <c r="A70" s="24"/>
      <c r="B70" s="24"/>
      <c r="C70" s="25" t="s">
        <v>82</v>
      </c>
      <c r="D70" s="26"/>
      <c r="E70" s="26"/>
      <c r="F70" s="26">
        <v>5</v>
      </c>
      <c r="G70" s="26">
        <v>5</v>
      </c>
      <c r="H70" s="26"/>
      <c r="I70" s="26"/>
    </row>
    <row r="71" spans="1:9" ht="14.1" customHeight="1" x14ac:dyDescent="0.25">
      <c r="A71" s="24"/>
      <c r="B71" s="24"/>
      <c r="C71" s="25" t="s">
        <v>83</v>
      </c>
      <c r="D71" s="26"/>
      <c r="E71" s="26"/>
      <c r="F71" s="26">
        <v>195</v>
      </c>
      <c r="G71" s="26">
        <v>195</v>
      </c>
      <c r="H71" s="26"/>
      <c r="I71" s="26"/>
    </row>
    <row r="72" spans="1:9" ht="14.1" customHeight="1" x14ac:dyDescent="0.25">
      <c r="A72" s="24"/>
      <c r="B72" s="24"/>
      <c r="C72" s="25" t="s">
        <v>84</v>
      </c>
      <c r="D72" s="26"/>
      <c r="E72" s="26"/>
      <c r="F72" s="26">
        <v>900</v>
      </c>
      <c r="G72" s="26">
        <v>905</v>
      </c>
      <c r="H72" s="26"/>
      <c r="I72" s="26"/>
    </row>
    <row r="73" spans="1:9" s="3" customFormat="1" ht="14.1" customHeight="1" x14ac:dyDescent="0.25">
      <c r="A73" s="7" t="s">
        <v>85</v>
      </c>
      <c r="B73" s="7" t="s">
        <v>86</v>
      </c>
      <c r="C73" s="8" t="s">
        <v>87</v>
      </c>
      <c r="D73" s="9">
        <f>F73+H73</f>
        <v>0</v>
      </c>
      <c r="E73" s="9">
        <f>G73+I73</f>
        <v>0</v>
      </c>
      <c r="F73" s="10">
        <f>SUM(F74:F75)</f>
        <v>0</v>
      </c>
      <c r="G73" s="10">
        <f t="shared" ref="G73:I73" si="16">SUM(G74:G75)</f>
        <v>0</v>
      </c>
      <c r="H73" s="10">
        <f t="shared" si="16"/>
        <v>0</v>
      </c>
      <c r="I73" s="10">
        <f t="shared" si="16"/>
        <v>0</v>
      </c>
    </row>
    <row r="74" spans="1:9" ht="14.1" customHeight="1" x14ac:dyDescent="0.25">
      <c r="A74" s="24"/>
      <c r="B74" s="24"/>
      <c r="C74" s="25" t="s">
        <v>88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89</v>
      </c>
      <c r="D75" s="26"/>
      <c r="E75" s="26"/>
      <c r="F75" s="26"/>
      <c r="G75" s="26"/>
      <c r="H75" s="26"/>
      <c r="I75" s="26"/>
    </row>
    <row r="76" spans="1:9" s="3" customFormat="1" ht="14.1" customHeight="1" x14ac:dyDescent="0.25">
      <c r="A76" s="16" t="s">
        <v>90</v>
      </c>
      <c r="B76" s="16" t="s">
        <v>91</v>
      </c>
      <c r="C76" s="17" t="s">
        <v>92</v>
      </c>
      <c r="D76" s="19">
        <f>D59+D66</f>
        <v>1351</v>
      </c>
      <c r="E76" s="19">
        <f t="shared" ref="E76:I76" si="17">E59+E66</f>
        <v>1410</v>
      </c>
      <c r="F76" s="19">
        <f t="shared" si="17"/>
        <v>1351</v>
      </c>
      <c r="G76" s="19">
        <f t="shared" si="17"/>
        <v>1410</v>
      </c>
      <c r="H76" s="19">
        <f t="shared" si="17"/>
        <v>0</v>
      </c>
      <c r="I76" s="19">
        <f t="shared" si="17"/>
        <v>0</v>
      </c>
    </row>
    <row r="77" spans="1:9" s="3" customFormat="1" ht="14.1" customHeight="1" x14ac:dyDescent="0.25">
      <c r="A77" s="7" t="s">
        <v>93</v>
      </c>
      <c r="B77" s="7" t="s">
        <v>94</v>
      </c>
      <c r="C77" s="8" t="s">
        <v>95</v>
      </c>
      <c r="D77" s="9">
        <f>F77+H77</f>
        <v>60</v>
      </c>
      <c r="E77" s="9">
        <f>G77+I77</f>
        <v>20</v>
      </c>
      <c r="F77" s="10">
        <f>SUM(F78:F83)</f>
        <v>60</v>
      </c>
      <c r="G77" s="10">
        <f>SUM(G78:G83)</f>
        <v>20</v>
      </c>
      <c r="H77" s="10">
        <f t="shared" ref="H77:I77" si="18">SUM(H78:H83)</f>
        <v>0</v>
      </c>
      <c r="I77" s="10">
        <f t="shared" si="18"/>
        <v>0</v>
      </c>
    </row>
    <row r="78" spans="1:9" ht="14.1" customHeight="1" x14ac:dyDescent="0.25">
      <c r="A78" s="24"/>
      <c r="B78" s="24"/>
      <c r="C78" s="25" t="s">
        <v>96</v>
      </c>
      <c r="D78" s="26"/>
      <c r="E78" s="26"/>
      <c r="F78" s="26"/>
      <c r="G78" s="26"/>
      <c r="H78" s="26"/>
      <c r="I78" s="26"/>
    </row>
    <row r="79" spans="1:9" ht="14.1" customHeight="1" x14ac:dyDescent="0.25">
      <c r="A79" s="24"/>
      <c r="B79" s="24"/>
      <c r="C79" s="25" t="s">
        <v>97</v>
      </c>
      <c r="D79" s="26"/>
      <c r="E79" s="26"/>
      <c r="F79" s="26">
        <v>10</v>
      </c>
      <c r="G79" s="26"/>
      <c r="H79" s="26"/>
      <c r="I79" s="26"/>
    </row>
    <row r="80" spans="1:9" ht="14.1" customHeight="1" x14ac:dyDescent="0.25">
      <c r="A80" s="24"/>
      <c r="B80" s="24"/>
      <c r="C80" s="25" t="s">
        <v>98</v>
      </c>
      <c r="D80" s="26"/>
      <c r="E80" s="26"/>
      <c r="F80" s="26"/>
      <c r="G80" s="26"/>
      <c r="H80" s="26"/>
      <c r="I80" s="26"/>
    </row>
    <row r="81" spans="1:9" ht="14.1" customHeight="1" x14ac:dyDescent="0.25">
      <c r="A81" s="24"/>
      <c r="B81" s="24"/>
      <c r="C81" s="25" t="s">
        <v>99</v>
      </c>
      <c r="D81" s="26"/>
      <c r="E81" s="26"/>
      <c r="F81" s="26">
        <v>20</v>
      </c>
      <c r="G81" s="26">
        <v>20</v>
      </c>
      <c r="H81" s="26"/>
      <c r="I81" s="26"/>
    </row>
    <row r="82" spans="1:9" ht="14.1" customHeight="1" x14ac:dyDescent="0.25">
      <c r="A82" s="24"/>
      <c r="B82" s="24"/>
      <c r="C82" s="25" t="s">
        <v>100</v>
      </c>
      <c r="D82" s="26"/>
      <c r="E82" s="26"/>
      <c r="F82" s="26">
        <v>15</v>
      </c>
      <c r="G82" s="26"/>
      <c r="H82" s="26"/>
      <c r="I82" s="26"/>
    </row>
    <row r="83" spans="1:9" ht="14.1" customHeight="1" x14ac:dyDescent="0.25">
      <c r="A83" s="24"/>
      <c r="B83" s="24"/>
      <c r="C83" s="25" t="s">
        <v>101</v>
      </c>
      <c r="D83" s="26"/>
      <c r="E83" s="26"/>
      <c r="F83" s="26">
        <v>15</v>
      </c>
      <c r="G83" s="26"/>
      <c r="H83" s="26"/>
      <c r="I83" s="26"/>
    </row>
    <row r="84" spans="1:9" s="3" customFormat="1" ht="14.1" customHeight="1" x14ac:dyDescent="0.25">
      <c r="A84" s="7" t="s">
        <v>102</v>
      </c>
      <c r="B84" s="7" t="s">
        <v>103</v>
      </c>
      <c r="C84" s="8" t="s">
        <v>104</v>
      </c>
      <c r="D84" s="9">
        <f>F84+H84</f>
        <v>130</v>
      </c>
      <c r="E84" s="9">
        <f>G84+I84</f>
        <v>135</v>
      </c>
      <c r="F84" s="10">
        <f>SUM(F85:F86)</f>
        <v>130</v>
      </c>
      <c r="G84" s="10">
        <f t="shared" ref="G84:I84" si="19">SUM(G85:G86)</f>
        <v>135</v>
      </c>
      <c r="H84" s="10">
        <f t="shared" si="19"/>
        <v>0</v>
      </c>
      <c r="I84" s="10">
        <f t="shared" si="19"/>
        <v>0</v>
      </c>
    </row>
    <row r="85" spans="1:9" ht="14.1" customHeight="1" x14ac:dyDescent="0.25">
      <c r="A85" s="24"/>
      <c r="B85" s="24"/>
      <c r="C85" s="25" t="s">
        <v>105</v>
      </c>
      <c r="D85" s="26"/>
      <c r="E85" s="26"/>
      <c r="F85" s="26">
        <v>130</v>
      </c>
      <c r="G85" s="26">
        <v>135</v>
      </c>
      <c r="H85" s="26"/>
      <c r="I85" s="26"/>
    </row>
    <row r="86" spans="1:9" ht="14.1" customHeight="1" x14ac:dyDescent="0.25">
      <c r="A86" s="24"/>
      <c r="B86" s="24"/>
      <c r="C86" s="25" t="s">
        <v>106</v>
      </c>
      <c r="D86" s="26"/>
      <c r="E86" s="26"/>
      <c r="F86" s="26"/>
      <c r="G86" s="26"/>
      <c r="H86" s="26"/>
      <c r="I86" s="26"/>
    </row>
    <row r="87" spans="1:9" s="3" customFormat="1" ht="14.1" customHeight="1" x14ac:dyDescent="0.25">
      <c r="A87" s="16" t="s">
        <v>107</v>
      </c>
      <c r="B87" s="16" t="s">
        <v>108</v>
      </c>
      <c r="C87" s="17" t="s">
        <v>109</v>
      </c>
      <c r="D87" s="19">
        <f>D77+D84</f>
        <v>190</v>
      </c>
      <c r="E87" s="19">
        <f t="shared" ref="E87:I87" si="20">E77+E84</f>
        <v>155</v>
      </c>
      <c r="F87" s="19">
        <f t="shared" si="20"/>
        <v>190</v>
      </c>
      <c r="G87" s="19">
        <f t="shared" si="20"/>
        <v>155</v>
      </c>
      <c r="H87" s="19">
        <f t="shared" si="20"/>
        <v>0</v>
      </c>
      <c r="I87" s="19">
        <f t="shared" si="20"/>
        <v>0</v>
      </c>
    </row>
    <row r="88" spans="1:9" s="3" customFormat="1" ht="14.1" customHeight="1" x14ac:dyDescent="0.25">
      <c r="A88" s="7" t="s">
        <v>110</v>
      </c>
      <c r="B88" s="7" t="s">
        <v>111</v>
      </c>
      <c r="C88" s="8" t="s">
        <v>112</v>
      </c>
      <c r="D88" s="9">
        <f>F88+H88</f>
        <v>1545</v>
      </c>
      <c r="E88" s="9">
        <f>G88+I88</f>
        <v>1500</v>
      </c>
      <c r="F88" s="10">
        <f>SUM(F89:F91)</f>
        <v>1545</v>
      </c>
      <c r="G88" s="10">
        <f t="shared" ref="G88:I88" si="21">SUM(G89:G91)</f>
        <v>1500</v>
      </c>
      <c r="H88" s="10">
        <f t="shared" si="21"/>
        <v>0</v>
      </c>
      <c r="I88" s="10">
        <f t="shared" si="21"/>
        <v>0</v>
      </c>
    </row>
    <row r="89" spans="1:9" ht="14.1" customHeight="1" x14ac:dyDescent="0.25">
      <c r="A89" s="24"/>
      <c r="B89" s="24"/>
      <c r="C89" s="25" t="s">
        <v>113</v>
      </c>
      <c r="D89" s="26"/>
      <c r="E89" s="26"/>
      <c r="F89" s="26">
        <v>470</v>
      </c>
      <c r="G89" s="26">
        <v>450</v>
      </c>
      <c r="H89" s="26"/>
      <c r="I89" s="26"/>
    </row>
    <row r="90" spans="1:9" ht="14.1" customHeight="1" x14ac:dyDescent="0.25">
      <c r="A90" s="24"/>
      <c r="B90" s="24"/>
      <c r="C90" s="25" t="s">
        <v>114</v>
      </c>
      <c r="D90" s="26"/>
      <c r="E90" s="26"/>
      <c r="F90" s="26">
        <v>750</v>
      </c>
      <c r="G90" s="26">
        <v>750</v>
      </c>
      <c r="H90" s="26"/>
      <c r="I90" s="26"/>
    </row>
    <row r="91" spans="1:9" ht="14.1" customHeight="1" x14ac:dyDescent="0.25">
      <c r="A91" s="24"/>
      <c r="B91" s="24"/>
      <c r="C91" s="25" t="s">
        <v>115</v>
      </c>
      <c r="D91" s="26"/>
      <c r="E91" s="26"/>
      <c r="F91" s="26">
        <v>325</v>
      </c>
      <c r="G91" s="26">
        <v>300</v>
      </c>
      <c r="H91" s="26"/>
      <c r="I91" s="26"/>
    </row>
    <row r="92" spans="1:9" s="3" customFormat="1" ht="14.1" customHeight="1" x14ac:dyDescent="0.25">
      <c r="A92" s="7" t="s">
        <v>116</v>
      </c>
      <c r="B92" s="7" t="s">
        <v>117</v>
      </c>
      <c r="C92" s="8" t="s">
        <v>118</v>
      </c>
      <c r="D92" s="9">
        <f>F92+H92</f>
        <v>5581</v>
      </c>
      <c r="E92" s="9">
        <f>G92+I92</f>
        <v>3700</v>
      </c>
      <c r="F92" s="10">
        <v>0</v>
      </c>
      <c r="G92" s="10">
        <f>G93</f>
        <v>0</v>
      </c>
      <c r="H92" s="10">
        <v>5581</v>
      </c>
      <c r="I92" s="10">
        <f>I93</f>
        <v>3700</v>
      </c>
    </row>
    <row r="93" spans="1:9" s="3" customFormat="1" ht="14.1" customHeight="1" x14ac:dyDescent="0.25">
      <c r="A93" s="24"/>
      <c r="B93" s="24"/>
      <c r="C93" s="25" t="s">
        <v>289</v>
      </c>
      <c r="D93" s="26"/>
      <c r="E93" s="26"/>
      <c r="F93" s="26"/>
      <c r="G93" s="26"/>
      <c r="H93" s="26"/>
      <c r="I93" s="26">
        <v>3700</v>
      </c>
    </row>
    <row r="94" spans="1:9" s="3" customFormat="1" ht="14.1" customHeight="1" x14ac:dyDescent="0.25">
      <c r="A94" s="7" t="s">
        <v>119</v>
      </c>
      <c r="B94" s="7" t="s">
        <v>120</v>
      </c>
      <c r="C94" s="8" t="s">
        <v>121</v>
      </c>
      <c r="D94" s="9">
        <f>F94+H94</f>
        <v>0</v>
      </c>
      <c r="E94" s="9">
        <f>G94+I94</f>
        <v>0</v>
      </c>
      <c r="F94" s="10">
        <f>SUM(F95:F96)</f>
        <v>0</v>
      </c>
      <c r="G94" s="10">
        <f t="shared" ref="G94:I94" si="22">SUM(G95:G96)</f>
        <v>0</v>
      </c>
      <c r="H94" s="10">
        <f t="shared" si="22"/>
        <v>0</v>
      </c>
      <c r="I94" s="10">
        <f t="shared" si="22"/>
        <v>0</v>
      </c>
    </row>
    <row r="95" spans="1:9" ht="14.1" customHeight="1" x14ac:dyDescent="0.25">
      <c r="A95" s="24"/>
      <c r="B95" s="24"/>
      <c r="C95" s="25" t="s">
        <v>122</v>
      </c>
      <c r="D95" s="26"/>
      <c r="E95" s="26"/>
      <c r="F95" s="26"/>
      <c r="G95" s="26"/>
      <c r="H95" s="26"/>
      <c r="I95" s="26"/>
    </row>
    <row r="96" spans="1:9" ht="14.1" customHeight="1" x14ac:dyDescent="0.25">
      <c r="A96" s="24"/>
      <c r="B96" s="24"/>
      <c r="C96" s="25" t="s">
        <v>123</v>
      </c>
      <c r="D96" s="26"/>
      <c r="E96" s="26"/>
      <c r="F96" s="26"/>
      <c r="G96" s="26"/>
      <c r="H96" s="26"/>
      <c r="I96" s="26"/>
    </row>
    <row r="97" spans="1:9" s="3" customFormat="1" ht="14.1" customHeight="1" x14ac:dyDescent="0.25">
      <c r="A97" s="7" t="s">
        <v>124</v>
      </c>
      <c r="B97" s="7" t="s">
        <v>125</v>
      </c>
      <c r="C97" s="8" t="s">
        <v>126</v>
      </c>
      <c r="D97" s="9">
        <f>F97+H97</f>
        <v>1100</v>
      </c>
      <c r="E97" s="9">
        <f>G97+I97</f>
        <v>1200</v>
      </c>
      <c r="F97" s="10">
        <v>1100</v>
      </c>
      <c r="G97" s="10">
        <v>1200</v>
      </c>
      <c r="H97" s="10">
        <v>0</v>
      </c>
      <c r="I97" s="10">
        <v>0</v>
      </c>
    </row>
    <row r="98" spans="1:9" s="3" customFormat="1" ht="14.1" customHeight="1" x14ac:dyDescent="0.25">
      <c r="A98" s="7" t="s">
        <v>127</v>
      </c>
      <c r="B98" s="7" t="s">
        <v>128</v>
      </c>
      <c r="C98" s="8" t="s">
        <v>129</v>
      </c>
      <c r="D98" s="9">
        <f>F98+H98</f>
        <v>0</v>
      </c>
      <c r="E98" s="9">
        <f>G98+I98</f>
        <v>0</v>
      </c>
      <c r="F98" s="10">
        <v>0</v>
      </c>
      <c r="G98" s="10">
        <f>SUM(G99:G100)</f>
        <v>0</v>
      </c>
      <c r="H98" s="10">
        <v>0</v>
      </c>
      <c r="I98" s="10">
        <f>SUM(I99:I100)</f>
        <v>0</v>
      </c>
    </row>
    <row r="99" spans="1:9" ht="14.1" customHeight="1" x14ac:dyDescent="0.25">
      <c r="A99" s="24"/>
      <c r="B99" s="24"/>
      <c r="C99" s="25" t="s">
        <v>130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131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7" t="s">
        <v>132</v>
      </c>
      <c r="B101" s="7" t="s">
        <v>133</v>
      </c>
      <c r="C101" s="8" t="s">
        <v>134</v>
      </c>
      <c r="D101" s="9">
        <f>F101+H101</f>
        <v>200</v>
      </c>
      <c r="E101" s="9">
        <f>G101+I101</f>
        <v>20</v>
      </c>
      <c r="F101" s="10">
        <f>SUM(F102:F104)</f>
        <v>200</v>
      </c>
      <c r="G101" s="10">
        <f t="shared" ref="G101:I101" si="23">SUM(G102:G104)</f>
        <v>20</v>
      </c>
      <c r="H101" s="10">
        <f t="shared" si="23"/>
        <v>0</v>
      </c>
      <c r="I101" s="10">
        <f t="shared" si="23"/>
        <v>0</v>
      </c>
    </row>
    <row r="102" spans="1:9" ht="14.1" customHeight="1" x14ac:dyDescent="0.25">
      <c r="A102" s="24"/>
      <c r="B102" s="24"/>
      <c r="C102" s="25" t="s">
        <v>135</v>
      </c>
      <c r="D102" s="26"/>
      <c r="E102" s="26"/>
      <c r="F102" s="26">
        <v>0</v>
      </c>
      <c r="G102" s="26">
        <v>0</v>
      </c>
      <c r="H102" s="26">
        <v>0</v>
      </c>
      <c r="I102" s="26">
        <v>0</v>
      </c>
    </row>
    <row r="103" spans="1:9" ht="14.1" customHeight="1" x14ac:dyDescent="0.25">
      <c r="A103" s="24"/>
      <c r="B103" s="24"/>
      <c r="C103" s="25" t="s">
        <v>136</v>
      </c>
      <c r="D103" s="26"/>
      <c r="E103" s="26"/>
      <c r="F103" s="26">
        <v>0</v>
      </c>
      <c r="G103" s="26">
        <v>0</v>
      </c>
      <c r="H103" s="26">
        <v>0</v>
      </c>
      <c r="I103" s="26">
        <v>0</v>
      </c>
    </row>
    <row r="104" spans="1:9" ht="14.1" customHeight="1" x14ac:dyDescent="0.25">
      <c r="A104" s="24"/>
      <c r="B104" s="24"/>
      <c r="C104" s="25" t="s">
        <v>137</v>
      </c>
      <c r="D104" s="26"/>
      <c r="E104" s="26"/>
      <c r="F104" s="26">
        <v>200</v>
      </c>
      <c r="G104" s="26">
        <v>20</v>
      </c>
      <c r="H104" s="26">
        <v>0</v>
      </c>
      <c r="I104" s="26">
        <v>0</v>
      </c>
    </row>
    <row r="105" spans="1:9" s="3" customFormat="1" ht="14.1" customHeight="1" x14ac:dyDescent="0.25">
      <c r="A105" s="7" t="s">
        <v>138</v>
      </c>
      <c r="B105" s="7" t="s">
        <v>139</v>
      </c>
      <c r="C105" s="8" t="s">
        <v>140</v>
      </c>
      <c r="D105" s="9">
        <f>F105+H105</f>
        <v>850</v>
      </c>
      <c r="E105" s="9">
        <f>G105+I105</f>
        <v>965</v>
      </c>
      <c r="F105" s="10">
        <f>SUM(F106:F109)</f>
        <v>850</v>
      </c>
      <c r="G105" s="10">
        <f t="shared" ref="G105:I105" si="24">SUM(G106:G109)</f>
        <v>965</v>
      </c>
      <c r="H105" s="10">
        <f t="shared" si="24"/>
        <v>0</v>
      </c>
      <c r="I105" s="10">
        <f t="shared" si="24"/>
        <v>0</v>
      </c>
    </row>
    <row r="106" spans="1:9" ht="14.1" customHeight="1" x14ac:dyDescent="0.25">
      <c r="A106" s="24"/>
      <c r="B106" s="24"/>
      <c r="C106" s="25" t="s">
        <v>141</v>
      </c>
      <c r="D106" s="26"/>
      <c r="E106" s="26"/>
      <c r="F106" s="26">
        <v>0</v>
      </c>
      <c r="G106" s="26">
        <v>0</v>
      </c>
      <c r="H106" s="26"/>
      <c r="I106" s="26"/>
    </row>
    <row r="107" spans="1:9" ht="14.1" customHeight="1" x14ac:dyDescent="0.25">
      <c r="A107" s="24"/>
      <c r="B107" s="24"/>
      <c r="C107" s="25" t="s">
        <v>142</v>
      </c>
      <c r="D107" s="26"/>
      <c r="E107" s="26"/>
      <c r="F107" s="26">
        <v>100</v>
      </c>
      <c r="G107" s="26">
        <v>185</v>
      </c>
      <c r="H107" s="26"/>
      <c r="I107" s="26"/>
    </row>
    <row r="108" spans="1:9" ht="14.1" customHeight="1" x14ac:dyDescent="0.25">
      <c r="A108" s="24"/>
      <c r="B108" s="24"/>
      <c r="C108" s="25" t="s">
        <v>143</v>
      </c>
      <c r="D108" s="26"/>
      <c r="E108" s="26"/>
      <c r="F108" s="26">
        <v>50</v>
      </c>
      <c r="G108" s="26">
        <v>0</v>
      </c>
      <c r="H108" s="26"/>
      <c r="I108" s="26"/>
    </row>
    <row r="109" spans="1:9" ht="14.1" customHeight="1" x14ac:dyDescent="0.25">
      <c r="A109" s="24"/>
      <c r="B109" s="24"/>
      <c r="C109" s="25" t="s">
        <v>144</v>
      </c>
      <c r="D109" s="26"/>
      <c r="E109" s="26"/>
      <c r="F109" s="26">
        <v>700</v>
      </c>
      <c r="G109" s="26">
        <v>780</v>
      </c>
      <c r="H109" s="26"/>
      <c r="I109" s="26"/>
    </row>
    <row r="110" spans="1:9" s="3" customFormat="1" ht="14.1" customHeight="1" x14ac:dyDescent="0.25">
      <c r="A110" s="16" t="s">
        <v>145</v>
      </c>
      <c r="B110" s="16" t="s">
        <v>146</v>
      </c>
      <c r="C110" s="17" t="s">
        <v>147</v>
      </c>
      <c r="D110" s="19">
        <f>D88+D92+D94+D97+D98+D101+D105</f>
        <v>9276</v>
      </c>
      <c r="E110" s="19">
        <f t="shared" ref="E110:I110" si="25">E88+E92+E94+E97+E98+E101+E105</f>
        <v>7385</v>
      </c>
      <c r="F110" s="19">
        <f t="shared" si="25"/>
        <v>3695</v>
      </c>
      <c r="G110" s="19">
        <f t="shared" si="25"/>
        <v>3685</v>
      </c>
      <c r="H110" s="19">
        <f t="shared" si="25"/>
        <v>5581</v>
      </c>
      <c r="I110" s="19">
        <f t="shared" si="25"/>
        <v>3700</v>
      </c>
    </row>
    <row r="111" spans="1:9" s="3" customFormat="1" ht="14.1" customHeight="1" x14ac:dyDescent="0.25">
      <c r="A111" s="7" t="s">
        <v>148</v>
      </c>
      <c r="B111" s="7" t="s">
        <v>149</v>
      </c>
      <c r="C111" s="8" t="s">
        <v>150</v>
      </c>
      <c r="D111" s="9">
        <f>F111+H111</f>
        <v>100</v>
      </c>
      <c r="E111" s="9">
        <f>G111+I111</f>
        <v>60</v>
      </c>
      <c r="F111" s="10">
        <f>SUM(F112:F113)</f>
        <v>100</v>
      </c>
      <c r="G111" s="10">
        <f t="shared" ref="G111:I111" si="26">SUM(G112:G113)</f>
        <v>60</v>
      </c>
      <c r="H111" s="10">
        <f t="shared" si="26"/>
        <v>0</v>
      </c>
      <c r="I111" s="10">
        <f t="shared" si="26"/>
        <v>0</v>
      </c>
    </row>
    <row r="112" spans="1:9" ht="14.1" customHeight="1" x14ac:dyDescent="0.25">
      <c r="A112" s="24"/>
      <c r="B112" s="24"/>
      <c r="C112" s="25" t="s">
        <v>151</v>
      </c>
      <c r="D112" s="26"/>
      <c r="E112" s="26"/>
      <c r="F112" s="26">
        <v>100</v>
      </c>
      <c r="G112" s="26">
        <v>60</v>
      </c>
      <c r="H112" s="26"/>
      <c r="I112" s="26"/>
    </row>
    <row r="113" spans="1:9" ht="14.1" customHeight="1" x14ac:dyDescent="0.25">
      <c r="A113" s="24"/>
      <c r="B113" s="24"/>
      <c r="C113" s="25" t="s">
        <v>152</v>
      </c>
      <c r="D113" s="26"/>
      <c r="E113" s="26"/>
      <c r="F113" s="26"/>
      <c r="G113" s="26"/>
      <c r="H113" s="26"/>
      <c r="I113" s="26"/>
    </row>
    <row r="114" spans="1:9" s="3" customFormat="1" ht="14.1" customHeight="1" x14ac:dyDescent="0.25">
      <c r="A114" s="7" t="s">
        <v>153</v>
      </c>
      <c r="B114" s="7" t="s">
        <v>154</v>
      </c>
      <c r="C114" s="8" t="s">
        <v>155</v>
      </c>
      <c r="D114" s="9">
        <f>F114+H114</f>
        <v>0</v>
      </c>
      <c r="E114" s="9">
        <f>G114+I114</f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1:9" s="3" customFormat="1" ht="14.1" customHeight="1" x14ac:dyDescent="0.25">
      <c r="A115" s="16" t="s">
        <v>156</v>
      </c>
      <c r="B115" s="16" t="s">
        <v>157</v>
      </c>
      <c r="C115" s="17" t="s">
        <v>158</v>
      </c>
      <c r="D115" s="19">
        <f>D111+D114</f>
        <v>100</v>
      </c>
      <c r="E115" s="19">
        <f t="shared" ref="E115:I115" si="27">E111+E114</f>
        <v>60</v>
      </c>
      <c r="F115" s="19">
        <f t="shared" si="27"/>
        <v>100</v>
      </c>
      <c r="G115" s="19">
        <f t="shared" si="27"/>
        <v>60</v>
      </c>
      <c r="H115" s="19">
        <f t="shared" si="27"/>
        <v>0</v>
      </c>
      <c r="I115" s="19">
        <f t="shared" si="27"/>
        <v>0</v>
      </c>
    </row>
    <row r="116" spans="1:9" s="3" customFormat="1" ht="14.1" customHeight="1" x14ac:dyDescent="0.25">
      <c r="A116" s="7" t="s">
        <v>159</v>
      </c>
      <c r="B116" s="7" t="s">
        <v>160</v>
      </c>
      <c r="C116" s="8" t="s">
        <v>161</v>
      </c>
      <c r="D116" s="9">
        <f>F116+H116</f>
        <v>2921</v>
      </c>
      <c r="E116" s="9">
        <f>G116+I116</f>
        <v>2417</v>
      </c>
      <c r="F116" s="10">
        <f>SUM(F117:F118)</f>
        <v>1414</v>
      </c>
      <c r="G116" s="10">
        <f t="shared" ref="G116:I116" si="28">SUM(G117:G118)</f>
        <v>1418</v>
      </c>
      <c r="H116" s="10">
        <f t="shared" si="28"/>
        <v>1507</v>
      </c>
      <c r="I116" s="10">
        <f t="shared" si="28"/>
        <v>999</v>
      </c>
    </row>
    <row r="117" spans="1:9" ht="14.1" customHeight="1" x14ac:dyDescent="0.25">
      <c r="A117" s="24"/>
      <c r="B117" s="24"/>
      <c r="C117" s="25" t="s">
        <v>162</v>
      </c>
      <c r="D117" s="26"/>
      <c r="E117" s="26"/>
      <c r="F117" s="26"/>
      <c r="G117" s="26"/>
      <c r="H117" s="26"/>
      <c r="I117" s="26"/>
    </row>
    <row r="118" spans="1:9" ht="14.1" customHeight="1" x14ac:dyDescent="0.25">
      <c r="A118" s="24"/>
      <c r="B118" s="24"/>
      <c r="C118" s="25" t="s">
        <v>163</v>
      </c>
      <c r="D118" s="26"/>
      <c r="E118" s="26"/>
      <c r="F118" s="26">
        <v>1414</v>
      </c>
      <c r="G118" s="26">
        <f>ROUND((G76+G87+G110+G114)*0.27,0)</f>
        <v>1418</v>
      </c>
      <c r="H118" s="26">
        <v>1507</v>
      </c>
      <c r="I118" s="26">
        <f>ROUND((I76+I87+I110+I114)*0.27,0)</f>
        <v>999</v>
      </c>
    </row>
    <row r="119" spans="1:9" s="3" customFormat="1" ht="14.1" customHeight="1" x14ac:dyDescent="0.25">
      <c r="A119" s="7" t="s">
        <v>164</v>
      </c>
      <c r="B119" s="7" t="s">
        <v>165</v>
      </c>
      <c r="C119" s="8" t="s">
        <v>166</v>
      </c>
      <c r="D119" s="9">
        <f>F119+H119</f>
        <v>0</v>
      </c>
      <c r="E119" s="9">
        <f>G119+I119</f>
        <v>0</v>
      </c>
      <c r="F119" s="10">
        <f>SUM(F120:F122)</f>
        <v>0</v>
      </c>
      <c r="G119" s="10">
        <f t="shared" ref="G119:I119" si="29">SUM(G120:G122)</f>
        <v>0</v>
      </c>
      <c r="H119" s="10">
        <f t="shared" si="29"/>
        <v>0</v>
      </c>
      <c r="I119" s="10">
        <f t="shared" si="29"/>
        <v>0</v>
      </c>
    </row>
    <row r="120" spans="1:9" ht="14.1" customHeight="1" x14ac:dyDescent="0.25">
      <c r="A120" s="24"/>
      <c r="B120" s="24"/>
      <c r="C120" s="25" t="s">
        <v>167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168</v>
      </c>
      <c r="D121" s="26"/>
      <c r="E121" s="26"/>
      <c r="F121" s="26"/>
      <c r="G121" s="26"/>
      <c r="H121" s="26"/>
      <c r="I121" s="26"/>
    </row>
    <row r="122" spans="1:9" ht="14.1" customHeight="1" x14ac:dyDescent="0.25">
      <c r="A122" s="24"/>
      <c r="B122" s="24"/>
      <c r="C122" s="25" t="s">
        <v>169</v>
      </c>
      <c r="D122" s="26"/>
      <c r="E122" s="26"/>
      <c r="F122" s="26"/>
      <c r="G122" s="26"/>
      <c r="H122" s="26"/>
      <c r="I122" s="26"/>
    </row>
    <row r="123" spans="1:9" s="3" customFormat="1" ht="14.1" customHeight="1" x14ac:dyDescent="0.25">
      <c r="A123" s="7" t="s">
        <v>170</v>
      </c>
      <c r="B123" s="7" t="s">
        <v>171</v>
      </c>
      <c r="C123" s="8" t="s">
        <v>172</v>
      </c>
      <c r="D123" s="9">
        <f>F123+H123</f>
        <v>0</v>
      </c>
      <c r="E123" s="9">
        <f>G123+I123</f>
        <v>0</v>
      </c>
      <c r="F123" s="10">
        <f>SUM(F124:F127)</f>
        <v>0</v>
      </c>
      <c r="G123" s="10">
        <f t="shared" ref="G123:I123" si="30">SUM(G124:G127)</f>
        <v>0</v>
      </c>
      <c r="H123" s="10">
        <f t="shared" si="30"/>
        <v>0</v>
      </c>
      <c r="I123" s="10">
        <f t="shared" si="30"/>
        <v>0</v>
      </c>
    </row>
    <row r="124" spans="1:9" ht="14.1" customHeight="1" x14ac:dyDescent="0.25">
      <c r="A124" s="24"/>
      <c r="B124" s="24"/>
      <c r="C124" s="25" t="s">
        <v>173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174</v>
      </c>
      <c r="D125" s="26"/>
      <c r="E125" s="26"/>
      <c r="F125" s="26"/>
      <c r="G125" s="26"/>
      <c r="H125" s="26"/>
      <c r="I125" s="26"/>
    </row>
    <row r="126" spans="1:9" ht="14.1" customHeight="1" x14ac:dyDescent="0.25">
      <c r="A126" s="24"/>
      <c r="B126" s="24"/>
      <c r="C126" s="25" t="s">
        <v>175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176</v>
      </c>
      <c r="D127" s="26"/>
      <c r="E127" s="26"/>
      <c r="F127" s="26"/>
      <c r="G127" s="26"/>
      <c r="H127" s="26"/>
      <c r="I127" s="26"/>
    </row>
    <row r="128" spans="1:9" s="3" customFormat="1" ht="14.1" customHeight="1" x14ac:dyDescent="0.25">
      <c r="A128" s="7" t="s">
        <v>177</v>
      </c>
      <c r="B128" s="7" t="s">
        <v>178</v>
      </c>
      <c r="C128" s="8" t="s">
        <v>179</v>
      </c>
      <c r="D128" s="9">
        <f>F128+H128</f>
        <v>0</v>
      </c>
      <c r="E128" s="9">
        <f>G128+I128</f>
        <v>0</v>
      </c>
      <c r="F128" s="10">
        <f>SUM(F129:F130)</f>
        <v>0</v>
      </c>
      <c r="G128" s="10">
        <f t="shared" ref="G128:I128" si="31">SUM(G129:G130)</f>
        <v>0</v>
      </c>
      <c r="H128" s="10">
        <f t="shared" si="31"/>
        <v>0</v>
      </c>
      <c r="I128" s="10">
        <f t="shared" si="31"/>
        <v>0</v>
      </c>
    </row>
    <row r="129" spans="1:252" ht="14.1" customHeight="1" x14ac:dyDescent="0.25">
      <c r="A129" s="24"/>
      <c r="B129" s="24"/>
      <c r="C129" s="25" t="s">
        <v>180</v>
      </c>
      <c r="D129" s="26"/>
      <c r="E129" s="26"/>
      <c r="F129" s="26"/>
      <c r="G129" s="26"/>
      <c r="H129" s="26"/>
      <c r="I129" s="26"/>
    </row>
    <row r="130" spans="1:252" ht="14.1" customHeight="1" x14ac:dyDescent="0.25">
      <c r="A130" s="24"/>
      <c r="B130" s="24"/>
      <c r="C130" s="25" t="s">
        <v>181</v>
      </c>
      <c r="D130" s="26"/>
      <c r="E130" s="26"/>
      <c r="F130" s="26"/>
      <c r="G130" s="26"/>
      <c r="H130" s="26"/>
      <c r="I130" s="26"/>
    </row>
    <row r="131" spans="1:252" s="3" customFormat="1" ht="14.1" customHeight="1" x14ac:dyDescent="0.25">
      <c r="A131" s="7" t="s">
        <v>182</v>
      </c>
      <c r="B131" s="7" t="s">
        <v>183</v>
      </c>
      <c r="C131" s="8" t="s">
        <v>184</v>
      </c>
      <c r="D131" s="9">
        <f>F131+H131</f>
        <v>20</v>
      </c>
      <c r="E131" s="9">
        <f>G131+I131</f>
        <v>300</v>
      </c>
      <c r="F131" s="10">
        <f>SUM(F132:F135)</f>
        <v>20</v>
      </c>
      <c r="G131" s="10">
        <f t="shared" ref="G131:I131" si="32">SUM(G132:G135)</f>
        <v>300</v>
      </c>
      <c r="H131" s="10">
        <f t="shared" si="32"/>
        <v>0</v>
      </c>
      <c r="I131" s="10">
        <f t="shared" si="32"/>
        <v>0</v>
      </c>
    </row>
    <row r="132" spans="1:252" ht="14.1" customHeight="1" x14ac:dyDescent="0.25">
      <c r="A132" s="24"/>
      <c r="B132" s="24"/>
      <c r="C132" s="25" t="s">
        <v>185</v>
      </c>
      <c r="D132" s="26"/>
      <c r="E132" s="26"/>
      <c r="F132" s="26"/>
      <c r="G132" s="26"/>
      <c r="H132" s="26"/>
      <c r="I132" s="26"/>
    </row>
    <row r="133" spans="1:252" ht="14.1" customHeight="1" x14ac:dyDescent="0.25">
      <c r="A133" s="24"/>
      <c r="B133" s="24"/>
      <c r="C133" s="25" t="s">
        <v>186</v>
      </c>
      <c r="D133" s="26"/>
      <c r="E133" s="26"/>
      <c r="F133" s="26"/>
      <c r="G133" s="26"/>
      <c r="H133" s="26"/>
      <c r="I133" s="26"/>
    </row>
    <row r="134" spans="1:252" ht="14.1" customHeight="1" x14ac:dyDescent="0.25">
      <c r="A134" s="24"/>
      <c r="B134" s="24"/>
      <c r="C134" s="25" t="s">
        <v>187</v>
      </c>
      <c r="D134" s="26"/>
      <c r="E134" s="26"/>
      <c r="F134" s="26"/>
      <c r="G134" s="26"/>
      <c r="H134" s="26"/>
      <c r="I134" s="26"/>
    </row>
    <row r="135" spans="1:252" ht="14.1" customHeight="1" x14ac:dyDescent="0.25">
      <c r="A135" s="24"/>
      <c r="B135" s="24"/>
      <c r="C135" s="25" t="s">
        <v>188</v>
      </c>
      <c r="D135" s="26"/>
      <c r="E135" s="26"/>
      <c r="F135" s="26">
        <v>20</v>
      </c>
      <c r="G135" s="26">
        <v>300</v>
      </c>
      <c r="H135" s="26"/>
      <c r="I135" s="26"/>
    </row>
    <row r="136" spans="1:252" s="3" customFormat="1" ht="14.1" customHeight="1" x14ac:dyDescent="0.25">
      <c r="A136" s="16" t="s">
        <v>189</v>
      </c>
      <c r="B136" s="16" t="s">
        <v>190</v>
      </c>
      <c r="C136" s="17" t="s">
        <v>191</v>
      </c>
      <c r="D136" s="19">
        <f>D116+D119+D123+D128+D131</f>
        <v>2941</v>
      </c>
      <c r="E136" s="19">
        <f t="shared" ref="E136:I136" si="33">E116+E119+E123+E128+E131</f>
        <v>2717</v>
      </c>
      <c r="F136" s="19">
        <f t="shared" si="33"/>
        <v>1434</v>
      </c>
      <c r="G136" s="19">
        <f t="shared" si="33"/>
        <v>1718</v>
      </c>
      <c r="H136" s="19">
        <f t="shared" si="33"/>
        <v>1507</v>
      </c>
      <c r="I136" s="19">
        <f t="shared" si="33"/>
        <v>999</v>
      </c>
    </row>
    <row r="137" spans="1:252" s="3" customFormat="1" ht="14.1" customHeight="1" x14ac:dyDescent="0.25">
      <c r="A137" s="20" t="s">
        <v>192</v>
      </c>
      <c r="B137" s="20" t="s">
        <v>193</v>
      </c>
      <c r="C137" s="21" t="s">
        <v>292</v>
      </c>
      <c r="D137" s="23">
        <f>D76+D87+D110+D115+D136</f>
        <v>13858</v>
      </c>
      <c r="E137" s="23">
        <f t="shared" ref="E137:I137" si="34">E76+E87+E110+E115+E136</f>
        <v>11727</v>
      </c>
      <c r="F137" s="23">
        <f t="shared" si="34"/>
        <v>6770</v>
      </c>
      <c r="G137" s="23">
        <f t="shared" si="34"/>
        <v>7028</v>
      </c>
      <c r="H137" s="23">
        <f t="shared" si="34"/>
        <v>7088</v>
      </c>
      <c r="I137" s="23">
        <f t="shared" si="34"/>
        <v>4699</v>
      </c>
    </row>
    <row r="138" spans="1:252" ht="14.1" customHeight="1" x14ac:dyDescent="0.2">
      <c r="A138" s="1025" t="s">
        <v>291</v>
      </c>
      <c r="B138" s="1026"/>
      <c r="C138" s="1027"/>
      <c r="D138" s="28">
        <f>D53+D137</f>
        <v>63114</v>
      </c>
      <c r="E138" s="28">
        <f t="shared" ref="E138:I138" si="35">E53+E137</f>
        <v>62833</v>
      </c>
      <c r="F138" s="28">
        <f t="shared" si="35"/>
        <v>56026</v>
      </c>
      <c r="G138" s="28">
        <f t="shared" si="35"/>
        <v>58134</v>
      </c>
      <c r="H138" s="28">
        <f t="shared" si="35"/>
        <v>7088</v>
      </c>
      <c r="I138" s="28">
        <f t="shared" si="35"/>
        <v>4699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</row>
    <row r="139" spans="1:252" ht="12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</row>
    <row r="140" spans="1:252" ht="14.1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</row>
    <row r="142" spans="1:252" s="1" customFormat="1" ht="12.75" customHeight="1" x14ac:dyDescent="0.25">
      <c r="A142" s="1022" t="s">
        <v>290</v>
      </c>
      <c r="B142" s="1022"/>
      <c r="C142" s="1022"/>
      <c r="D142" s="1022"/>
      <c r="E142" s="1022"/>
      <c r="F142" s="1022"/>
      <c r="G142" s="1022"/>
      <c r="H142" s="1022"/>
      <c r="I142" s="1022"/>
    </row>
    <row r="143" spans="1:252" s="1" customFormat="1" ht="14.1" customHeight="1" x14ac:dyDescent="0.25">
      <c r="A143" s="1022" t="s">
        <v>0</v>
      </c>
      <c r="B143" s="1023" t="s">
        <v>1</v>
      </c>
      <c r="C143" s="1022" t="s">
        <v>2</v>
      </c>
      <c r="D143" s="1024" t="s">
        <v>260</v>
      </c>
      <c r="E143" s="1014" t="s">
        <v>259</v>
      </c>
      <c r="F143" s="1016" t="s">
        <v>261</v>
      </c>
      <c r="G143" s="1017"/>
      <c r="H143" s="1016" t="s">
        <v>262</v>
      </c>
      <c r="I143" s="1017"/>
    </row>
    <row r="144" spans="1:252" s="3" customFormat="1" ht="27" customHeight="1" x14ac:dyDescent="0.25">
      <c r="A144" s="1022"/>
      <c r="B144" s="1023"/>
      <c r="C144" s="1022"/>
      <c r="D144" s="1024"/>
      <c r="E144" s="1015"/>
      <c r="F144" s="2" t="s">
        <v>260</v>
      </c>
      <c r="G144" s="2" t="s">
        <v>259</v>
      </c>
      <c r="H144" s="2" t="s">
        <v>260</v>
      </c>
      <c r="I144" s="2" t="s">
        <v>259</v>
      </c>
    </row>
    <row r="145" spans="1:9" ht="5.65" customHeight="1" x14ac:dyDescent="0.25"/>
    <row r="146" spans="1:9" ht="14.1" customHeight="1" x14ac:dyDescent="0.25">
      <c r="A146" s="1021" t="s">
        <v>194</v>
      </c>
      <c r="B146" s="1021"/>
      <c r="C146" s="1021"/>
      <c r="D146" s="1021"/>
      <c r="E146" s="1021"/>
      <c r="F146" s="1021"/>
      <c r="G146" s="1021"/>
      <c r="H146" s="1021"/>
      <c r="I146" s="1021"/>
    </row>
    <row r="147" spans="1:9" ht="14.1" customHeight="1" x14ac:dyDescent="0.25">
      <c r="A147" s="24" t="s">
        <v>195</v>
      </c>
      <c r="B147" s="24" t="s">
        <v>196</v>
      </c>
      <c r="C147" s="25" t="s">
        <v>197</v>
      </c>
      <c r="D147" s="26">
        <f>F147+H147</f>
        <v>0</v>
      </c>
      <c r="E147" s="26">
        <f>G147+I147</f>
        <v>0</v>
      </c>
      <c r="F147" s="26"/>
      <c r="G147" s="26"/>
      <c r="H147" s="26"/>
      <c r="I147" s="26"/>
    </row>
    <row r="148" spans="1:9" ht="14.1" customHeight="1" x14ac:dyDescent="0.25">
      <c r="A148" s="24" t="s">
        <v>198</v>
      </c>
      <c r="B148" s="24" t="s">
        <v>199</v>
      </c>
      <c r="C148" s="25" t="s">
        <v>200</v>
      </c>
      <c r="D148" s="26">
        <f t="shared" ref="D148:E154" si="36">F148+H148</f>
        <v>0</v>
      </c>
      <c r="E148" s="26">
        <f t="shared" si="36"/>
        <v>0</v>
      </c>
      <c r="F148" s="26"/>
      <c r="G148" s="26"/>
      <c r="H148" s="26"/>
      <c r="I148" s="26"/>
    </row>
    <row r="149" spans="1:9" ht="14.1" customHeight="1" x14ac:dyDescent="0.25">
      <c r="A149" s="24" t="s">
        <v>201</v>
      </c>
      <c r="B149" s="24" t="s">
        <v>202</v>
      </c>
      <c r="C149" s="25" t="s">
        <v>203</v>
      </c>
      <c r="D149" s="26">
        <f t="shared" si="36"/>
        <v>0</v>
      </c>
      <c r="E149" s="26">
        <f t="shared" si="36"/>
        <v>0</v>
      </c>
      <c r="F149" s="26"/>
      <c r="G149" s="26"/>
      <c r="H149" s="26"/>
      <c r="I149" s="26"/>
    </row>
    <row r="150" spans="1:9" ht="14.1" customHeight="1" x14ac:dyDescent="0.25">
      <c r="A150" s="24" t="s">
        <v>204</v>
      </c>
      <c r="B150" s="24" t="s">
        <v>205</v>
      </c>
      <c r="C150" s="25" t="s">
        <v>206</v>
      </c>
      <c r="D150" s="26">
        <f t="shared" si="36"/>
        <v>234</v>
      </c>
      <c r="E150" s="26">
        <f t="shared" si="36"/>
        <v>175</v>
      </c>
      <c r="F150" s="26">
        <v>234</v>
      </c>
      <c r="G150" s="26">
        <v>175</v>
      </c>
      <c r="H150" s="26"/>
      <c r="I150" s="26"/>
    </row>
    <row r="151" spans="1:9" ht="14.1" customHeight="1" x14ac:dyDescent="0.25">
      <c r="A151" s="24"/>
      <c r="B151" s="24" t="s">
        <v>207</v>
      </c>
      <c r="C151" s="25" t="s">
        <v>208</v>
      </c>
      <c r="D151" s="26">
        <f t="shared" si="36"/>
        <v>0</v>
      </c>
      <c r="E151" s="26">
        <f t="shared" si="36"/>
        <v>0</v>
      </c>
      <c r="F151" s="26"/>
      <c r="G151" s="26"/>
      <c r="H151" s="26"/>
      <c r="I151" s="26"/>
    </row>
    <row r="152" spans="1:9" ht="14.1" customHeight="1" x14ac:dyDescent="0.25">
      <c r="A152" s="24" t="s">
        <v>209</v>
      </c>
      <c r="B152" s="24" t="s">
        <v>210</v>
      </c>
      <c r="C152" s="25" t="s">
        <v>211</v>
      </c>
      <c r="D152" s="26">
        <f t="shared" si="36"/>
        <v>0</v>
      </c>
      <c r="E152" s="26">
        <f t="shared" si="36"/>
        <v>0</v>
      </c>
      <c r="F152" s="26"/>
      <c r="G152" s="26"/>
      <c r="H152" s="26"/>
      <c r="I152" s="26"/>
    </row>
    <row r="153" spans="1:9" ht="14.1" customHeight="1" x14ac:dyDescent="0.25">
      <c r="A153" s="24" t="s">
        <v>212</v>
      </c>
      <c r="B153" s="24" t="s">
        <v>213</v>
      </c>
      <c r="C153" s="25" t="s">
        <v>214</v>
      </c>
      <c r="D153" s="26">
        <f t="shared" si="36"/>
        <v>0</v>
      </c>
      <c r="E153" s="26">
        <f t="shared" si="36"/>
        <v>0</v>
      </c>
      <c r="F153" s="26"/>
      <c r="G153" s="26"/>
      <c r="H153" s="26"/>
      <c r="I153" s="26"/>
    </row>
    <row r="154" spans="1:9" ht="14.1" customHeight="1" x14ac:dyDescent="0.25">
      <c r="A154" s="24" t="s">
        <v>215</v>
      </c>
      <c r="B154" s="24" t="s">
        <v>216</v>
      </c>
      <c r="C154" s="25" t="s">
        <v>217</v>
      </c>
      <c r="D154" s="26">
        <f t="shared" si="36"/>
        <v>63</v>
      </c>
      <c r="E154" s="26">
        <f t="shared" si="36"/>
        <v>47</v>
      </c>
      <c r="F154" s="26">
        <v>63</v>
      </c>
      <c r="G154" s="26">
        <f>ROUND((G147+G148+G149+G150+G151)*0.27,0)</f>
        <v>47</v>
      </c>
      <c r="H154" s="26">
        <v>0</v>
      </c>
      <c r="I154" s="26">
        <f>ROUND((I147+I148+I149+I150+I151)*0.27,0)</f>
        <v>0</v>
      </c>
    </row>
    <row r="155" spans="1:9" s="3" customFormat="1" ht="14.1" customHeight="1" x14ac:dyDescent="0.25">
      <c r="A155" s="20" t="s">
        <v>218</v>
      </c>
      <c r="B155" s="20" t="s">
        <v>219</v>
      </c>
      <c r="C155" s="21" t="s">
        <v>220</v>
      </c>
      <c r="D155" s="23">
        <f>SUM(D147:D154)</f>
        <v>297</v>
      </c>
      <c r="E155" s="23">
        <f t="shared" ref="E155:I155" si="37">SUM(E147:E154)</f>
        <v>222</v>
      </c>
      <c r="F155" s="23">
        <f t="shared" si="37"/>
        <v>297</v>
      </c>
      <c r="G155" s="23">
        <f t="shared" si="37"/>
        <v>222</v>
      </c>
      <c r="H155" s="23">
        <f t="shared" si="37"/>
        <v>0</v>
      </c>
      <c r="I155" s="23">
        <f t="shared" si="37"/>
        <v>0</v>
      </c>
    </row>
    <row r="156" spans="1:9" ht="14.1" customHeight="1" x14ac:dyDescent="0.25">
      <c r="A156" s="24" t="s">
        <v>221</v>
      </c>
      <c r="B156" s="24" t="s">
        <v>222</v>
      </c>
      <c r="C156" s="25" t="s">
        <v>223</v>
      </c>
      <c r="D156" s="26">
        <f>F156+H156</f>
        <v>0</v>
      </c>
      <c r="E156" s="26">
        <f t="shared" ref="E156:E160" si="38">G156+I156</f>
        <v>0</v>
      </c>
      <c r="F156" s="26"/>
      <c r="G156" s="26"/>
      <c r="H156" s="26"/>
      <c r="I156" s="26"/>
    </row>
    <row r="157" spans="1:9" ht="14.1" customHeight="1" x14ac:dyDescent="0.25">
      <c r="A157" s="24" t="s">
        <v>224</v>
      </c>
      <c r="B157" s="24" t="s">
        <v>225</v>
      </c>
      <c r="C157" s="25" t="s">
        <v>226</v>
      </c>
      <c r="D157" s="26">
        <f t="shared" ref="D157:D160" si="39">F157+H157</f>
        <v>0</v>
      </c>
      <c r="E157" s="26">
        <f t="shared" si="38"/>
        <v>0</v>
      </c>
      <c r="F157" s="26"/>
      <c r="G157" s="26"/>
      <c r="H157" s="26"/>
      <c r="I157" s="26"/>
    </row>
    <row r="158" spans="1:9" ht="14.1" customHeight="1" x14ac:dyDescent="0.25">
      <c r="A158" s="24" t="s">
        <v>227</v>
      </c>
      <c r="B158" s="24" t="s">
        <v>228</v>
      </c>
      <c r="C158" s="25" t="s">
        <v>229</v>
      </c>
      <c r="D158" s="26">
        <f t="shared" si="39"/>
        <v>0</v>
      </c>
      <c r="E158" s="26">
        <f>G158+I158</f>
        <v>0</v>
      </c>
      <c r="F158" s="26"/>
      <c r="G158" s="26"/>
      <c r="H158" s="26"/>
      <c r="I158" s="26"/>
    </row>
    <row r="159" spans="1:9" ht="14.1" customHeight="1" x14ac:dyDescent="0.25">
      <c r="A159" s="24"/>
      <c r="B159" s="24" t="s">
        <v>230</v>
      </c>
      <c r="C159" s="25" t="s">
        <v>231</v>
      </c>
      <c r="D159" s="26">
        <f t="shared" si="39"/>
        <v>0</v>
      </c>
      <c r="E159" s="26">
        <f t="shared" si="38"/>
        <v>0</v>
      </c>
      <c r="F159" s="26"/>
      <c r="G159" s="26"/>
      <c r="H159" s="26"/>
      <c r="I159" s="26"/>
    </row>
    <row r="160" spans="1:9" ht="14.1" customHeight="1" x14ac:dyDescent="0.25">
      <c r="A160" s="24" t="s">
        <v>232</v>
      </c>
      <c r="B160" s="24" t="s">
        <v>233</v>
      </c>
      <c r="C160" s="25" t="s">
        <v>234</v>
      </c>
      <c r="D160" s="26">
        <f t="shared" si="39"/>
        <v>0</v>
      </c>
      <c r="E160" s="26">
        <f t="shared" si="38"/>
        <v>0</v>
      </c>
      <c r="F160" s="26">
        <v>0</v>
      </c>
      <c r="G160" s="26">
        <f>ROUND((G156+G157+G158+G159)*0.27,0)</f>
        <v>0</v>
      </c>
      <c r="H160" s="26">
        <v>0</v>
      </c>
      <c r="I160" s="26">
        <f>ROUND((I156+I157+I158+I159)*0.27,0)</f>
        <v>0</v>
      </c>
    </row>
    <row r="161" spans="1:9" s="3" customFormat="1" ht="14.1" customHeight="1" x14ac:dyDescent="0.25">
      <c r="A161" s="20" t="s">
        <v>235</v>
      </c>
      <c r="B161" s="20" t="s">
        <v>236</v>
      </c>
      <c r="C161" s="21" t="s">
        <v>237</v>
      </c>
      <c r="D161" s="23">
        <f>SUM(D156:D160)</f>
        <v>0</v>
      </c>
      <c r="E161" s="23">
        <f t="shared" ref="E161:I161" si="40">SUM(E156:E160)</f>
        <v>0</v>
      </c>
      <c r="F161" s="23">
        <f t="shared" si="40"/>
        <v>0</v>
      </c>
      <c r="G161" s="23">
        <f t="shared" si="40"/>
        <v>0</v>
      </c>
      <c r="H161" s="23">
        <f t="shared" si="40"/>
        <v>0</v>
      </c>
      <c r="I161" s="23">
        <f t="shared" si="40"/>
        <v>0</v>
      </c>
    </row>
    <row r="162" spans="1:9" s="3" customFormat="1" ht="14.1" customHeight="1" x14ac:dyDescent="0.25">
      <c r="A162" s="1025" t="s">
        <v>293</v>
      </c>
      <c r="B162" s="1026"/>
      <c r="C162" s="1027" t="s">
        <v>238</v>
      </c>
      <c r="D162" s="28">
        <f>D155+D161</f>
        <v>297</v>
      </c>
      <c r="E162" s="28">
        <f t="shared" ref="E162:I162" si="41">E155+E161</f>
        <v>222</v>
      </c>
      <c r="F162" s="28">
        <f t="shared" si="41"/>
        <v>297</v>
      </c>
      <c r="G162" s="28">
        <f t="shared" si="41"/>
        <v>222</v>
      </c>
      <c r="H162" s="28">
        <f t="shared" si="41"/>
        <v>0</v>
      </c>
      <c r="I162" s="28">
        <f t="shared" si="41"/>
        <v>0</v>
      </c>
    </row>
    <row r="163" spans="1:9" ht="6.75" customHeight="1" x14ac:dyDescent="0.25"/>
    <row r="164" spans="1:9" ht="14.1" customHeight="1" x14ac:dyDescent="0.25">
      <c r="A164" s="1018" t="s">
        <v>294</v>
      </c>
      <c r="B164" s="1019"/>
      <c r="C164" s="1020"/>
      <c r="D164" s="30">
        <f>D162+D138</f>
        <v>63411</v>
      </c>
      <c r="E164" s="30">
        <f t="shared" ref="E164:I164" si="42">E162+E138</f>
        <v>63055</v>
      </c>
      <c r="F164" s="30">
        <f t="shared" si="42"/>
        <v>56323</v>
      </c>
      <c r="G164" s="30">
        <f t="shared" si="42"/>
        <v>58356</v>
      </c>
      <c r="H164" s="30">
        <f t="shared" si="42"/>
        <v>7088</v>
      </c>
      <c r="I164" s="30">
        <f t="shared" si="42"/>
        <v>4699</v>
      </c>
    </row>
    <row r="169" spans="1:9" s="1" customFormat="1" ht="12.75" customHeight="1" x14ac:dyDescent="0.25">
      <c r="A169" s="1022" t="s">
        <v>264</v>
      </c>
      <c r="B169" s="1022"/>
      <c r="C169" s="1022"/>
      <c r="D169" s="1022"/>
      <c r="E169" s="1022"/>
      <c r="F169" s="1022"/>
      <c r="G169" s="1022"/>
      <c r="H169" s="1022"/>
      <c r="I169" s="1022"/>
    </row>
    <row r="170" spans="1:9" s="1" customFormat="1" ht="14.1" customHeight="1" x14ac:dyDescent="0.25">
      <c r="A170" s="1022" t="s">
        <v>0</v>
      </c>
      <c r="B170" s="1023" t="s">
        <v>1</v>
      </c>
      <c r="C170" s="1022" t="s">
        <v>2</v>
      </c>
      <c r="D170" s="1024" t="s">
        <v>260</v>
      </c>
      <c r="E170" s="1014" t="s">
        <v>259</v>
      </c>
      <c r="F170" s="1016" t="s">
        <v>261</v>
      </c>
      <c r="G170" s="1017"/>
      <c r="H170" s="1016" t="s">
        <v>262</v>
      </c>
      <c r="I170" s="1017"/>
    </row>
    <row r="171" spans="1:9" s="3" customFormat="1" ht="23.25" customHeight="1" x14ac:dyDescent="0.25">
      <c r="A171" s="1022"/>
      <c r="B171" s="1023"/>
      <c r="C171" s="1022"/>
      <c r="D171" s="1024"/>
      <c r="E171" s="1015"/>
      <c r="F171" s="2" t="s">
        <v>260</v>
      </c>
      <c r="G171" s="2" t="s">
        <v>259</v>
      </c>
      <c r="H171" s="2" t="s">
        <v>260</v>
      </c>
      <c r="I171" s="2" t="s">
        <v>259</v>
      </c>
    </row>
    <row r="172" spans="1:9" ht="5.65" customHeight="1" x14ac:dyDescent="0.25"/>
    <row r="173" spans="1:9" ht="14.1" customHeight="1" x14ac:dyDescent="0.25">
      <c r="A173" s="1021" t="s">
        <v>239</v>
      </c>
      <c r="B173" s="1021"/>
      <c r="C173" s="1021"/>
      <c r="D173" s="1021"/>
      <c r="E173" s="1021"/>
      <c r="F173" s="1021"/>
      <c r="G173" s="1021"/>
      <c r="H173" s="1021"/>
      <c r="I173" s="1021"/>
    </row>
    <row r="174" spans="1:9" s="3" customFormat="1" ht="14.1" customHeight="1" x14ac:dyDescent="0.25">
      <c r="A174" s="20" t="s">
        <v>240</v>
      </c>
      <c r="B174" s="20"/>
      <c r="C174" s="21" t="s">
        <v>241</v>
      </c>
      <c r="D174" s="23">
        <f>SUM(D175:D184)</f>
        <v>4094</v>
      </c>
      <c r="E174" s="23">
        <f t="shared" ref="E174:I174" si="43">SUM(E175:E184)</f>
        <v>673</v>
      </c>
      <c r="F174" s="23">
        <f t="shared" si="43"/>
        <v>0</v>
      </c>
      <c r="G174" s="23">
        <f t="shared" si="43"/>
        <v>0</v>
      </c>
      <c r="H174" s="23">
        <f t="shared" si="43"/>
        <v>4094</v>
      </c>
      <c r="I174" s="23">
        <f t="shared" si="43"/>
        <v>673</v>
      </c>
    </row>
    <row r="175" spans="1:9" ht="14.1" customHeight="1" x14ac:dyDescent="0.25">
      <c r="A175" s="24" t="s">
        <v>242</v>
      </c>
      <c r="B175" s="24"/>
      <c r="C175" s="25" t="s">
        <v>243</v>
      </c>
      <c r="D175" s="26">
        <f>F175+H175</f>
        <v>0</v>
      </c>
      <c r="E175" s="26">
        <f>G175+I175</f>
        <v>0</v>
      </c>
      <c r="F175" s="26"/>
      <c r="G175" s="26"/>
      <c r="H175" s="26"/>
      <c r="I175" s="26"/>
    </row>
    <row r="176" spans="1:9" ht="14.1" customHeight="1" x14ac:dyDescent="0.25">
      <c r="A176" s="24" t="s">
        <v>244</v>
      </c>
      <c r="B176" s="24"/>
      <c r="C176" s="25" t="s">
        <v>245</v>
      </c>
      <c r="D176" s="26">
        <f t="shared" ref="D176:E184" si="44">F176+H176</f>
        <v>0</v>
      </c>
      <c r="E176" s="26">
        <f t="shared" si="44"/>
        <v>0</v>
      </c>
      <c r="F176" s="26"/>
      <c r="G176" s="26"/>
      <c r="H176" s="26"/>
      <c r="I176" s="26"/>
    </row>
    <row r="177" spans="1:9" ht="14.1" customHeight="1" x14ac:dyDescent="0.25">
      <c r="A177" s="24" t="s">
        <v>246</v>
      </c>
      <c r="B177" s="24"/>
      <c r="C177" s="25" t="s">
        <v>247</v>
      </c>
      <c r="D177" s="26">
        <f t="shared" si="44"/>
        <v>0</v>
      </c>
      <c r="E177" s="26">
        <f t="shared" si="44"/>
        <v>0</v>
      </c>
      <c r="F177" s="26"/>
      <c r="G177" s="26"/>
      <c r="H177" s="26"/>
      <c r="I177" s="26"/>
    </row>
    <row r="178" spans="1:9" ht="14.1" customHeight="1" x14ac:dyDescent="0.25">
      <c r="A178" s="24" t="s">
        <v>248</v>
      </c>
      <c r="B178" s="24"/>
      <c r="C178" s="25" t="s">
        <v>249</v>
      </c>
      <c r="D178" s="26">
        <f t="shared" si="44"/>
        <v>0</v>
      </c>
      <c r="E178" s="26">
        <f t="shared" si="44"/>
        <v>0</v>
      </c>
      <c r="F178" s="26"/>
      <c r="G178" s="26"/>
      <c r="H178" s="26"/>
      <c r="I178" s="26"/>
    </row>
    <row r="179" spans="1:9" ht="14.1" customHeight="1" x14ac:dyDescent="0.25">
      <c r="A179" s="24" t="s">
        <v>296</v>
      </c>
      <c r="B179" s="24"/>
      <c r="C179" s="25" t="s">
        <v>297</v>
      </c>
      <c r="D179" s="26">
        <f t="shared" ref="D179" si="45">F179+H179</f>
        <v>3113</v>
      </c>
      <c r="E179" s="26">
        <f t="shared" ref="E179" si="46">G179+I179</f>
        <v>530</v>
      </c>
      <c r="F179" s="26"/>
      <c r="G179" s="26"/>
      <c r="H179" s="26">
        <v>3113</v>
      </c>
      <c r="I179" s="26">
        <v>530</v>
      </c>
    </row>
    <row r="180" spans="1:9" ht="14.1" customHeight="1" x14ac:dyDescent="0.25">
      <c r="A180" s="24" t="s">
        <v>250</v>
      </c>
      <c r="B180" s="24"/>
      <c r="C180" s="25" t="s">
        <v>251</v>
      </c>
      <c r="D180" s="26">
        <f t="shared" si="44"/>
        <v>841</v>
      </c>
      <c r="E180" s="26">
        <f t="shared" si="44"/>
        <v>143</v>
      </c>
      <c r="F180" s="26"/>
      <c r="G180" s="26">
        <f>ROUND((G175+G176+G177+G178+G179)*0.27,0)</f>
        <v>0</v>
      </c>
      <c r="H180" s="26">
        <v>841</v>
      </c>
      <c r="I180" s="26">
        <f>ROUND((I175+I176+I177+I178+I179)*0.27,0)</f>
        <v>143</v>
      </c>
    </row>
    <row r="181" spans="1:9" ht="14.1" customHeight="1" x14ac:dyDescent="0.25">
      <c r="A181" s="24" t="s">
        <v>298</v>
      </c>
      <c r="B181" s="24"/>
      <c r="C181" s="25" t="s">
        <v>299</v>
      </c>
      <c r="D181" s="26">
        <f t="shared" ref="D181" si="47">F181+H181</f>
        <v>140</v>
      </c>
      <c r="E181" s="26">
        <f t="shared" ref="E181" si="48">G181+I181</f>
        <v>0</v>
      </c>
      <c r="F181" s="26"/>
      <c r="G181" s="26"/>
      <c r="H181" s="26">
        <v>140</v>
      </c>
      <c r="I181" s="26"/>
    </row>
    <row r="182" spans="1:9" ht="14.1" customHeight="1" x14ac:dyDescent="0.25">
      <c r="A182" s="24" t="s">
        <v>252</v>
      </c>
      <c r="B182" s="24"/>
      <c r="C182" s="25" t="s">
        <v>253</v>
      </c>
      <c r="D182" s="26">
        <f t="shared" si="44"/>
        <v>0</v>
      </c>
      <c r="E182" s="26">
        <f t="shared" si="44"/>
        <v>0</v>
      </c>
      <c r="F182" s="26"/>
      <c r="G182" s="26"/>
      <c r="H182" s="26"/>
      <c r="I182" s="26"/>
    </row>
    <row r="183" spans="1:9" ht="14.1" customHeight="1" x14ac:dyDescent="0.25">
      <c r="A183" s="24" t="s">
        <v>300</v>
      </c>
      <c r="B183" s="24"/>
      <c r="C183" s="25" t="s">
        <v>301</v>
      </c>
      <c r="D183" s="26">
        <f t="shared" ref="D183" si="49">F183+H183</f>
        <v>0</v>
      </c>
      <c r="E183" s="26">
        <f t="shared" ref="E183" si="50">G183+I183</f>
        <v>0</v>
      </c>
      <c r="F183" s="26"/>
      <c r="G183" s="26"/>
      <c r="H183" s="26"/>
      <c r="I183" s="26"/>
    </row>
    <row r="184" spans="1:9" ht="14.1" customHeight="1" x14ac:dyDescent="0.25">
      <c r="A184" s="24" t="s">
        <v>254</v>
      </c>
      <c r="B184" s="24"/>
      <c r="C184" s="25" t="s">
        <v>255</v>
      </c>
      <c r="D184" s="26">
        <f t="shared" si="44"/>
        <v>0</v>
      </c>
      <c r="E184" s="26">
        <f t="shared" si="44"/>
        <v>0</v>
      </c>
      <c r="F184" s="26"/>
      <c r="G184" s="26"/>
      <c r="H184" s="26"/>
      <c r="I184" s="26"/>
    </row>
    <row r="185" spans="1:9" s="3" customFormat="1" ht="14.1" customHeight="1" x14ac:dyDescent="0.25">
      <c r="A185" s="20" t="s">
        <v>256</v>
      </c>
      <c r="B185" s="20"/>
      <c r="C185" s="21" t="s">
        <v>257</v>
      </c>
      <c r="D185" s="23">
        <f>F185+H185</f>
        <v>0</v>
      </c>
      <c r="E185" s="23">
        <f>G185+I185</f>
        <v>0</v>
      </c>
      <c r="F185" s="23">
        <v>0</v>
      </c>
      <c r="G185" s="23">
        <v>0</v>
      </c>
      <c r="H185" s="23">
        <v>0</v>
      </c>
      <c r="I185" s="23">
        <v>0</v>
      </c>
    </row>
    <row r="186" spans="1:9" s="3" customFormat="1" ht="14.1" customHeight="1" x14ac:dyDescent="0.25">
      <c r="A186" s="1018" t="s">
        <v>295</v>
      </c>
      <c r="B186" s="1019"/>
      <c r="C186" s="1020"/>
      <c r="D186" s="30">
        <f>D174+D185</f>
        <v>4094</v>
      </c>
      <c r="E186" s="30">
        <f t="shared" ref="E186:I186" si="51">E174+E185</f>
        <v>673</v>
      </c>
      <c r="F186" s="30">
        <f t="shared" si="51"/>
        <v>0</v>
      </c>
      <c r="G186" s="30">
        <f t="shared" si="51"/>
        <v>0</v>
      </c>
      <c r="H186" s="30">
        <f t="shared" si="51"/>
        <v>4094</v>
      </c>
      <c r="I186" s="30">
        <f t="shared" si="51"/>
        <v>673</v>
      </c>
    </row>
  </sheetData>
  <sheetProtection selectLockedCells="1" selectUnlockedCells="1"/>
  <mergeCells count="41">
    <mergeCell ref="E55:E56"/>
    <mergeCell ref="F55:G55"/>
    <mergeCell ref="H55:I55"/>
    <mergeCell ref="A146:I146"/>
    <mergeCell ref="A169:I169"/>
    <mergeCell ref="A58:I58"/>
    <mergeCell ref="A142:I142"/>
    <mergeCell ref="A164:C164"/>
    <mergeCell ref="A1:I1"/>
    <mergeCell ref="A2:A3"/>
    <mergeCell ref="B2:B3"/>
    <mergeCell ref="C2:C3"/>
    <mergeCell ref="D2:D3"/>
    <mergeCell ref="E2:E3"/>
    <mergeCell ref="F2:G2"/>
    <mergeCell ref="H2:I2"/>
    <mergeCell ref="A5:I5"/>
    <mergeCell ref="A138:C138"/>
    <mergeCell ref="A162:C162"/>
    <mergeCell ref="E143:E144"/>
    <mergeCell ref="F143:G143"/>
    <mergeCell ref="H143:I143"/>
    <mergeCell ref="A143:A144"/>
    <mergeCell ref="B143:B144"/>
    <mergeCell ref="C143:C144"/>
    <mergeCell ref="D143:D144"/>
    <mergeCell ref="A53:C53"/>
    <mergeCell ref="A54:I54"/>
    <mergeCell ref="A55:A56"/>
    <mergeCell ref="B55:B56"/>
    <mergeCell ref="C55:C56"/>
    <mergeCell ref="D55:D56"/>
    <mergeCell ref="E170:E171"/>
    <mergeCell ref="F170:G170"/>
    <mergeCell ref="H170:I170"/>
    <mergeCell ref="A186:C186"/>
    <mergeCell ref="A173:I173"/>
    <mergeCell ref="A170:A171"/>
    <mergeCell ref="B170:B171"/>
    <mergeCell ref="C170:C171"/>
    <mergeCell ref="D170:D171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6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47"/>
  <sheetViews>
    <sheetView view="pageBreakPreview" topLeftCell="A5" zoomScale="75" zoomScaleNormal="100" zoomScaleSheetLayoutView="75" workbookViewId="0">
      <selection activeCell="AD9" sqref="AD9"/>
    </sheetView>
  </sheetViews>
  <sheetFormatPr defaultRowHeight="15" x14ac:dyDescent="0.25"/>
  <cols>
    <col min="1" max="1" width="8.7109375" style="31" customWidth="1"/>
    <col min="2" max="2" width="54" customWidth="1"/>
    <col min="3" max="3" width="13" hidden="1" customWidth="1"/>
    <col min="4" max="4" width="9" hidden="1" customWidth="1"/>
    <col min="5" max="5" width="11" hidden="1" customWidth="1"/>
    <col min="6" max="6" width="13" hidden="1" customWidth="1"/>
    <col min="7" max="7" width="9" hidden="1" customWidth="1"/>
    <col min="8" max="8" width="10.7109375" hidden="1" customWidth="1"/>
    <col min="9" max="9" width="10.28515625" hidden="1" customWidth="1"/>
    <col min="10" max="10" width="9" hidden="1" customWidth="1"/>
    <col min="11" max="11" width="11.28515625" hidden="1" customWidth="1"/>
    <col min="12" max="12" width="10.28515625" hidden="1" customWidth="1"/>
    <col min="13" max="13" width="9" hidden="1" customWidth="1"/>
    <col min="14" max="14" width="10.140625" hidden="1" customWidth="1"/>
    <col min="15" max="15" width="10.28515625" customWidth="1"/>
    <col min="17" max="17" width="10.140625" customWidth="1"/>
    <col min="18" max="18" width="9.7109375" hidden="1" customWidth="1"/>
    <col min="19" max="19" width="9.140625" hidden="1" customWidth="1"/>
    <col min="20" max="20" width="8.85546875" hidden="1" customWidth="1"/>
    <col min="21" max="21" width="9.7109375" customWidth="1"/>
    <col min="23" max="23" width="8.85546875" customWidth="1"/>
    <col min="24" max="24" width="9.7109375" customWidth="1"/>
    <col min="26" max="26" width="8.85546875" customWidth="1"/>
  </cols>
  <sheetData>
    <row r="1" spans="1:26" x14ac:dyDescent="0.25">
      <c r="Q1" s="774"/>
      <c r="T1" s="774"/>
      <c r="W1" s="774"/>
      <c r="Z1" s="774" t="s">
        <v>302</v>
      </c>
    </row>
    <row r="2" spans="1:26" ht="19.7" customHeight="1" x14ac:dyDescent="0.25">
      <c r="A2" s="346" t="s">
        <v>303</v>
      </c>
      <c r="B2" s="346" t="s">
        <v>1448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x14ac:dyDescent="0.25">
      <c r="A3" s="346" t="s">
        <v>304</v>
      </c>
      <c r="B3" s="346" t="s">
        <v>1509</v>
      </c>
      <c r="C3" s="399"/>
      <c r="D3" s="399"/>
      <c r="E3" s="399"/>
      <c r="F3" s="494"/>
      <c r="G3" s="494"/>
      <c r="H3" s="494"/>
      <c r="I3" s="523"/>
      <c r="J3" s="523"/>
      <c r="K3" s="523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</row>
    <row r="4" spans="1:26" ht="62.65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1730</v>
      </c>
      <c r="V4" s="1005"/>
      <c r="W4" s="1006"/>
      <c r="X4" s="1004" t="s">
        <v>1742</v>
      </c>
      <c r="Y4" s="1005"/>
      <c r="Z4" s="1006"/>
    </row>
    <row r="5" spans="1:26" ht="45" customHeight="1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468">
        <f>97-4-1-20-2.5</f>
        <v>69.5</v>
      </c>
      <c r="D6" s="468">
        <v>0</v>
      </c>
      <c r="E6" s="468">
        <f t="shared" ref="E6:E46" si="0">SUM(C6:D6)</f>
        <v>69.5</v>
      </c>
      <c r="F6" s="468">
        <v>97</v>
      </c>
      <c r="G6" s="468">
        <v>0</v>
      </c>
      <c r="H6" s="468">
        <f t="shared" ref="H6:H46" si="1">SUM(F6:G6)</f>
        <v>97</v>
      </c>
      <c r="I6" s="468">
        <f>97-4-1-20</f>
        <v>72</v>
      </c>
      <c r="J6" s="468">
        <v>0</v>
      </c>
      <c r="K6" s="468">
        <f t="shared" ref="K6:K46" si="2">SUM(I6:J6)</f>
        <v>72</v>
      </c>
      <c r="L6" s="468">
        <f>97-4-1-20</f>
        <v>72</v>
      </c>
      <c r="M6" s="468">
        <v>0</v>
      </c>
      <c r="N6" s="468">
        <f t="shared" ref="N6:N46" si="3">SUM(L6:M6)</f>
        <v>72</v>
      </c>
      <c r="O6" s="935">
        <f>97-4-1-20-2.5</f>
        <v>69.5</v>
      </c>
      <c r="P6" s="935">
        <v>0</v>
      </c>
      <c r="Q6" s="935">
        <f t="shared" ref="Q6:Q46" si="4">SUM(O6:P6)</f>
        <v>69.5</v>
      </c>
      <c r="R6" s="468">
        <f>97-4-1-20-2.5</f>
        <v>69.5</v>
      </c>
      <c r="S6" s="468">
        <v>0</v>
      </c>
      <c r="T6" s="468">
        <f t="shared" ref="T6:T46" si="5">SUM(R6:S6)</f>
        <v>69.5</v>
      </c>
      <c r="U6" s="468">
        <v>68.5</v>
      </c>
      <c r="V6" s="468">
        <v>0</v>
      </c>
      <c r="W6" s="468">
        <f t="shared" ref="W6:W46" si="6">SUM(U6:V6)</f>
        <v>68.5</v>
      </c>
      <c r="X6" s="971">
        <f>+'6. létszámkeret'!E17</f>
        <v>68.75</v>
      </c>
      <c r="Y6" s="935">
        <v>0</v>
      </c>
      <c r="Z6" s="935">
        <f t="shared" ref="Z6:Z46" si="7">SUM(X6:Y6)</f>
        <v>68.75</v>
      </c>
    </row>
    <row r="7" spans="1:26" x14ac:dyDescent="0.25">
      <c r="A7" s="347"/>
      <c r="B7" s="348" t="s">
        <v>308</v>
      </c>
      <c r="C7" s="349">
        <v>0</v>
      </c>
      <c r="D7" s="349">
        <v>0</v>
      </c>
      <c r="E7" s="349">
        <f t="shared" si="0"/>
        <v>0</v>
      </c>
      <c r="F7" s="349">
        <v>0</v>
      </c>
      <c r="G7" s="349">
        <v>0</v>
      </c>
      <c r="H7" s="349">
        <f t="shared" si="1"/>
        <v>0</v>
      </c>
      <c r="I7" s="349">
        <v>0</v>
      </c>
      <c r="J7" s="349">
        <v>0</v>
      </c>
      <c r="K7" s="349">
        <f t="shared" si="2"/>
        <v>0</v>
      </c>
      <c r="L7" s="349">
        <v>0</v>
      </c>
      <c r="M7" s="349">
        <v>0</v>
      </c>
      <c r="N7" s="349">
        <f t="shared" si="3"/>
        <v>0</v>
      </c>
      <c r="O7" s="936">
        <v>0</v>
      </c>
      <c r="P7" s="936">
        <v>0</v>
      </c>
      <c r="Q7" s="936">
        <f t="shared" si="4"/>
        <v>0</v>
      </c>
      <c r="R7" s="349">
        <v>0</v>
      </c>
      <c r="S7" s="349">
        <v>0</v>
      </c>
      <c r="T7" s="349">
        <f t="shared" si="5"/>
        <v>0</v>
      </c>
      <c r="U7" s="349">
        <v>0</v>
      </c>
      <c r="V7" s="349">
        <v>0</v>
      </c>
      <c r="W7" s="349">
        <f t="shared" si="6"/>
        <v>0</v>
      </c>
      <c r="X7" s="936">
        <v>0</v>
      </c>
      <c r="Y7" s="936">
        <v>0</v>
      </c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93541</v>
      </c>
      <c r="D8" s="352">
        <f t="shared" si="8"/>
        <v>0</v>
      </c>
      <c r="E8" s="352">
        <f t="shared" si="0"/>
        <v>93541</v>
      </c>
      <c r="F8" s="352">
        <f t="shared" ref="F8:G8" si="9">F9+F11+F20</f>
        <v>117312</v>
      </c>
      <c r="G8" s="352">
        <f t="shared" si="9"/>
        <v>0</v>
      </c>
      <c r="H8" s="352">
        <f t="shared" si="1"/>
        <v>117312</v>
      </c>
      <c r="I8" s="352">
        <f t="shared" ref="I8:J8" si="10">I9+I11+I20</f>
        <v>117312</v>
      </c>
      <c r="J8" s="352">
        <f t="shared" si="10"/>
        <v>0</v>
      </c>
      <c r="K8" s="352">
        <f t="shared" si="2"/>
        <v>117312</v>
      </c>
      <c r="L8" s="352">
        <f t="shared" ref="L8:M8" si="11">L9+L11+L20</f>
        <v>133402</v>
      </c>
      <c r="M8" s="352">
        <f t="shared" si="11"/>
        <v>0</v>
      </c>
      <c r="N8" s="352">
        <f t="shared" si="3"/>
        <v>133402</v>
      </c>
      <c r="O8" s="352">
        <f t="shared" ref="O8:P8" si="12">O9+O11+O20</f>
        <v>98050</v>
      </c>
      <c r="P8" s="352">
        <f t="shared" si="12"/>
        <v>0</v>
      </c>
      <c r="Q8" s="352">
        <f t="shared" si="4"/>
        <v>98050</v>
      </c>
      <c r="R8" s="352">
        <f t="shared" ref="R8:S8" si="13">R9+R11+R20</f>
        <v>98050</v>
      </c>
      <c r="S8" s="352">
        <f t="shared" si="13"/>
        <v>0</v>
      </c>
      <c r="T8" s="352">
        <f t="shared" si="5"/>
        <v>98050</v>
      </c>
      <c r="U8" s="352">
        <f t="shared" ref="U8:V8" si="14">U9+U11+U20</f>
        <v>98050</v>
      </c>
      <c r="V8" s="352">
        <f t="shared" si="14"/>
        <v>0</v>
      </c>
      <c r="W8" s="352">
        <f t="shared" si="6"/>
        <v>98050</v>
      </c>
      <c r="X8" s="352">
        <f t="shared" ref="X8:Y8" si="15">X9+X11+X20</f>
        <v>102050</v>
      </c>
      <c r="Y8" s="352">
        <f t="shared" si="15"/>
        <v>0</v>
      </c>
      <c r="Z8" s="352">
        <f t="shared" si="7"/>
        <v>102050</v>
      </c>
    </row>
    <row r="9" spans="1:26" x14ac:dyDescent="0.25">
      <c r="A9" s="353" t="s">
        <v>311</v>
      </c>
      <c r="B9" s="354" t="s">
        <v>312</v>
      </c>
      <c r="C9" s="355">
        <f t="shared" ref="C9:P9" si="16">C10</f>
        <v>0</v>
      </c>
      <c r="D9" s="355">
        <f t="shared" si="16"/>
        <v>0</v>
      </c>
      <c r="E9" s="355">
        <f t="shared" si="0"/>
        <v>0</v>
      </c>
      <c r="F9" s="775">
        <f t="shared" si="16"/>
        <v>0</v>
      </c>
      <c r="G9" s="775">
        <f t="shared" si="16"/>
        <v>0</v>
      </c>
      <c r="H9" s="355">
        <f t="shared" si="1"/>
        <v>0</v>
      </c>
      <c r="I9" s="775">
        <f t="shared" si="16"/>
        <v>0</v>
      </c>
      <c r="J9" s="77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ref="R9:Y9" si="17">R10</f>
        <v>0</v>
      </c>
      <c r="S9" s="355">
        <f t="shared" si="17"/>
        <v>0</v>
      </c>
      <c r="T9" s="355">
        <f t="shared" si="5"/>
        <v>0</v>
      </c>
      <c r="U9" s="355">
        <f t="shared" si="17"/>
        <v>0</v>
      </c>
      <c r="V9" s="355">
        <f t="shared" si="17"/>
        <v>0</v>
      </c>
      <c r="W9" s="355">
        <f t="shared" si="6"/>
        <v>0</v>
      </c>
      <c r="X9" s="355">
        <f t="shared" si="17"/>
        <v>0</v>
      </c>
      <c r="Y9" s="355">
        <f t="shared" si="17"/>
        <v>0</v>
      </c>
      <c r="Z9" s="355">
        <f t="shared" si="7"/>
        <v>0</v>
      </c>
    </row>
    <row r="10" spans="1:26" ht="30.2" hidden="1" customHeight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436">
        <v>0</v>
      </c>
      <c r="G10" s="436">
        <v>0</v>
      </c>
      <c r="H10" s="273">
        <f t="shared" si="1"/>
        <v>0</v>
      </c>
      <c r="I10" s="436">
        <v>0</v>
      </c>
      <c r="J10" s="436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8">C12+C13+C14+C15+C16+C17+C18+C19</f>
        <v>93541</v>
      </c>
      <c r="D11" s="355">
        <f t="shared" si="18"/>
        <v>0</v>
      </c>
      <c r="E11" s="355">
        <f t="shared" si="0"/>
        <v>93541</v>
      </c>
      <c r="F11" s="775">
        <f t="shared" ref="F11:G11" si="19">F12+F13+F14+F15+F16+F17+F18+F19</f>
        <v>117312</v>
      </c>
      <c r="G11" s="775">
        <f t="shared" si="19"/>
        <v>0</v>
      </c>
      <c r="H11" s="355">
        <f t="shared" si="1"/>
        <v>117312</v>
      </c>
      <c r="I11" s="775">
        <f t="shared" ref="I11:J11" si="20">I12+I13+I14+I15+I16+I17+I18+I19</f>
        <v>117312</v>
      </c>
      <c r="J11" s="775">
        <f t="shared" si="20"/>
        <v>0</v>
      </c>
      <c r="K11" s="355">
        <f t="shared" si="2"/>
        <v>117312</v>
      </c>
      <c r="L11" s="355">
        <f t="shared" ref="L11:M11" si="21">L12+L13+L14+L15+L16+L17+L18+L19</f>
        <v>133402</v>
      </c>
      <c r="M11" s="355">
        <f t="shared" si="21"/>
        <v>0</v>
      </c>
      <c r="N11" s="355">
        <f t="shared" si="3"/>
        <v>133402</v>
      </c>
      <c r="O11" s="355">
        <f t="shared" ref="O11:P11" si="22">O12+O13+O14+O15+O16+O17+O18+O19</f>
        <v>98050</v>
      </c>
      <c r="P11" s="355">
        <f t="shared" si="22"/>
        <v>0</v>
      </c>
      <c r="Q11" s="355">
        <f t="shared" si="4"/>
        <v>98050</v>
      </c>
      <c r="R11" s="355">
        <f t="shared" ref="R11:S11" si="23">R12+R13+R14+R15+R16+R17+R18+R19</f>
        <v>98050</v>
      </c>
      <c r="S11" s="355">
        <f t="shared" si="23"/>
        <v>0</v>
      </c>
      <c r="T11" s="355">
        <f t="shared" si="5"/>
        <v>98050</v>
      </c>
      <c r="U11" s="355">
        <f t="shared" ref="U11:V11" si="24">U12+U13+U14+U15+U16+U17+U18+U19</f>
        <v>98050</v>
      </c>
      <c r="V11" s="355">
        <f t="shared" si="24"/>
        <v>0</v>
      </c>
      <c r="W11" s="355">
        <f t="shared" si="6"/>
        <v>98050</v>
      </c>
      <c r="X11" s="355">
        <f t="shared" ref="X11:Y11" si="25">X12+X13+X14+X15+X16+X17+X18+X19</f>
        <v>102050</v>
      </c>
      <c r="Y11" s="355">
        <f t="shared" si="25"/>
        <v>0</v>
      </c>
      <c r="Z11" s="355">
        <f t="shared" si="7"/>
        <v>102050</v>
      </c>
    </row>
    <row r="12" spans="1:26" x14ac:dyDescent="0.25">
      <c r="A12" s="392"/>
      <c r="B12" s="356" t="s">
        <v>654</v>
      </c>
      <c r="C12" s="273">
        <v>4000</v>
      </c>
      <c r="D12" s="273">
        <v>0</v>
      </c>
      <c r="E12" s="273">
        <f t="shared" si="0"/>
        <v>4000</v>
      </c>
      <c r="F12" s="436">
        <v>4000</v>
      </c>
      <c r="G12" s="436">
        <v>0</v>
      </c>
      <c r="H12" s="273">
        <f t="shared" si="1"/>
        <v>4000</v>
      </c>
      <c r="I12" s="436">
        <v>4000</v>
      </c>
      <c r="J12" s="436">
        <v>0</v>
      </c>
      <c r="K12" s="273">
        <f t="shared" si="2"/>
        <v>4000</v>
      </c>
      <c r="L12" s="273">
        <v>5994</v>
      </c>
      <c r="M12" s="273">
        <v>0</v>
      </c>
      <c r="N12" s="273">
        <f t="shared" si="3"/>
        <v>5994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357">
        <v>17560</v>
      </c>
      <c r="D13" s="357">
        <v>0</v>
      </c>
      <c r="E13" s="357">
        <f t="shared" si="0"/>
        <v>17560</v>
      </c>
      <c r="F13" s="491">
        <v>17560</v>
      </c>
      <c r="G13" s="491">
        <v>0</v>
      </c>
      <c r="H13" s="357">
        <f t="shared" si="1"/>
        <v>17560</v>
      </c>
      <c r="I13" s="491">
        <v>17560</v>
      </c>
      <c r="J13" s="491">
        <v>0</v>
      </c>
      <c r="K13" s="357">
        <f t="shared" si="2"/>
        <v>17560</v>
      </c>
      <c r="L13" s="357">
        <v>21452</v>
      </c>
      <c r="M13" s="357">
        <v>0</v>
      </c>
      <c r="N13" s="357">
        <f t="shared" si="3"/>
        <v>21452</v>
      </c>
      <c r="O13" s="937">
        <v>20000</v>
      </c>
      <c r="P13" s="937">
        <v>0</v>
      </c>
      <c r="Q13" s="937">
        <f t="shared" si="4"/>
        <v>20000</v>
      </c>
      <c r="R13" s="357">
        <v>20000</v>
      </c>
      <c r="S13" s="357">
        <v>0</v>
      </c>
      <c r="T13" s="357">
        <f t="shared" si="5"/>
        <v>20000</v>
      </c>
      <c r="U13" s="357">
        <v>20000</v>
      </c>
      <c r="V13" s="357">
        <v>0</v>
      </c>
      <c r="W13" s="357">
        <f t="shared" si="6"/>
        <v>20000</v>
      </c>
      <c r="X13" s="937">
        <v>20000</v>
      </c>
      <c r="Y13" s="937">
        <v>0</v>
      </c>
      <c r="Z13" s="937">
        <f t="shared" si="7"/>
        <v>20000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436">
        <v>0</v>
      </c>
      <c r="G14" s="436">
        <v>0</v>
      </c>
      <c r="H14" s="273">
        <f t="shared" si="1"/>
        <v>0</v>
      </c>
      <c r="I14" s="436">
        <v>0</v>
      </c>
      <c r="J14" s="436">
        <v>0</v>
      </c>
      <c r="K14" s="273">
        <f t="shared" si="2"/>
        <v>0</v>
      </c>
      <c r="L14" s="273">
        <v>1189</v>
      </c>
      <c r="M14" s="273">
        <v>0</v>
      </c>
      <c r="N14" s="273">
        <f t="shared" si="3"/>
        <v>1189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54000</v>
      </c>
      <c r="D15" s="273">
        <v>0</v>
      </c>
      <c r="E15" s="273">
        <f t="shared" si="0"/>
        <v>54000</v>
      </c>
      <c r="F15" s="436">
        <v>54000</v>
      </c>
      <c r="G15" s="436">
        <v>0</v>
      </c>
      <c r="H15" s="273">
        <f t="shared" si="1"/>
        <v>54000</v>
      </c>
      <c r="I15" s="436">
        <v>54000</v>
      </c>
      <c r="J15" s="436">
        <v>0</v>
      </c>
      <c r="K15" s="273">
        <f t="shared" si="2"/>
        <v>54000</v>
      </c>
      <c r="L15" s="273">
        <v>60632</v>
      </c>
      <c r="M15" s="273">
        <v>0</v>
      </c>
      <c r="N15" s="273">
        <f t="shared" si="3"/>
        <v>60632</v>
      </c>
      <c r="O15" s="923">
        <v>60000</v>
      </c>
      <c r="P15" s="923">
        <v>0</v>
      </c>
      <c r="Q15" s="923">
        <f t="shared" si="4"/>
        <v>60000</v>
      </c>
      <c r="R15" s="273">
        <v>60000</v>
      </c>
      <c r="S15" s="273">
        <v>0</v>
      </c>
      <c r="T15" s="273">
        <f t="shared" si="5"/>
        <v>60000</v>
      </c>
      <c r="U15" s="273">
        <v>60000</v>
      </c>
      <c r="V15" s="273">
        <v>0</v>
      </c>
      <c r="W15" s="273">
        <f t="shared" si="6"/>
        <v>60000</v>
      </c>
      <c r="X15" s="923">
        <v>60000</v>
      </c>
      <c r="Y15" s="923">
        <v>0</v>
      </c>
      <c r="Z15" s="923">
        <f t="shared" si="7"/>
        <v>60000</v>
      </c>
    </row>
    <row r="16" spans="1:26" x14ac:dyDescent="0.25">
      <c r="A16" s="392"/>
      <c r="B16" s="356" t="s">
        <v>665</v>
      </c>
      <c r="C16" s="273">
        <v>17931</v>
      </c>
      <c r="D16" s="273">
        <v>0</v>
      </c>
      <c r="E16" s="273">
        <f t="shared" si="0"/>
        <v>17931</v>
      </c>
      <c r="F16" s="436">
        <v>17931</v>
      </c>
      <c r="G16" s="436">
        <v>0</v>
      </c>
      <c r="H16" s="273">
        <f t="shared" si="1"/>
        <v>17931</v>
      </c>
      <c r="I16" s="436">
        <v>17931</v>
      </c>
      <c r="J16" s="436">
        <v>0</v>
      </c>
      <c r="K16" s="273">
        <f t="shared" si="2"/>
        <v>17931</v>
      </c>
      <c r="L16" s="273">
        <v>20307</v>
      </c>
      <c r="M16" s="273">
        <v>0</v>
      </c>
      <c r="N16" s="273">
        <f t="shared" si="3"/>
        <v>20307</v>
      </c>
      <c r="O16" s="923">
        <v>18000</v>
      </c>
      <c r="P16" s="923">
        <v>0</v>
      </c>
      <c r="Q16" s="923">
        <f t="shared" si="4"/>
        <v>18000</v>
      </c>
      <c r="R16" s="273">
        <v>18000</v>
      </c>
      <c r="S16" s="273">
        <v>0</v>
      </c>
      <c r="T16" s="273">
        <f t="shared" si="5"/>
        <v>18000</v>
      </c>
      <c r="U16" s="273">
        <v>18000</v>
      </c>
      <c r="V16" s="273">
        <v>0</v>
      </c>
      <c r="W16" s="273">
        <f t="shared" si="6"/>
        <v>18000</v>
      </c>
      <c r="X16" s="923">
        <v>18000</v>
      </c>
      <c r="Y16" s="923">
        <v>0</v>
      </c>
      <c r="Z16" s="923">
        <f t="shared" si="7"/>
        <v>18000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436">
        <v>23771</v>
      </c>
      <c r="G17" s="436">
        <v>0</v>
      </c>
      <c r="H17" s="273">
        <f t="shared" si="1"/>
        <v>23771</v>
      </c>
      <c r="I17" s="436">
        <v>23771</v>
      </c>
      <c r="J17" s="436">
        <v>0</v>
      </c>
      <c r="K17" s="273">
        <f t="shared" si="2"/>
        <v>23771</v>
      </c>
      <c r="L17" s="273">
        <v>23771</v>
      </c>
      <c r="M17" s="273">
        <v>0</v>
      </c>
      <c r="N17" s="273">
        <f t="shared" si="3"/>
        <v>23771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4000</v>
      </c>
      <c r="Y17" s="923">
        <v>0</v>
      </c>
      <c r="Z17" s="923">
        <f t="shared" si="7"/>
        <v>4000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436">
        <v>0</v>
      </c>
      <c r="G18" s="436">
        <v>0</v>
      </c>
      <c r="H18" s="273">
        <f t="shared" si="1"/>
        <v>0</v>
      </c>
      <c r="I18" s="436">
        <v>0</v>
      </c>
      <c r="J18" s="436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50</v>
      </c>
      <c r="D19" s="273">
        <v>0</v>
      </c>
      <c r="E19" s="273">
        <f t="shared" si="0"/>
        <v>50</v>
      </c>
      <c r="F19" s="436">
        <v>50</v>
      </c>
      <c r="G19" s="436">
        <v>0</v>
      </c>
      <c r="H19" s="273">
        <f t="shared" si="1"/>
        <v>50</v>
      </c>
      <c r="I19" s="436">
        <v>50</v>
      </c>
      <c r="J19" s="436">
        <v>0</v>
      </c>
      <c r="K19" s="273">
        <f t="shared" si="2"/>
        <v>50</v>
      </c>
      <c r="L19" s="273">
        <v>57</v>
      </c>
      <c r="M19" s="273">
        <v>0</v>
      </c>
      <c r="N19" s="273">
        <f t="shared" si="3"/>
        <v>57</v>
      </c>
      <c r="O19" s="923">
        <v>50</v>
      </c>
      <c r="P19" s="923">
        <v>0</v>
      </c>
      <c r="Q19" s="923">
        <f t="shared" si="4"/>
        <v>50</v>
      </c>
      <c r="R19" s="273">
        <v>50</v>
      </c>
      <c r="S19" s="273">
        <v>0</v>
      </c>
      <c r="T19" s="273">
        <f t="shared" si="5"/>
        <v>50</v>
      </c>
      <c r="U19" s="273">
        <v>50</v>
      </c>
      <c r="V19" s="273">
        <v>0</v>
      </c>
      <c r="W19" s="273">
        <f t="shared" si="6"/>
        <v>50</v>
      </c>
      <c r="X19" s="923">
        <v>50</v>
      </c>
      <c r="Y19" s="923">
        <v>0</v>
      </c>
      <c r="Z19" s="923">
        <f t="shared" si="7"/>
        <v>50</v>
      </c>
    </row>
    <row r="20" spans="1:26" x14ac:dyDescent="0.25">
      <c r="A20" s="353" t="s">
        <v>315</v>
      </c>
      <c r="B20" s="354" t="s">
        <v>316</v>
      </c>
      <c r="C20" s="355">
        <f t="shared" ref="C20:P20" si="26">SUM(C21:C21)</f>
        <v>0</v>
      </c>
      <c r="D20" s="355">
        <f t="shared" si="26"/>
        <v>0</v>
      </c>
      <c r="E20" s="355">
        <f t="shared" si="0"/>
        <v>0</v>
      </c>
      <c r="F20" s="775">
        <f t="shared" si="26"/>
        <v>0</v>
      </c>
      <c r="G20" s="775">
        <f t="shared" si="26"/>
        <v>0</v>
      </c>
      <c r="H20" s="355">
        <f t="shared" si="1"/>
        <v>0</v>
      </c>
      <c r="I20" s="775">
        <f t="shared" si="26"/>
        <v>0</v>
      </c>
      <c r="J20" s="775">
        <f t="shared" si="26"/>
        <v>0</v>
      </c>
      <c r="K20" s="355">
        <f t="shared" si="2"/>
        <v>0</v>
      </c>
      <c r="L20" s="355">
        <f t="shared" si="26"/>
        <v>0</v>
      </c>
      <c r="M20" s="355">
        <f t="shared" si="26"/>
        <v>0</v>
      </c>
      <c r="N20" s="355">
        <f t="shared" si="3"/>
        <v>0</v>
      </c>
      <c r="O20" s="355">
        <f t="shared" si="26"/>
        <v>0</v>
      </c>
      <c r="P20" s="355">
        <f t="shared" si="26"/>
        <v>0</v>
      </c>
      <c r="Q20" s="355">
        <f t="shared" si="4"/>
        <v>0</v>
      </c>
      <c r="R20" s="355">
        <f t="shared" ref="R20:Y20" si="27">SUM(R21:R21)</f>
        <v>0</v>
      </c>
      <c r="S20" s="355">
        <f t="shared" si="27"/>
        <v>0</v>
      </c>
      <c r="T20" s="355">
        <f t="shared" si="5"/>
        <v>0</v>
      </c>
      <c r="U20" s="355">
        <f t="shared" si="27"/>
        <v>0</v>
      </c>
      <c r="V20" s="355">
        <f t="shared" si="27"/>
        <v>0</v>
      </c>
      <c r="W20" s="355">
        <f t="shared" si="6"/>
        <v>0</v>
      </c>
      <c r="X20" s="355">
        <f t="shared" si="27"/>
        <v>0</v>
      </c>
      <c r="Y20" s="355">
        <f t="shared" si="27"/>
        <v>0</v>
      </c>
      <c r="Z20" s="355">
        <f t="shared" si="7"/>
        <v>0</v>
      </c>
    </row>
    <row r="21" spans="1:26" ht="15" hidden="1" customHeight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436">
        <v>0</v>
      </c>
      <c r="G21" s="436">
        <v>0</v>
      </c>
      <c r="H21" s="273">
        <f t="shared" si="1"/>
        <v>0</v>
      </c>
      <c r="I21" s="436">
        <v>0</v>
      </c>
      <c r="J21" s="436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8">C23+C25+C28</f>
        <v>0</v>
      </c>
      <c r="D22" s="352">
        <f t="shared" si="28"/>
        <v>0</v>
      </c>
      <c r="E22" s="352">
        <f t="shared" si="0"/>
        <v>0</v>
      </c>
      <c r="F22" s="352">
        <f t="shared" ref="F22:G22" si="29">F23+F25+F28</f>
        <v>0</v>
      </c>
      <c r="G22" s="352">
        <f t="shared" si="29"/>
        <v>0</v>
      </c>
      <c r="H22" s="352">
        <f t="shared" si="1"/>
        <v>0</v>
      </c>
      <c r="I22" s="352">
        <f t="shared" ref="I22:J22" si="30">I23+I25+I28</f>
        <v>0</v>
      </c>
      <c r="J22" s="352">
        <f t="shared" si="30"/>
        <v>0</v>
      </c>
      <c r="K22" s="352">
        <f t="shared" si="2"/>
        <v>0</v>
      </c>
      <c r="L22" s="352">
        <f t="shared" ref="L22:M22" si="31">L23+L25+L28</f>
        <v>0</v>
      </c>
      <c r="M22" s="352">
        <f t="shared" si="31"/>
        <v>0</v>
      </c>
      <c r="N22" s="352">
        <f t="shared" si="3"/>
        <v>0</v>
      </c>
      <c r="O22" s="352">
        <f t="shared" ref="O22:P22" si="32">O23+O25+O28</f>
        <v>0</v>
      </c>
      <c r="P22" s="352">
        <f t="shared" si="32"/>
        <v>0</v>
      </c>
      <c r="Q22" s="352">
        <f t="shared" si="4"/>
        <v>0</v>
      </c>
      <c r="R22" s="352">
        <f t="shared" ref="R22:S22" si="33">R23+R25+R28</f>
        <v>0</v>
      </c>
      <c r="S22" s="352">
        <f t="shared" si="33"/>
        <v>0</v>
      </c>
      <c r="T22" s="352">
        <f t="shared" si="5"/>
        <v>0</v>
      </c>
      <c r="U22" s="352">
        <f t="shared" ref="U22:V22" si="34">U23+U25+U28</f>
        <v>0</v>
      </c>
      <c r="V22" s="352">
        <f t="shared" si="34"/>
        <v>0</v>
      </c>
      <c r="W22" s="352">
        <f t="shared" si="6"/>
        <v>0</v>
      </c>
      <c r="X22" s="352">
        <f t="shared" ref="X22:Y22" si="35">X23+X25+X28</f>
        <v>0</v>
      </c>
      <c r="Y22" s="352">
        <f t="shared" si="35"/>
        <v>0</v>
      </c>
      <c r="Z22" s="352">
        <f t="shared" si="7"/>
        <v>0</v>
      </c>
    </row>
    <row r="23" spans="1:26" ht="15" hidden="1" customHeight="1" x14ac:dyDescent="0.25">
      <c r="A23" s="353" t="s">
        <v>311</v>
      </c>
      <c r="B23" s="354" t="s">
        <v>320</v>
      </c>
      <c r="C23" s="355">
        <f t="shared" ref="C23:P23" si="36">SUM(C24:C24)</f>
        <v>0</v>
      </c>
      <c r="D23" s="355">
        <f t="shared" si="36"/>
        <v>0</v>
      </c>
      <c r="E23" s="355">
        <f t="shared" si="0"/>
        <v>0</v>
      </c>
      <c r="F23" s="355">
        <f t="shared" si="36"/>
        <v>0</v>
      </c>
      <c r="G23" s="355">
        <f t="shared" si="36"/>
        <v>0</v>
      </c>
      <c r="H23" s="355">
        <f t="shared" si="1"/>
        <v>0</v>
      </c>
      <c r="I23" s="355">
        <f t="shared" si="36"/>
        <v>0</v>
      </c>
      <c r="J23" s="355">
        <f t="shared" si="36"/>
        <v>0</v>
      </c>
      <c r="K23" s="355">
        <f t="shared" si="2"/>
        <v>0</v>
      </c>
      <c r="L23" s="355">
        <f t="shared" si="36"/>
        <v>0</v>
      </c>
      <c r="M23" s="355">
        <f t="shared" si="36"/>
        <v>0</v>
      </c>
      <c r="N23" s="355">
        <f t="shared" si="3"/>
        <v>0</v>
      </c>
      <c r="O23" s="355">
        <f t="shared" si="36"/>
        <v>0</v>
      </c>
      <c r="P23" s="355">
        <f t="shared" si="36"/>
        <v>0</v>
      </c>
      <c r="Q23" s="355">
        <f t="shared" si="4"/>
        <v>0</v>
      </c>
      <c r="R23" s="355">
        <f t="shared" ref="R23:Y23" si="37">SUM(R24:R24)</f>
        <v>0</v>
      </c>
      <c r="S23" s="355">
        <f t="shared" si="37"/>
        <v>0</v>
      </c>
      <c r="T23" s="355">
        <f t="shared" si="5"/>
        <v>0</v>
      </c>
      <c r="U23" s="355">
        <f t="shared" si="37"/>
        <v>0</v>
      </c>
      <c r="V23" s="355">
        <f t="shared" si="37"/>
        <v>0</v>
      </c>
      <c r="W23" s="355">
        <f t="shared" si="6"/>
        <v>0</v>
      </c>
      <c r="X23" s="355">
        <f t="shared" si="37"/>
        <v>0</v>
      </c>
      <c r="Y23" s="355">
        <f t="shared" si="37"/>
        <v>0</v>
      </c>
      <c r="Z23" s="355">
        <f t="shared" si="7"/>
        <v>0</v>
      </c>
    </row>
    <row r="24" spans="1:26" ht="30.2" hidden="1" customHeight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t="15" hidden="1" customHeight="1" x14ac:dyDescent="0.25">
      <c r="A25" s="353" t="s">
        <v>322</v>
      </c>
      <c r="B25" s="354" t="s">
        <v>257</v>
      </c>
      <c r="C25" s="355">
        <f t="shared" ref="C25:D25" si="38">SUM(C26:C27)</f>
        <v>0</v>
      </c>
      <c r="D25" s="355">
        <f t="shared" si="38"/>
        <v>0</v>
      </c>
      <c r="E25" s="355">
        <f t="shared" si="0"/>
        <v>0</v>
      </c>
      <c r="F25" s="355">
        <f t="shared" ref="F25:G25" si="39">SUM(F26:F27)</f>
        <v>0</v>
      </c>
      <c r="G25" s="355">
        <f t="shared" si="39"/>
        <v>0</v>
      </c>
      <c r="H25" s="355">
        <f t="shared" si="1"/>
        <v>0</v>
      </c>
      <c r="I25" s="355">
        <f t="shared" ref="I25:J25" si="40">SUM(I26:I27)</f>
        <v>0</v>
      </c>
      <c r="J25" s="355">
        <f t="shared" si="40"/>
        <v>0</v>
      </c>
      <c r="K25" s="355">
        <f t="shared" si="2"/>
        <v>0</v>
      </c>
      <c r="L25" s="355">
        <f t="shared" ref="L25:M25" si="41">SUM(L26:L27)</f>
        <v>0</v>
      </c>
      <c r="M25" s="355">
        <f t="shared" si="41"/>
        <v>0</v>
      </c>
      <c r="N25" s="355">
        <f t="shared" si="3"/>
        <v>0</v>
      </c>
      <c r="O25" s="355">
        <f t="shared" ref="O25:P25" si="42">SUM(O26:O27)</f>
        <v>0</v>
      </c>
      <c r="P25" s="355">
        <f t="shared" si="42"/>
        <v>0</v>
      </c>
      <c r="Q25" s="355">
        <f t="shared" si="4"/>
        <v>0</v>
      </c>
      <c r="R25" s="355">
        <f t="shared" ref="R25:S25" si="43">SUM(R26:R27)</f>
        <v>0</v>
      </c>
      <c r="S25" s="355">
        <f t="shared" si="43"/>
        <v>0</v>
      </c>
      <c r="T25" s="355">
        <f t="shared" si="5"/>
        <v>0</v>
      </c>
      <c r="U25" s="355">
        <f t="shared" ref="U25:V25" si="44">SUM(U26:U27)</f>
        <v>0</v>
      </c>
      <c r="V25" s="355">
        <f t="shared" si="44"/>
        <v>0</v>
      </c>
      <c r="W25" s="355">
        <f t="shared" si="6"/>
        <v>0</v>
      </c>
      <c r="X25" s="355">
        <f t="shared" ref="X25:Y25" si="45">SUM(X26:X27)</f>
        <v>0</v>
      </c>
      <c r="Y25" s="355">
        <f t="shared" si="45"/>
        <v>0</v>
      </c>
      <c r="Z25" s="355">
        <f t="shared" si="7"/>
        <v>0</v>
      </c>
    </row>
    <row r="26" spans="1:26" ht="15" hidden="1" customHeight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t="15" hidden="1" customHeight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t="15" hidden="1" customHeight="1" x14ac:dyDescent="0.25">
      <c r="A28" s="353" t="s">
        <v>315</v>
      </c>
      <c r="B28" s="354" t="s">
        <v>325</v>
      </c>
      <c r="C28" s="355">
        <f t="shared" ref="C28:P28" si="46">SUM(C29:C29)</f>
        <v>0</v>
      </c>
      <c r="D28" s="355">
        <f t="shared" si="46"/>
        <v>0</v>
      </c>
      <c r="E28" s="355">
        <f t="shared" si="0"/>
        <v>0</v>
      </c>
      <c r="F28" s="355">
        <f t="shared" si="46"/>
        <v>0</v>
      </c>
      <c r="G28" s="355">
        <f t="shared" si="46"/>
        <v>0</v>
      </c>
      <c r="H28" s="355">
        <f t="shared" si="1"/>
        <v>0</v>
      </c>
      <c r="I28" s="355">
        <f t="shared" si="46"/>
        <v>0</v>
      </c>
      <c r="J28" s="355">
        <f t="shared" si="46"/>
        <v>0</v>
      </c>
      <c r="K28" s="355">
        <f t="shared" si="2"/>
        <v>0</v>
      </c>
      <c r="L28" s="355">
        <f t="shared" si="46"/>
        <v>0</v>
      </c>
      <c r="M28" s="355">
        <f t="shared" si="46"/>
        <v>0</v>
      </c>
      <c r="N28" s="355">
        <f t="shared" si="3"/>
        <v>0</v>
      </c>
      <c r="O28" s="355">
        <f t="shared" si="46"/>
        <v>0</v>
      </c>
      <c r="P28" s="355">
        <f t="shared" si="46"/>
        <v>0</v>
      </c>
      <c r="Q28" s="355">
        <f t="shared" si="4"/>
        <v>0</v>
      </c>
      <c r="R28" s="355">
        <f t="shared" ref="R28:Y28" si="47">SUM(R29:R29)</f>
        <v>0</v>
      </c>
      <c r="S28" s="355">
        <f t="shared" si="47"/>
        <v>0</v>
      </c>
      <c r="T28" s="355">
        <f t="shared" si="5"/>
        <v>0</v>
      </c>
      <c r="U28" s="355">
        <f t="shared" si="47"/>
        <v>0</v>
      </c>
      <c r="V28" s="355">
        <f t="shared" si="47"/>
        <v>0</v>
      </c>
      <c r="W28" s="355">
        <f t="shared" si="6"/>
        <v>0</v>
      </c>
      <c r="X28" s="355">
        <f t="shared" si="47"/>
        <v>0</v>
      </c>
      <c r="Y28" s="355">
        <f t="shared" si="47"/>
        <v>0</v>
      </c>
      <c r="Z28" s="355">
        <f t="shared" si="7"/>
        <v>0</v>
      </c>
    </row>
    <row r="29" spans="1:26" ht="15" hidden="1" customHeight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8">C22+C8</f>
        <v>93541</v>
      </c>
      <c r="D30" s="360">
        <f t="shared" si="48"/>
        <v>0</v>
      </c>
      <c r="E30" s="360">
        <f t="shared" si="0"/>
        <v>93541</v>
      </c>
      <c r="F30" s="360">
        <f t="shared" ref="F30:G30" si="49">F22+F8</f>
        <v>117312</v>
      </c>
      <c r="G30" s="360">
        <f t="shared" si="49"/>
        <v>0</v>
      </c>
      <c r="H30" s="360">
        <f t="shared" si="1"/>
        <v>117312</v>
      </c>
      <c r="I30" s="360">
        <f t="shared" ref="I30:J30" si="50">I22+I8</f>
        <v>117312</v>
      </c>
      <c r="J30" s="360">
        <f t="shared" si="50"/>
        <v>0</v>
      </c>
      <c r="K30" s="360">
        <f t="shared" si="2"/>
        <v>117312</v>
      </c>
      <c r="L30" s="360">
        <f t="shared" ref="L30:M30" si="51">L22+L8</f>
        <v>133402</v>
      </c>
      <c r="M30" s="360">
        <f t="shared" si="51"/>
        <v>0</v>
      </c>
      <c r="N30" s="360">
        <f t="shared" si="3"/>
        <v>133402</v>
      </c>
      <c r="O30" s="360">
        <f t="shared" ref="O30:P30" si="52">O22+O8</f>
        <v>98050</v>
      </c>
      <c r="P30" s="360">
        <f t="shared" si="52"/>
        <v>0</v>
      </c>
      <c r="Q30" s="360">
        <f t="shared" si="4"/>
        <v>98050</v>
      </c>
      <c r="R30" s="360">
        <f t="shared" ref="R30:S30" si="53">R22+R8</f>
        <v>98050</v>
      </c>
      <c r="S30" s="360">
        <f t="shared" si="53"/>
        <v>0</v>
      </c>
      <c r="T30" s="360">
        <f t="shared" si="5"/>
        <v>98050</v>
      </c>
      <c r="U30" s="360">
        <f t="shared" ref="U30:V30" si="54">U22+U8</f>
        <v>98050</v>
      </c>
      <c r="V30" s="360">
        <f t="shared" si="54"/>
        <v>0</v>
      </c>
      <c r="W30" s="360">
        <f t="shared" si="6"/>
        <v>98050</v>
      </c>
      <c r="X30" s="360">
        <f t="shared" ref="X30:Y30" si="55">X22+X8</f>
        <v>102050</v>
      </c>
      <c r="Y30" s="360">
        <f t="shared" si="55"/>
        <v>0</v>
      </c>
      <c r="Z30" s="360">
        <f t="shared" si="7"/>
        <v>102050</v>
      </c>
    </row>
    <row r="31" spans="1:26" x14ac:dyDescent="0.25">
      <c r="A31" s="350" t="s">
        <v>328</v>
      </c>
      <c r="B31" s="351" t="s">
        <v>329</v>
      </c>
      <c r="C31" s="352">
        <f t="shared" ref="C31:P31" si="56">C32</f>
        <v>653769.19999999995</v>
      </c>
      <c r="D31" s="352">
        <f t="shared" si="56"/>
        <v>0</v>
      </c>
      <c r="E31" s="352">
        <f t="shared" si="0"/>
        <v>653769.19999999995</v>
      </c>
      <c r="F31" s="352">
        <f t="shared" si="56"/>
        <v>663190</v>
      </c>
      <c r="G31" s="352">
        <f t="shared" si="56"/>
        <v>0</v>
      </c>
      <c r="H31" s="352">
        <f t="shared" si="1"/>
        <v>663190</v>
      </c>
      <c r="I31" s="352" t="e">
        <f t="shared" si="56"/>
        <v>#REF!</v>
      </c>
      <c r="J31" s="352" t="e">
        <f t="shared" si="56"/>
        <v>#REF!</v>
      </c>
      <c r="K31" s="352" t="e">
        <f t="shared" si="2"/>
        <v>#REF!</v>
      </c>
      <c r="L31" s="352">
        <f t="shared" si="56"/>
        <v>576275</v>
      </c>
      <c r="M31" s="352">
        <f t="shared" si="56"/>
        <v>0</v>
      </c>
      <c r="N31" s="352">
        <f t="shared" si="3"/>
        <v>576275</v>
      </c>
      <c r="O31" s="352">
        <f t="shared" si="56"/>
        <v>656039.23935433081</v>
      </c>
      <c r="P31" s="352">
        <f t="shared" si="56"/>
        <v>0</v>
      </c>
      <c r="Q31" s="352">
        <f t="shared" si="4"/>
        <v>656039.23935433081</v>
      </c>
      <c r="R31" s="352">
        <f t="shared" ref="R31:Y31" si="57">R32</f>
        <v>662661</v>
      </c>
      <c r="S31" s="352">
        <f t="shared" si="57"/>
        <v>0</v>
      </c>
      <c r="T31" s="352">
        <f t="shared" si="5"/>
        <v>662661</v>
      </c>
      <c r="U31" s="352">
        <f t="shared" si="57"/>
        <v>662661</v>
      </c>
      <c r="V31" s="352">
        <f t="shared" si="57"/>
        <v>0</v>
      </c>
      <c r="W31" s="352">
        <f t="shared" si="6"/>
        <v>662661</v>
      </c>
      <c r="X31" s="352">
        <f t="shared" si="57"/>
        <v>663189</v>
      </c>
      <c r="Y31" s="352">
        <f t="shared" si="57"/>
        <v>0</v>
      </c>
      <c r="Z31" s="352">
        <f t="shared" si="7"/>
        <v>663189</v>
      </c>
    </row>
    <row r="32" spans="1:26" x14ac:dyDescent="0.25">
      <c r="A32" s="353" t="s">
        <v>311</v>
      </c>
      <c r="B32" s="354" t="s">
        <v>330</v>
      </c>
      <c r="C32" s="355">
        <f t="shared" ref="C32:D32" si="58">SUM(C33:C34)</f>
        <v>653769.19999999995</v>
      </c>
      <c r="D32" s="355">
        <f t="shared" si="58"/>
        <v>0</v>
      </c>
      <c r="E32" s="355">
        <f t="shared" si="0"/>
        <v>653769.19999999995</v>
      </c>
      <c r="F32" s="775">
        <f t="shared" ref="F32:G32" si="59">SUM(F33:F34)</f>
        <v>663190</v>
      </c>
      <c r="G32" s="775">
        <f t="shared" si="59"/>
        <v>0</v>
      </c>
      <c r="H32" s="355">
        <f t="shared" si="1"/>
        <v>663190</v>
      </c>
      <c r="I32" s="355" t="e">
        <f t="shared" ref="I32:J32" si="60">SUM(I33:I34)</f>
        <v>#REF!</v>
      </c>
      <c r="J32" s="355" t="e">
        <f t="shared" si="60"/>
        <v>#REF!</v>
      </c>
      <c r="K32" s="355" t="e">
        <f t="shared" si="2"/>
        <v>#REF!</v>
      </c>
      <c r="L32" s="355">
        <f t="shared" ref="L32:M32" si="61">SUM(L33:L34)</f>
        <v>576275</v>
      </c>
      <c r="M32" s="355">
        <f t="shared" si="61"/>
        <v>0</v>
      </c>
      <c r="N32" s="355">
        <f t="shared" si="3"/>
        <v>576275</v>
      </c>
      <c r="O32" s="355">
        <f t="shared" ref="O32:P32" si="62">SUM(O33:O34)</f>
        <v>656039.23935433081</v>
      </c>
      <c r="P32" s="355">
        <f t="shared" si="62"/>
        <v>0</v>
      </c>
      <c r="Q32" s="355">
        <f t="shared" si="4"/>
        <v>656039.23935433081</v>
      </c>
      <c r="R32" s="355">
        <f t="shared" ref="R32:S32" si="63">SUM(R33:R34)</f>
        <v>662661</v>
      </c>
      <c r="S32" s="355">
        <f t="shared" si="63"/>
        <v>0</v>
      </c>
      <c r="T32" s="355">
        <f t="shared" si="5"/>
        <v>662661</v>
      </c>
      <c r="U32" s="355">
        <f t="shared" ref="U32:V32" si="64">SUM(U33:U34)</f>
        <v>662661</v>
      </c>
      <c r="V32" s="355">
        <f t="shared" si="64"/>
        <v>0</v>
      </c>
      <c r="W32" s="355">
        <f t="shared" si="6"/>
        <v>662661</v>
      </c>
      <c r="X32" s="355">
        <f t="shared" ref="X32:Y32" si="65">SUM(X33:X34)</f>
        <v>663189</v>
      </c>
      <c r="Y32" s="355">
        <f t="shared" si="65"/>
        <v>0</v>
      </c>
      <c r="Z32" s="355">
        <f t="shared" si="7"/>
        <v>663189</v>
      </c>
    </row>
    <row r="33" spans="1:26" x14ac:dyDescent="0.25">
      <c r="A33" s="392"/>
      <c r="B33" s="358" t="s">
        <v>331</v>
      </c>
      <c r="C33" s="273"/>
      <c r="D33" s="273">
        <v>0</v>
      </c>
      <c r="E33" s="273">
        <f t="shared" si="0"/>
        <v>0</v>
      </c>
      <c r="F33" s="436">
        <v>15467</v>
      </c>
      <c r="G33" s="436">
        <v>0</v>
      </c>
      <c r="H33" s="273">
        <f t="shared" si="1"/>
        <v>15467</v>
      </c>
      <c r="I33" s="273">
        <v>32778</v>
      </c>
      <c r="J33" s="273">
        <v>0</v>
      </c>
      <c r="K33" s="273">
        <f t="shared" si="2"/>
        <v>32778</v>
      </c>
      <c r="L33" s="273">
        <v>15467</v>
      </c>
      <c r="M33" s="273">
        <v>0</v>
      </c>
      <c r="N33" s="273">
        <f t="shared" si="3"/>
        <v>15467</v>
      </c>
      <c r="O33" s="923"/>
      <c r="P33" s="923">
        <v>0</v>
      </c>
      <c r="Q33" s="923">
        <f t="shared" si="4"/>
        <v>0</v>
      </c>
      <c r="R33" s="273">
        <v>6622</v>
      </c>
      <c r="S33" s="273">
        <v>0</v>
      </c>
      <c r="T33" s="273">
        <f t="shared" si="5"/>
        <v>6622</v>
      </c>
      <c r="U33" s="273">
        <v>6622</v>
      </c>
      <c r="V33" s="273">
        <v>0</v>
      </c>
      <c r="W33" s="273">
        <f t="shared" si="6"/>
        <v>6622</v>
      </c>
      <c r="X33" s="923">
        <v>6622</v>
      </c>
      <c r="Y33" s="923">
        <v>0</v>
      </c>
      <c r="Z33" s="923">
        <f t="shared" si="7"/>
        <v>6622</v>
      </c>
    </row>
    <row r="34" spans="1:26" x14ac:dyDescent="0.25">
      <c r="A34" s="392"/>
      <c r="B34" s="358" t="s">
        <v>332</v>
      </c>
      <c r="C34" s="273">
        <f>C46-C30-C33</f>
        <v>653769.19999999995</v>
      </c>
      <c r="D34" s="273">
        <f t="shared" ref="D34" si="66">D46-D30</f>
        <v>0</v>
      </c>
      <c r="E34" s="273">
        <f t="shared" si="0"/>
        <v>653769.19999999995</v>
      </c>
      <c r="F34" s="436">
        <f>F46-F30-F33</f>
        <v>647723</v>
      </c>
      <c r="G34" s="436">
        <f t="shared" ref="G34" si="67">G46-G30</f>
        <v>0</v>
      </c>
      <c r="H34" s="273">
        <f t="shared" si="1"/>
        <v>647723</v>
      </c>
      <c r="I34" s="273" t="e">
        <f>I46-I30-I33</f>
        <v>#REF!</v>
      </c>
      <c r="J34" s="273" t="e">
        <f t="shared" ref="J34" si="68">J46-J30</f>
        <v>#REF!</v>
      </c>
      <c r="K34" s="273" t="e">
        <f t="shared" si="2"/>
        <v>#REF!</v>
      </c>
      <c r="L34" s="273">
        <v>560808</v>
      </c>
      <c r="M34" s="273">
        <f t="shared" ref="M34" si="69">M46-M30</f>
        <v>0</v>
      </c>
      <c r="N34" s="273">
        <f t="shared" si="3"/>
        <v>560808</v>
      </c>
      <c r="O34" s="923">
        <f>O46-O30-O33</f>
        <v>656039.23935433081</v>
      </c>
      <c r="P34" s="923">
        <f t="shared" ref="P34" si="70">P46-P30</f>
        <v>0</v>
      </c>
      <c r="Q34" s="923">
        <f t="shared" si="4"/>
        <v>656039.23935433081</v>
      </c>
      <c r="R34" s="273">
        <f>R46-R30-R33</f>
        <v>656039</v>
      </c>
      <c r="S34" s="273">
        <f t="shared" ref="S34" si="71">S46-S30</f>
        <v>0</v>
      </c>
      <c r="T34" s="273">
        <f t="shared" si="5"/>
        <v>656039</v>
      </c>
      <c r="U34" s="273">
        <f>U46-U30-U33</f>
        <v>656039</v>
      </c>
      <c r="V34" s="273">
        <f t="shared" ref="V34" si="72">V46-V30</f>
        <v>0</v>
      </c>
      <c r="W34" s="273">
        <f t="shared" si="6"/>
        <v>656039</v>
      </c>
      <c r="X34" s="923">
        <f>X46-X30-X33</f>
        <v>656567</v>
      </c>
      <c r="Y34" s="923">
        <f t="shared" ref="Y34" si="73">Y46-Y30</f>
        <v>0</v>
      </c>
      <c r="Z34" s="923">
        <f t="shared" si="7"/>
        <v>656567</v>
      </c>
    </row>
    <row r="35" spans="1:26" x14ac:dyDescent="0.25">
      <c r="A35" s="361"/>
      <c r="B35" s="362" t="s">
        <v>333</v>
      </c>
      <c r="C35" s="333">
        <f t="shared" ref="C35:D35" si="74">C31+C22+C8</f>
        <v>747310.2</v>
      </c>
      <c r="D35" s="333">
        <f t="shared" si="74"/>
        <v>0</v>
      </c>
      <c r="E35" s="333">
        <f t="shared" si="0"/>
        <v>747310.2</v>
      </c>
      <c r="F35" s="333">
        <f t="shared" ref="F35:G35" si="75">F31+F22+F8</f>
        <v>780502</v>
      </c>
      <c r="G35" s="333">
        <f t="shared" si="75"/>
        <v>0</v>
      </c>
      <c r="H35" s="333">
        <f t="shared" si="1"/>
        <v>780502</v>
      </c>
      <c r="I35" s="333" t="e">
        <f t="shared" ref="I35:J35" si="76">I31+I22+I8</f>
        <v>#REF!</v>
      </c>
      <c r="J35" s="333" t="e">
        <f t="shared" si="76"/>
        <v>#REF!</v>
      </c>
      <c r="K35" s="333" t="e">
        <f t="shared" si="2"/>
        <v>#REF!</v>
      </c>
      <c r="L35" s="333">
        <f t="shared" ref="L35:M35" si="77">L31+L22+L8</f>
        <v>709677</v>
      </c>
      <c r="M35" s="333">
        <f t="shared" si="77"/>
        <v>0</v>
      </c>
      <c r="N35" s="333">
        <f t="shared" si="3"/>
        <v>709677</v>
      </c>
      <c r="O35" s="333">
        <f t="shared" ref="O35:P35" si="78">O31+O22+O8</f>
        <v>754089.23935433081</v>
      </c>
      <c r="P35" s="333">
        <f t="shared" si="78"/>
        <v>0</v>
      </c>
      <c r="Q35" s="333">
        <f t="shared" si="4"/>
        <v>754089.23935433081</v>
      </c>
      <c r="R35" s="333">
        <f t="shared" ref="R35:S35" si="79">R31+R22+R8</f>
        <v>760711</v>
      </c>
      <c r="S35" s="333">
        <f t="shared" si="79"/>
        <v>0</v>
      </c>
      <c r="T35" s="333">
        <f t="shared" si="5"/>
        <v>760711</v>
      </c>
      <c r="U35" s="333">
        <f t="shared" ref="U35:V35" si="80">U31+U22+U8</f>
        <v>760711</v>
      </c>
      <c r="V35" s="333">
        <f t="shared" si="80"/>
        <v>0</v>
      </c>
      <c r="W35" s="333">
        <f t="shared" si="6"/>
        <v>760711</v>
      </c>
      <c r="X35" s="333">
        <f t="shared" ref="X35:Y35" si="81">X31+X22+X8</f>
        <v>765239</v>
      </c>
      <c r="Y35" s="333">
        <f t="shared" si="81"/>
        <v>0</v>
      </c>
      <c r="Z35" s="333">
        <f t="shared" si="7"/>
        <v>765239</v>
      </c>
    </row>
    <row r="36" spans="1:26" x14ac:dyDescent="0.25">
      <c r="A36" s="350" t="s">
        <v>309</v>
      </c>
      <c r="B36" s="351" t="s">
        <v>334</v>
      </c>
      <c r="C36" s="352">
        <f t="shared" ref="C36:D36" si="82">SUM(C37:C41)</f>
        <v>742738.2</v>
      </c>
      <c r="D36" s="352">
        <f t="shared" si="82"/>
        <v>0</v>
      </c>
      <c r="E36" s="352">
        <f t="shared" si="0"/>
        <v>742738.2</v>
      </c>
      <c r="F36" s="352">
        <f t="shared" ref="F36:G36" si="83">SUM(F37:F41)</f>
        <v>765952</v>
      </c>
      <c r="G36" s="352">
        <f t="shared" si="83"/>
        <v>0</v>
      </c>
      <c r="H36" s="352">
        <f t="shared" si="1"/>
        <v>765952</v>
      </c>
      <c r="I36" s="352">
        <f t="shared" ref="I36:J36" si="84">SUM(I37:I41)</f>
        <v>760999</v>
      </c>
      <c r="J36" s="352">
        <f t="shared" si="84"/>
        <v>0</v>
      </c>
      <c r="K36" s="352">
        <f t="shared" si="2"/>
        <v>760999</v>
      </c>
      <c r="L36" s="352">
        <f t="shared" ref="L36:M36" si="85">SUM(L37:L41)</f>
        <v>681145</v>
      </c>
      <c r="M36" s="352">
        <f t="shared" si="85"/>
        <v>0</v>
      </c>
      <c r="N36" s="352">
        <f t="shared" si="3"/>
        <v>681145</v>
      </c>
      <c r="O36" s="352">
        <f t="shared" ref="O36:P36" si="86">SUM(O37:O41)</f>
        <v>739769.23935433081</v>
      </c>
      <c r="P36" s="352">
        <f t="shared" si="86"/>
        <v>0</v>
      </c>
      <c r="Q36" s="352">
        <f t="shared" si="4"/>
        <v>739769.23935433081</v>
      </c>
      <c r="R36" s="352">
        <f t="shared" ref="R36:S36" si="87">SUM(R37:R41)</f>
        <v>745121</v>
      </c>
      <c r="S36" s="352">
        <f t="shared" si="87"/>
        <v>0</v>
      </c>
      <c r="T36" s="352">
        <f t="shared" si="5"/>
        <v>745121</v>
      </c>
      <c r="U36" s="352">
        <f t="shared" ref="U36:V36" si="88">SUM(U37:U41)</f>
        <v>745121</v>
      </c>
      <c r="V36" s="352">
        <f t="shared" si="88"/>
        <v>0</v>
      </c>
      <c r="W36" s="352">
        <f t="shared" si="6"/>
        <v>745121</v>
      </c>
      <c r="X36" s="352">
        <f t="shared" ref="X36:Y36" si="89">SUM(X37:X41)</f>
        <v>744415</v>
      </c>
      <c r="Y36" s="352">
        <f t="shared" si="89"/>
        <v>0</v>
      </c>
      <c r="Z36" s="352">
        <f t="shared" si="7"/>
        <v>744415</v>
      </c>
    </row>
    <row r="37" spans="1:26" x14ac:dyDescent="0.25">
      <c r="A37" s="353" t="s">
        <v>311</v>
      </c>
      <c r="B37" s="354" t="s">
        <v>286</v>
      </c>
      <c r="C37" s="355">
        <f>'5 GSZNR fel'!E193</f>
        <v>217607</v>
      </c>
      <c r="D37" s="355">
        <v>0</v>
      </c>
      <c r="E37" s="355">
        <f t="shared" si="0"/>
        <v>217607</v>
      </c>
      <c r="F37" s="355">
        <f>'5 GSZNR fel'!H193</f>
        <v>222607</v>
      </c>
      <c r="G37" s="355">
        <v>0</v>
      </c>
      <c r="H37" s="355">
        <f t="shared" si="1"/>
        <v>222607</v>
      </c>
      <c r="I37" s="355">
        <f>'5 GSZNR fel'!K193</f>
        <v>222607</v>
      </c>
      <c r="J37" s="355">
        <v>0</v>
      </c>
      <c r="K37" s="355">
        <f t="shared" si="2"/>
        <v>222607</v>
      </c>
      <c r="L37" s="355">
        <f>'5 GSZNR fel'!N193</f>
        <v>194799</v>
      </c>
      <c r="M37" s="355">
        <v>0</v>
      </c>
      <c r="N37" s="355">
        <f t="shared" si="3"/>
        <v>194799</v>
      </c>
      <c r="O37" s="921">
        <f>'5 GSZNR fel'!Q193</f>
        <v>231925.6</v>
      </c>
      <c r="P37" s="921">
        <v>0</v>
      </c>
      <c r="Q37" s="921">
        <f t="shared" si="4"/>
        <v>231925.6</v>
      </c>
      <c r="R37" s="355">
        <f>'5 GSZNR fel'!T193</f>
        <v>231926</v>
      </c>
      <c r="S37" s="355">
        <v>0</v>
      </c>
      <c r="T37" s="355">
        <f t="shared" si="5"/>
        <v>231926</v>
      </c>
      <c r="U37" s="355">
        <f>'5 GSZNR fel'!W193</f>
        <v>231926</v>
      </c>
      <c r="V37" s="355">
        <v>0</v>
      </c>
      <c r="W37" s="355">
        <f t="shared" si="6"/>
        <v>231926</v>
      </c>
      <c r="X37" s="921">
        <f>'5 GSZNR fel'!Z193</f>
        <v>229144</v>
      </c>
      <c r="Y37" s="921">
        <v>0</v>
      </c>
      <c r="Z37" s="921">
        <f t="shared" si="7"/>
        <v>229144</v>
      </c>
    </row>
    <row r="38" spans="1:26" x14ac:dyDescent="0.25">
      <c r="A38" s="353" t="s">
        <v>322</v>
      </c>
      <c r="B38" s="354" t="s">
        <v>335</v>
      </c>
      <c r="C38" s="355">
        <f>'5 GSZNR fel'!E194</f>
        <v>49404</v>
      </c>
      <c r="D38" s="355">
        <v>0</v>
      </c>
      <c r="E38" s="355">
        <f t="shared" si="0"/>
        <v>49404</v>
      </c>
      <c r="F38" s="355">
        <f>'5 GSZNR fel'!H194</f>
        <v>50379</v>
      </c>
      <c r="G38" s="355">
        <v>0</v>
      </c>
      <c r="H38" s="355">
        <f t="shared" si="1"/>
        <v>50379</v>
      </c>
      <c r="I38" s="355">
        <f>'5 GSZNR fel'!K194</f>
        <v>50379</v>
      </c>
      <c r="J38" s="355">
        <v>0</v>
      </c>
      <c r="K38" s="355">
        <f t="shared" si="2"/>
        <v>50379</v>
      </c>
      <c r="L38" s="355">
        <f>'5 GSZNR fel'!N194</f>
        <v>43513</v>
      </c>
      <c r="M38" s="355">
        <v>0</v>
      </c>
      <c r="N38" s="355">
        <f t="shared" si="3"/>
        <v>43513</v>
      </c>
      <c r="O38" s="921">
        <f>'5 GSZNR fel'!Q194</f>
        <v>44065.864000000001</v>
      </c>
      <c r="P38" s="921">
        <v>0</v>
      </c>
      <c r="Q38" s="921">
        <f t="shared" si="4"/>
        <v>44065.864000000001</v>
      </c>
      <c r="R38" s="355">
        <f>'5 GSZNR fel'!T194</f>
        <v>44066</v>
      </c>
      <c r="S38" s="355">
        <v>0</v>
      </c>
      <c r="T38" s="355">
        <f t="shared" si="5"/>
        <v>44066</v>
      </c>
      <c r="U38" s="355">
        <f>'5 GSZNR fel'!W194</f>
        <v>44066</v>
      </c>
      <c r="V38" s="355">
        <v>0</v>
      </c>
      <c r="W38" s="355">
        <f t="shared" si="6"/>
        <v>44066</v>
      </c>
      <c r="X38" s="921">
        <f>'5 GSZNR fel'!Z194</f>
        <v>47526</v>
      </c>
      <c r="Y38" s="921">
        <v>0</v>
      </c>
      <c r="Z38" s="921">
        <f t="shared" si="7"/>
        <v>47526</v>
      </c>
    </row>
    <row r="39" spans="1:26" x14ac:dyDescent="0.25">
      <c r="A39" s="353" t="s">
        <v>315</v>
      </c>
      <c r="B39" s="354" t="s">
        <v>292</v>
      </c>
      <c r="C39" s="355">
        <f>'5 GSZNR fel'!E195</f>
        <v>475727.19999999995</v>
      </c>
      <c r="D39" s="355">
        <v>0</v>
      </c>
      <c r="E39" s="355">
        <f t="shared" si="0"/>
        <v>475727.19999999995</v>
      </c>
      <c r="F39" s="355">
        <f>'5 GSZNR fel'!H195</f>
        <v>488013</v>
      </c>
      <c r="G39" s="355">
        <v>0</v>
      </c>
      <c r="H39" s="355">
        <f t="shared" si="1"/>
        <v>488013</v>
      </c>
      <c r="I39" s="355">
        <f>'5 GSZNR fel'!K195</f>
        <v>488013</v>
      </c>
      <c r="J39" s="355">
        <v>0</v>
      </c>
      <c r="K39" s="355">
        <f t="shared" si="2"/>
        <v>488013</v>
      </c>
      <c r="L39" s="355">
        <f>'5 GSZNR fel'!N195</f>
        <v>437880</v>
      </c>
      <c r="M39" s="355">
        <v>0</v>
      </c>
      <c r="N39" s="355">
        <f t="shared" si="3"/>
        <v>437880</v>
      </c>
      <c r="O39" s="921">
        <f>'5 GSZNR fel'!Q195</f>
        <v>463777.77535433078</v>
      </c>
      <c r="P39" s="921">
        <v>0</v>
      </c>
      <c r="Q39" s="921">
        <f t="shared" si="4"/>
        <v>463777.77535433078</v>
      </c>
      <c r="R39" s="355">
        <f>'5 GSZNR fel'!T195</f>
        <v>469129</v>
      </c>
      <c r="S39" s="355">
        <v>0</v>
      </c>
      <c r="T39" s="355">
        <f t="shared" si="5"/>
        <v>469129</v>
      </c>
      <c r="U39" s="355">
        <f>'5 GSZNR fel'!W195</f>
        <v>469129</v>
      </c>
      <c r="V39" s="355">
        <v>0</v>
      </c>
      <c r="W39" s="355">
        <f t="shared" si="6"/>
        <v>469129</v>
      </c>
      <c r="X39" s="921">
        <f>'5 GSZNR fel'!Z195</f>
        <v>467745</v>
      </c>
      <c r="Y39" s="921">
        <v>0</v>
      </c>
      <c r="Z39" s="921">
        <f t="shared" si="7"/>
        <v>467745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f>'5 GSZNR fel'!E196</f>
        <v>0</v>
      </c>
      <c r="D41" s="355">
        <v>0</v>
      </c>
      <c r="E41" s="355">
        <f t="shared" si="0"/>
        <v>0</v>
      </c>
      <c r="F41" s="355">
        <f>'5 GSZNR fel'!H196</f>
        <v>4953</v>
      </c>
      <c r="G41" s="355">
        <v>0</v>
      </c>
      <c r="H41" s="355">
        <f t="shared" si="1"/>
        <v>4953</v>
      </c>
      <c r="I41" s="355">
        <v>0</v>
      </c>
      <c r="J41" s="355">
        <v>0</v>
      </c>
      <c r="K41" s="355">
        <f t="shared" si="2"/>
        <v>0</v>
      </c>
      <c r="L41" s="355">
        <f>'5 GSZNR fel'!N196</f>
        <v>4953</v>
      </c>
      <c r="M41" s="355">
        <v>0</v>
      </c>
      <c r="N41" s="355">
        <f t="shared" si="3"/>
        <v>4953</v>
      </c>
      <c r="O41" s="921">
        <f>'5 GSZNR fel'!Q196</f>
        <v>0</v>
      </c>
      <c r="P41" s="921">
        <v>0</v>
      </c>
      <c r="Q41" s="921">
        <f t="shared" si="4"/>
        <v>0</v>
      </c>
      <c r="R41" s="355">
        <f>'5 GSZNR fel'!T196</f>
        <v>0</v>
      </c>
      <c r="S41" s="355">
        <v>0</v>
      </c>
      <c r="T41" s="355">
        <f t="shared" si="5"/>
        <v>0</v>
      </c>
      <c r="U41" s="355">
        <f>'5 GSZNR fel'!W196</f>
        <v>0</v>
      </c>
      <c r="V41" s="355">
        <v>0</v>
      </c>
      <c r="W41" s="355">
        <f t="shared" si="6"/>
        <v>0</v>
      </c>
      <c r="X41" s="921">
        <f>'5 GSZNR fel'!Z196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90">SUM(C43:C45)</f>
        <v>4572</v>
      </c>
      <c r="D42" s="352">
        <f t="shared" si="90"/>
        <v>0</v>
      </c>
      <c r="E42" s="352">
        <f t="shared" si="0"/>
        <v>4572</v>
      </c>
      <c r="F42" s="352">
        <f t="shared" ref="F42:G42" si="91">SUM(F43:F45)</f>
        <v>14550</v>
      </c>
      <c r="G42" s="352">
        <f t="shared" si="91"/>
        <v>0</v>
      </c>
      <c r="H42" s="352">
        <f t="shared" si="1"/>
        <v>14550</v>
      </c>
      <c r="I42" s="352" t="e">
        <f t="shared" ref="I42:J42" si="92">SUM(I43:I45)</f>
        <v>#REF!</v>
      </c>
      <c r="J42" s="352" t="e">
        <f t="shared" si="92"/>
        <v>#REF!</v>
      </c>
      <c r="K42" s="352" t="e">
        <f t="shared" si="2"/>
        <v>#REF!</v>
      </c>
      <c r="L42" s="352">
        <f t="shared" ref="L42:M42" si="93">SUM(L43:L45)</f>
        <v>29037</v>
      </c>
      <c r="M42" s="352">
        <f t="shared" si="93"/>
        <v>0</v>
      </c>
      <c r="N42" s="352">
        <f t="shared" si="3"/>
        <v>29037</v>
      </c>
      <c r="O42" s="352">
        <f t="shared" ref="O42:P42" si="94">SUM(O43:O45)</f>
        <v>14320</v>
      </c>
      <c r="P42" s="352">
        <f t="shared" si="94"/>
        <v>0</v>
      </c>
      <c r="Q42" s="352">
        <f t="shared" si="4"/>
        <v>14320</v>
      </c>
      <c r="R42" s="352">
        <f t="shared" ref="R42:S42" si="95">SUM(R43:R45)</f>
        <v>15590</v>
      </c>
      <c r="S42" s="352">
        <f t="shared" si="95"/>
        <v>0</v>
      </c>
      <c r="T42" s="352">
        <f t="shared" si="5"/>
        <v>15590</v>
      </c>
      <c r="U42" s="352">
        <f t="shared" ref="U42:V42" si="96">SUM(U43:U45)</f>
        <v>15590</v>
      </c>
      <c r="V42" s="352">
        <f t="shared" si="96"/>
        <v>0</v>
      </c>
      <c r="W42" s="352">
        <f t="shared" si="6"/>
        <v>15590</v>
      </c>
      <c r="X42" s="352">
        <f t="shared" ref="X42:Y42" si="97">SUM(X43:X45)</f>
        <v>20824</v>
      </c>
      <c r="Y42" s="352">
        <f t="shared" si="97"/>
        <v>0</v>
      </c>
      <c r="Z42" s="352">
        <f t="shared" si="7"/>
        <v>20824</v>
      </c>
    </row>
    <row r="43" spans="1:26" x14ac:dyDescent="0.25">
      <c r="A43" s="353" t="s">
        <v>311</v>
      </c>
      <c r="B43" s="354" t="s">
        <v>341</v>
      </c>
      <c r="C43" s="355">
        <f>'5 GSZNR fel'!E197</f>
        <v>4572</v>
      </c>
      <c r="D43" s="355"/>
      <c r="E43" s="355">
        <f t="shared" si="0"/>
        <v>4572</v>
      </c>
      <c r="F43" s="355">
        <f>'5 GSZNR fel'!H197</f>
        <v>14550</v>
      </c>
      <c r="G43" s="355"/>
      <c r="H43" s="355">
        <f t="shared" si="1"/>
        <v>14550</v>
      </c>
      <c r="I43" s="355">
        <f>'5 GSZNR fel'!K197</f>
        <v>14550</v>
      </c>
      <c r="J43" s="355" t="e">
        <f>#REF!</f>
        <v>#REF!</v>
      </c>
      <c r="K43" s="355" t="e">
        <f t="shared" si="2"/>
        <v>#REF!</v>
      </c>
      <c r="L43" s="355">
        <f>'5 GSZNR fel'!N197</f>
        <v>29037</v>
      </c>
      <c r="M43" s="355"/>
      <c r="N43" s="355">
        <f t="shared" si="3"/>
        <v>29037</v>
      </c>
      <c r="O43" s="921">
        <f>'5 GSZNR fel'!Q197</f>
        <v>14320</v>
      </c>
      <c r="P43" s="921"/>
      <c r="Q43" s="921">
        <f t="shared" si="4"/>
        <v>14320</v>
      </c>
      <c r="R43" s="355">
        <f>'5 GSZNR fel'!T197</f>
        <v>15590</v>
      </c>
      <c r="S43" s="355"/>
      <c r="T43" s="355">
        <f t="shared" si="5"/>
        <v>15590</v>
      </c>
      <c r="U43" s="355">
        <f>'5 GSZNR fel'!W197</f>
        <v>15590</v>
      </c>
      <c r="V43" s="355"/>
      <c r="W43" s="355">
        <f t="shared" si="6"/>
        <v>15590</v>
      </c>
      <c r="X43" s="921">
        <f>'5 GSZNR fel'!Z197</f>
        <v>20824</v>
      </c>
      <c r="Y43" s="921"/>
      <c r="Z43" s="921">
        <f t="shared" si="7"/>
        <v>20824</v>
      </c>
    </row>
    <row r="44" spans="1:26" x14ac:dyDescent="0.25">
      <c r="A44" s="353" t="s">
        <v>322</v>
      </c>
      <c r="B44" s="354" t="s">
        <v>342</v>
      </c>
      <c r="C44" s="355"/>
      <c r="D44" s="355"/>
      <c r="E44" s="355">
        <f t="shared" si="0"/>
        <v>0</v>
      </c>
      <c r="F44" s="355"/>
      <c r="G44" s="355"/>
      <c r="H44" s="355">
        <f t="shared" si="1"/>
        <v>0</v>
      </c>
      <c r="I44" s="355" t="e">
        <f>#REF!</f>
        <v>#REF!</v>
      </c>
      <c r="J44" s="355" t="e">
        <f>#REF!</f>
        <v>#REF!</v>
      </c>
      <c r="K44" s="355" t="e">
        <f t="shared" si="2"/>
        <v>#REF!</v>
      </c>
      <c r="L44" s="355"/>
      <c r="M44" s="355"/>
      <c r="N44" s="355">
        <f t="shared" si="3"/>
        <v>0</v>
      </c>
      <c r="O44" s="921"/>
      <c r="P44" s="921"/>
      <c r="Q44" s="921">
        <f t="shared" si="4"/>
        <v>0</v>
      </c>
      <c r="R44" s="355"/>
      <c r="S44" s="355"/>
      <c r="T44" s="355">
        <f t="shared" si="5"/>
        <v>0</v>
      </c>
      <c r="U44" s="355"/>
      <c r="V44" s="355"/>
      <c r="W44" s="355">
        <f t="shared" si="6"/>
        <v>0</v>
      </c>
      <c r="X44" s="921"/>
      <c r="Y44" s="921"/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8">C36+C42</f>
        <v>747310.2</v>
      </c>
      <c r="D46" s="333">
        <f t="shared" si="98"/>
        <v>0</v>
      </c>
      <c r="E46" s="333">
        <f t="shared" si="0"/>
        <v>747310.2</v>
      </c>
      <c r="F46" s="333">
        <f t="shared" ref="F46:G46" si="99">F36+F42</f>
        <v>780502</v>
      </c>
      <c r="G46" s="333">
        <f t="shared" si="99"/>
        <v>0</v>
      </c>
      <c r="H46" s="333">
        <f t="shared" si="1"/>
        <v>780502</v>
      </c>
      <c r="I46" s="333" t="e">
        <f t="shared" ref="I46:J46" si="100">I36+I42</f>
        <v>#REF!</v>
      </c>
      <c r="J46" s="333" t="e">
        <f t="shared" si="100"/>
        <v>#REF!</v>
      </c>
      <c r="K46" s="333" t="e">
        <f t="shared" si="2"/>
        <v>#REF!</v>
      </c>
      <c r="L46" s="333">
        <f t="shared" ref="L46:M46" si="101">L36+L42</f>
        <v>710182</v>
      </c>
      <c r="M46" s="333">
        <f t="shared" si="101"/>
        <v>0</v>
      </c>
      <c r="N46" s="333">
        <f t="shared" si="3"/>
        <v>710182</v>
      </c>
      <c r="O46" s="333">
        <f t="shared" ref="O46:P46" si="102">O36+O42</f>
        <v>754089.23935433081</v>
      </c>
      <c r="P46" s="333">
        <f t="shared" si="102"/>
        <v>0</v>
      </c>
      <c r="Q46" s="333">
        <f t="shared" si="4"/>
        <v>754089.23935433081</v>
      </c>
      <c r="R46" s="333">
        <f t="shared" ref="R46:S46" si="103">R36+R42</f>
        <v>760711</v>
      </c>
      <c r="S46" s="333">
        <f t="shared" si="103"/>
        <v>0</v>
      </c>
      <c r="T46" s="333">
        <f t="shared" si="5"/>
        <v>760711</v>
      </c>
      <c r="U46" s="333">
        <f t="shared" ref="U46:V46" si="104">U36+U42</f>
        <v>760711</v>
      </c>
      <c r="V46" s="333">
        <f t="shared" si="104"/>
        <v>0</v>
      </c>
      <c r="W46" s="333">
        <f t="shared" si="6"/>
        <v>760711</v>
      </c>
      <c r="X46" s="333">
        <f t="shared" ref="X46:Y46" si="105">X36+X42</f>
        <v>765239</v>
      </c>
      <c r="Y46" s="333">
        <f t="shared" si="105"/>
        <v>0</v>
      </c>
      <c r="Z46" s="333">
        <f t="shared" si="7"/>
        <v>765239</v>
      </c>
    </row>
    <row r="47" spans="1:26" x14ac:dyDescent="0.25">
      <c r="H47" s="40"/>
      <c r="L47" s="40"/>
    </row>
  </sheetData>
  <mergeCells count="10">
    <mergeCell ref="X4:Z4"/>
    <mergeCell ref="U4:W4"/>
    <mergeCell ref="R4:T4"/>
    <mergeCell ref="L4:N4"/>
    <mergeCell ref="O4:Q4"/>
    <mergeCell ref="A4:A5"/>
    <mergeCell ref="B4:B5"/>
    <mergeCell ref="C4:E4"/>
    <mergeCell ref="I4:K4"/>
    <mergeCell ref="F4:H4"/>
  </mergeCells>
  <printOptions horizontalCentered="1"/>
  <pageMargins left="0.19685039370078741" right="0.19685039370078741" top="1.0629921259842521" bottom="0.19685039370078741" header="0.31496062992125984" footer="0.31496062992125984"/>
  <pageSetup paperSize="9" scale="47" fitToHeight="0" orientation="portrait" copies="4" r:id="rId1"/>
  <headerFooter>
    <oddHeader>&amp;L4/H.  melléklet a ...../2020. (.......) önkormányzati rendelethez&amp;C&amp;"-,Félkövér"&amp;16
A Törökbálinti Városgondnokság 2019. évi bevételei és kiadásai jogcímenként és feladatonként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T184"/>
  <sheetViews>
    <sheetView topLeftCell="B1" zoomScale="150" zoomScaleNormal="150" zoomScaleSheetLayoutView="100" workbookViewId="0">
      <pane xSplit="2" ySplit="3" topLeftCell="D102" activePane="bottomRight" state="frozen"/>
      <selection activeCell="B1" sqref="B1"/>
      <selection pane="topRight" activeCell="D1" sqref="D1"/>
      <selection pane="bottomLeft" activeCell="B4" sqref="B4"/>
      <selection pane="bottomRight" activeCell="E113" sqref="E113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6384" width="11.7109375" style="5"/>
  </cols>
  <sheetData>
    <row r="1" spans="1:11" s="1" customFormat="1" ht="12.75" customHeight="1" x14ac:dyDescent="0.25">
      <c r="A1" s="1028" t="s">
        <v>582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30"/>
    </row>
    <row r="2" spans="1:11" s="1" customFormat="1" ht="14.1" customHeight="1" x14ac:dyDescent="0.25">
      <c r="A2" s="1022" t="s">
        <v>0</v>
      </c>
      <c r="B2" s="1023" t="s">
        <v>1</v>
      </c>
      <c r="C2" s="1022" t="s">
        <v>2</v>
      </c>
      <c r="D2" s="1024" t="s">
        <v>260</v>
      </c>
      <c r="E2" s="1014" t="s">
        <v>259</v>
      </c>
      <c r="F2" s="1016" t="s">
        <v>360</v>
      </c>
      <c r="G2" s="1017"/>
      <c r="H2" s="1016" t="s">
        <v>585</v>
      </c>
      <c r="I2" s="1017"/>
      <c r="J2" s="1016" t="s">
        <v>361</v>
      </c>
      <c r="K2" s="1017"/>
    </row>
    <row r="3" spans="1:11" s="3" customFormat="1" ht="25.5" customHeight="1" x14ac:dyDescent="0.25">
      <c r="A3" s="1022"/>
      <c r="B3" s="1023"/>
      <c r="C3" s="1022"/>
      <c r="D3" s="1024"/>
      <c r="E3" s="1015"/>
      <c r="F3" s="98" t="s">
        <v>263</v>
      </c>
      <c r="G3" s="98" t="s">
        <v>259</v>
      </c>
      <c r="H3" s="98" t="s">
        <v>260</v>
      </c>
      <c r="I3" s="98" t="s">
        <v>259</v>
      </c>
      <c r="J3" s="98" t="s">
        <v>260</v>
      </c>
      <c r="K3" s="98" t="s">
        <v>259</v>
      </c>
    </row>
    <row r="4" spans="1:11" ht="5.65" customHeight="1" x14ac:dyDescent="0.25"/>
    <row r="5" spans="1:11" ht="14.1" customHeight="1" x14ac:dyDescent="0.25">
      <c r="A5" s="1021" t="s">
        <v>3</v>
      </c>
      <c r="B5" s="1021"/>
      <c r="C5" s="1021"/>
      <c r="D5" s="1021"/>
      <c r="E5" s="1021"/>
      <c r="F5" s="1021"/>
      <c r="G5" s="1021"/>
      <c r="H5" s="1021"/>
      <c r="I5" s="1021"/>
      <c r="J5" s="102"/>
      <c r="K5" s="102"/>
    </row>
    <row r="6" spans="1:1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9466</v>
      </c>
      <c r="E6" s="9">
        <f>G6+I6+K6</f>
        <v>8028</v>
      </c>
      <c r="F6" s="10">
        <v>7546</v>
      </c>
      <c r="G6" s="10">
        <v>8028</v>
      </c>
      <c r="H6" s="10">
        <v>0</v>
      </c>
      <c r="I6" s="10">
        <f>SUM(I7:I19)</f>
        <v>0</v>
      </c>
      <c r="J6" s="10">
        <v>1920</v>
      </c>
      <c r="K6" s="10">
        <v>0</v>
      </c>
    </row>
    <row r="7" spans="1:11" s="15" customFormat="1" ht="11.45" hidden="1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</row>
    <row r="8" spans="1:11" s="15" customFormat="1" ht="11.45" hidden="1" customHeight="1" x14ac:dyDescent="0.25">
      <c r="A8" s="11"/>
      <c r="B8" s="11"/>
      <c r="C8" s="12"/>
      <c r="D8" s="13"/>
      <c r="E8" s="13"/>
      <c r="F8" s="14"/>
      <c r="G8" s="14"/>
      <c r="H8" s="14"/>
      <c r="I8" s="14"/>
      <c r="J8" s="14"/>
      <c r="K8" s="14"/>
    </row>
    <row r="9" spans="1:11" s="15" customFormat="1" ht="11.45" hidden="1" customHeight="1" x14ac:dyDescent="0.25">
      <c r="A9" s="11"/>
      <c r="B9" s="11"/>
      <c r="C9" s="12"/>
      <c r="D9" s="13"/>
      <c r="E9" s="13"/>
      <c r="F9" s="14"/>
      <c r="G9" s="14"/>
      <c r="H9" s="14"/>
      <c r="I9" s="14"/>
      <c r="J9" s="14"/>
      <c r="K9" s="14"/>
    </row>
    <row r="10" spans="1:11" s="15" customFormat="1" ht="11.45" hidden="1" customHeight="1" x14ac:dyDescent="0.25">
      <c r="A10" s="11"/>
      <c r="B10" s="11"/>
      <c r="C10" s="12"/>
      <c r="D10" s="13"/>
      <c r="E10" s="13"/>
      <c r="F10" s="14"/>
      <c r="G10" s="14"/>
      <c r="H10" s="14"/>
      <c r="I10" s="14"/>
      <c r="J10" s="14"/>
      <c r="K10" s="14"/>
    </row>
    <row r="11" spans="1:11" s="15" customFormat="1" ht="11.45" hidden="1" customHeight="1" x14ac:dyDescent="0.25">
      <c r="A11" s="11"/>
      <c r="B11" s="11"/>
      <c r="C11" s="12"/>
      <c r="D11" s="13"/>
      <c r="E11" s="13"/>
      <c r="F11" s="14"/>
      <c r="G11" s="14"/>
      <c r="H11" s="14"/>
      <c r="I11" s="14"/>
      <c r="J11" s="14"/>
      <c r="K11" s="14"/>
    </row>
    <row r="12" spans="1:11" s="15" customFormat="1" ht="11.45" hidden="1" customHeight="1" x14ac:dyDescent="0.25">
      <c r="A12" s="11"/>
      <c r="B12" s="11"/>
      <c r="C12" s="12"/>
      <c r="D12" s="13"/>
      <c r="E12" s="13"/>
      <c r="F12" s="14"/>
      <c r="G12" s="14"/>
      <c r="H12" s="14"/>
      <c r="I12" s="14"/>
      <c r="J12" s="14"/>
      <c r="K12" s="14"/>
    </row>
    <row r="13" spans="1:11" s="15" customFormat="1" ht="11.45" hidden="1" customHeight="1" x14ac:dyDescent="0.25">
      <c r="A13" s="11"/>
      <c r="B13" s="11"/>
      <c r="C13" s="12"/>
      <c r="D13" s="13"/>
      <c r="E13" s="13"/>
      <c r="F13" s="14"/>
      <c r="G13" s="14"/>
      <c r="H13" s="14"/>
      <c r="I13" s="14"/>
      <c r="J13" s="14"/>
      <c r="K13" s="14"/>
    </row>
    <row r="14" spans="1:11" s="15" customFormat="1" ht="11.45" hidden="1" customHeight="1" x14ac:dyDescent="0.25">
      <c r="A14" s="11"/>
      <c r="B14" s="11"/>
      <c r="C14" s="12"/>
      <c r="D14" s="13"/>
      <c r="E14" s="13"/>
      <c r="F14" s="14"/>
      <c r="G14" s="14"/>
      <c r="H14" s="14"/>
      <c r="I14" s="14"/>
      <c r="J14" s="14"/>
      <c r="K14" s="14"/>
    </row>
    <row r="15" spans="1:11" s="15" customFormat="1" ht="11.45" hidden="1" customHeight="1" x14ac:dyDescent="0.25">
      <c r="A15" s="11"/>
      <c r="B15" s="11"/>
      <c r="C15" s="12"/>
      <c r="D15" s="13"/>
      <c r="E15" s="13"/>
      <c r="F15" s="14"/>
      <c r="G15" s="14"/>
      <c r="H15" s="14"/>
      <c r="I15" s="14"/>
      <c r="J15" s="14"/>
      <c r="K15" s="14"/>
    </row>
    <row r="16" spans="1:11" s="15" customFormat="1" ht="11.45" hidden="1" customHeight="1" x14ac:dyDescent="0.25">
      <c r="A16" s="11"/>
      <c r="B16" s="11"/>
      <c r="C16" s="12"/>
      <c r="D16" s="13"/>
      <c r="E16" s="13"/>
      <c r="F16" s="14"/>
      <c r="G16" s="14"/>
      <c r="H16" s="14"/>
      <c r="I16" s="14"/>
      <c r="J16" s="14"/>
      <c r="K16" s="14"/>
    </row>
    <row r="17" spans="1:11" s="15" customFormat="1" ht="11.45" hidden="1" customHeight="1" x14ac:dyDescent="0.25">
      <c r="A17" s="11"/>
      <c r="B17" s="11"/>
      <c r="C17" s="12"/>
      <c r="D17" s="13"/>
      <c r="E17" s="13"/>
      <c r="F17" s="14"/>
      <c r="G17" s="14"/>
      <c r="H17" s="14"/>
      <c r="I17" s="14"/>
      <c r="J17" s="14"/>
      <c r="K17" s="14"/>
    </row>
    <row r="18" spans="1:11" s="15" customFormat="1" ht="11.45" hidden="1" customHeight="1" x14ac:dyDescent="0.25">
      <c r="A18" s="11"/>
      <c r="B18" s="11"/>
      <c r="C18" s="12"/>
      <c r="D18" s="13"/>
      <c r="E18" s="13"/>
      <c r="F18" s="14"/>
      <c r="G18" s="14"/>
      <c r="H18" s="14"/>
      <c r="I18" s="14"/>
      <c r="J18" s="14"/>
      <c r="K18" s="14"/>
    </row>
    <row r="19" spans="1:11" s="15" customFormat="1" ht="11.45" hidden="1" customHeight="1" x14ac:dyDescent="0.25">
      <c r="A19" s="11"/>
      <c r="B19" s="11"/>
      <c r="C19" s="12"/>
      <c r="D19" s="13"/>
      <c r="E19" s="13"/>
      <c r="F19" s="14"/>
      <c r="G19" s="14"/>
      <c r="H19" s="14"/>
      <c r="I19" s="14"/>
      <c r="J19" s="14"/>
      <c r="K19" s="14"/>
    </row>
    <row r="20" spans="1:11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F20+H20+J20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50</v>
      </c>
      <c r="E22" s="9">
        <f t="shared" si="0"/>
        <v>50</v>
      </c>
      <c r="F22" s="10">
        <f>SUM(F23:F24)</f>
        <v>50</v>
      </c>
      <c r="G22" s="10">
        <f>SUM(G23:G24)</f>
        <v>50</v>
      </c>
      <c r="H22" s="10">
        <v>0</v>
      </c>
      <c r="I22" s="10">
        <f t="shared" ref="I22" si="1">SUM(I23:I24)</f>
        <v>0</v>
      </c>
      <c r="J22" s="10">
        <v>0</v>
      </c>
      <c r="K22" s="10">
        <v>0</v>
      </c>
    </row>
    <row r="23" spans="1:11" s="15" customFormat="1" ht="11.45" customHeight="1" x14ac:dyDescent="0.25">
      <c r="A23" s="11"/>
      <c r="B23" s="11"/>
      <c r="C23" s="12" t="s">
        <v>16</v>
      </c>
      <c r="D23" s="13"/>
      <c r="E23" s="13"/>
      <c r="F23" s="14">
        <v>50</v>
      </c>
      <c r="G23" s="14">
        <v>50</v>
      </c>
      <c r="H23" s="14"/>
      <c r="I23" s="14"/>
      <c r="J23" s="14"/>
      <c r="K23" s="14"/>
    </row>
    <row r="24" spans="1:11" s="15" customFormat="1" ht="11.45" customHeight="1" x14ac:dyDescent="0.25">
      <c r="A24" s="11"/>
      <c r="B24" s="11"/>
      <c r="C24" s="12" t="s">
        <v>17</v>
      </c>
      <c r="D24" s="13"/>
      <c r="E24" s="13"/>
      <c r="F24" s="14">
        <v>0</v>
      </c>
      <c r="G24" s="14">
        <v>0</v>
      </c>
      <c r="H24" s="14"/>
      <c r="I24" s="14"/>
      <c r="J24" s="14"/>
      <c r="K24" s="14"/>
    </row>
    <row r="25" spans="1:11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2">F25+H25+J25</f>
        <v>0</v>
      </c>
      <c r="E25" s="9">
        <f t="shared" si="2"/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2"/>
        <v>0</v>
      </c>
      <c r="E26" s="9">
        <f t="shared" si="2"/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2"/>
        <v>348</v>
      </c>
      <c r="E27" s="9">
        <f t="shared" si="2"/>
        <v>384</v>
      </c>
      <c r="F27" s="10">
        <v>348</v>
      </c>
      <c r="G27" s="10">
        <f>G28</f>
        <v>384</v>
      </c>
      <c r="H27" s="10">
        <v>0</v>
      </c>
      <c r="I27" s="10">
        <f t="shared" ref="I27" si="3">I28</f>
        <v>0</v>
      </c>
      <c r="J27" s="10">
        <v>0</v>
      </c>
      <c r="K27" s="10">
        <v>0</v>
      </c>
    </row>
    <row r="28" spans="1:11" s="15" customFormat="1" ht="11.45" customHeight="1" x14ac:dyDescent="0.25">
      <c r="A28" s="11"/>
      <c r="B28" s="11"/>
      <c r="C28" s="12" t="s">
        <v>1037</v>
      </c>
      <c r="D28" s="13"/>
      <c r="E28" s="13"/>
      <c r="F28" s="14"/>
      <c r="G28" s="14">
        <v>384</v>
      </c>
      <c r="H28" s="14"/>
      <c r="I28" s="14"/>
      <c r="J28" s="14"/>
      <c r="K28" s="14"/>
    </row>
    <row r="29" spans="1:11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4">F29+H29+J29</f>
        <v>0</v>
      </c>
      <c r="E29" s="9">
        <f t="shared" si="4"/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4"/>
        <v>200</v>
      </c>
      <c r="E30" s="9">
        <f t="shared" si="4"/>
        <v>200</v>
      </c>
      <c r="F30" s="10">
        <v>200</v>
      </c>
      <c r="G30" s="10">
        <v>200</v>
      </c>
      <c r="H30" s="10">
        <v>0</v>
      </c>
      <c r="I30" s="10">
        <v>0</v>
      </c>
      <c r="J30" s="10">
        <v>0</v>
      </c>
      <c r="K30" s="10">
        <v>0</v>
      </c>
    </row>
    <row r="31" spans="1:11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4"/>
        <v>0</v>
      </c>
      <c r="E31" s="9">
        <f t="shared" si="4"/>
        <v>60</v>
      </c>
      <c r="F31" s="10">
        <v>0</v>
      </c>
      <c r="G31" s="10">
        <f>G32</f>
        <v>60</v>
      </c>
      <c r="H31" s="10">
        <v>0</v>
      </c>
      <c r="I31" s="10">
        <f>I32</f>
        <v>0</v>
      </c>
      <c r="J31" s="10">
        <v>0</v>
      </c>
      <c r="K31" s="10">
        <v>0</v>
      </c>
    </row>
    <row r="32" spans="1:11" s="3" customFormat="1" ht="12.75" customHeight="1" x14ac:dyDescent="0.25">
      <c r="A32" s="11"/>
      <c r="B32" s="11"/>
      <c r="C32" s="12" t="s">
        <v>1275</v>
      </c>
      <c r="D32" s="13"/>
      <c r="E32" s="13"/>
      <c r="F32" s="14"/>
      <c r="G32" s="14">
        <v>60</v>
      </c>
      <c r="H32" s="14"/>
      <c r="I32" s="14"/>
      <c r="J32" s="14"/>
      <c r="K32" s="14"/>
    </row>
    <row r="33" spans="1:11" s="3" customFormat="1" ht="12.75" customHeight="1" x14ac:dyDescent="0.25">
      <c r="A33" s="7" t="s">
        <v>36</v>
      </c>
      <c r="B33" s="7" t="s">
        <v>37</v>
      </c>
      <c r="C33" s="8" t="s">
        <v>38</v>
      </c>
      <c r="D33" s="9">
        <f t="shared" ref="D33:E34" si="5">F33+H33+J33</f>
        <v>0</v>
      </c>
      <c r="E33" s="9">
        <f t="shared" si="5"/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s="3" customFormat="1" ht="12.75" customHeight="1" x14ac:dyDescent="0.25">
      <c r="A34" s="7" t="s">
        <v>39</v>
      </c>
      <c r="B34" s="7" t="s">
        <v>40</v>
      </c>
      <c r="C34" s="8" t="s">
        <v>41</v>
      </c>
      <c r="D34" s="9">
        <f t="shared" si="5"/>
        <v>0</v>
      </c>
      <c r="E34" s="9">
        <f t="shared" si="5"/>
        <v>32</v>
      </c>
      <c r="F34" s="10">
        <f>F35</f>
        <v>0</v>
      </c>
      <c r="G34" s="10">
        <f t="shared" ref="G34:I34" si="6">G35</f>
        <v>32</v>
      </c>
      <c r="H34" s="10">
        <f t="shared" si="6"/>
        <v>0</v>
      </c>
      <c r="I34" s="10">
        <f t="shared" si="6"/>
        <v>0</v>
      </c>
      <c r="J34" s="10">
        <v>0</v>
      </c>
      <c r="K34" s="10">
        <v>0</v>
      </c>
    </row>
    <row r="35" spans="1:11" s="3" customFormat="1" ht="12.75" customHeight="1" x14ac:dyDescent="0.25">
      <c r="A35" s="11"/>
      <c r="B35" s="11"/>
      <c r="C35" s="12" t="s">
        <v>280</v>
      </c>
      <c r="D35" s="13"/>
      <c r="E35" s="13"/>
      <c r="F35" s="14">
        <v>0</v>
      </c>
      <c r="G35" s="14">
        <f>ROUND(G6*0.004,0)</f>
        <v>32</v>
      </c>
      <c r="H35" s="14"/>
      <c r="I35" s="14"/>
      <c r="J35" s="14"/>
      <c r="K35" s="14"/>
    </row>
    <row r="36" spans="1:11" s="3" customFormat="1" ht="12.75" customHeight="1" x14ac:dyDescent="0.25">
      <c r="A36" s="7" t="s">
        <v>42</v>
      </c>
      <c r="B36" s="7" t="s">
        <v>43</v>
      </c>
      <c r="C36" s="8" t="s">
        <v>44</v>
      </c>
      <c r="D36" s="9">
        <f>F36+H36+J36</f>
        <v>0</v>
      </c>
      <c r="E36" s="9">
        <f>G36+I36+K36</f>
        <v>241</v>
      </c>
      <c r="F36" s="10">
        <v>0</v>
      </c>
      <c r="G36" s="10">
        <f>G37</f>
        <v>241</v>
      </c>
      <c r="H36" s="10">
        <v>0</v>
      </c>
      <c r="I36" s="10">
        <f>I37</f>
        <v>0</v>
      </c>
      <c r="J36" s="10">
        <v>0</v>
      </c>
      <c r="K36" s="10">
        <v>0</v>
      </c>
    </row>
    <row r="37" spans="1:11" s="15" customFormat="1" ht="11.45" customHeight="1" x14ac:dyDescent="0.25">
      <c r="A37" s="11"/>
      <c r="B37" s="11"/>
      <c r="C37" s="12" t="s">
        <v>1277</v>
      </c>
      <c r="D37" s="13"/>
      <c r="E37" s="13"/>
      <c r="F37" s="14"/>
      <c r="G37" s="14">
        <f>ROUND(G6*0.03,0)</f>
        <v>241</v>
      </c>
      <c r="H37" s="14"/>
      <c r="I37" s="14"/>
      <c r="J37" s="14"/>
      <c r="K37" s="14"/>
    </row>
    <row r="38" spans="1:11" s="3" customFormat="1" ht="12.75" customHeight="1" x14ac:dyDescent="0.25">
      <c r="A38" s="16" t="s">
        <v>45</v>
      </c>
      <c r="B38" s="16" t="s">
        <v>46</v>
      </c>
      <c r="C38" s="17" t="s">
        <v>47</v>
      </c>
      <c r="D38" s="18">
        <f>D6+D20+D21+D22+D25+D26+D27+D29+D30+D31+D33+D34+D36</f>
        <v>10064</v>
      </c>
      <c r="E38" s="18">
        <f t="shared" ref="E38:K38" si="7">E6+E20+E21+E22+E25+E26+E27+E29+E30+E31+E33+E34+E36</f>
        <v>8995</v>
      </c>
      <c r="F38" s="18">
        <f t="shared" si="7"/>
        <v>8144</v>
      </c>
      <c r="G38" s="18">
        <f t="shared" si="7"/>
        <v>8995</v>
      </c>
      <c r="H38" s="18">
        <f t="shared" si="7"/>
        <v>0</v>
      </c>
      <c r="I38" s="18">
        <f t="shared" si="7"/>
        <v>0</v>
      </c>
      <c r="J38" s="18">
        <f t="shared" si="7"/>
        <v>1920</v>
      </c>
      <c r="K38" s="18">
        <f t="shared" si="7"/>
        <v>0</v>
      </c>
    </row>
    <row r="39" spans="1:11" s="3" customFormat="1" ht="12.75" customHeight="1" x14ac:dyDescent="0.25">
      <c r="A39" s="7" t="s">
        <v>48</v>
      </c>
      <c r="B39" s="7" t="s">
        <v>49</v>
      </c>
      <c r="C39" s="8" t="s">
        <v>50</v>
      </c>
      <c r="D39" s="9">
        <f t="shared" ref="D39:E40" si="8">F39+H39+J39</f>
        <v>0</v>
      </c>
      <c r="E39" s="9">
        <f t="shared" si="8"/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s="3" customFormat="1" ht="12.75" customHeight="1" x14ac:dyDescent="0.25">
      <c r="A40" s="7" t="s">
        <v>51</v>
      </c>
      <c r="B40" s="7" t="s">
        <v>52</v>
      </c>
      <c r="C40" s="8" t="s">
        <v>53</v>
      </c>
      <c r="D40" s="9">
        <f t="shared" si="8"/>
        <v>1232</v>
      </c>
      <c r="E40" s="9">
        <f t="shared" si="8"/>
        <v>680</v>
      </c>
      <c r="F40" s="10">
        <f>F41</f>
        <v>652</v>
      </c>
      <c r="G40" s="10">
        <f t="shared" ref="G40:I40" si="9">G41</f>
        <v>100</v>
      </c>
      <c r="H40" s="10">
        <f t="shared" si="9"/>
        <v>0</v>
      </c>
      <c r="I40" s="10">
        <f t="shared" si="9"/>
        <v>0</v>
      </c>
      <c r="J40" s="10">
        <f>J41</f>
        <v>580</v>
      </c>
      <c r="K40" s="10">
        <f>K41</f>
        <v>580</v>
      </c>
    </row>
    <row r="41" spans="1:11" s="15" customFormat="1" ht="11.45" customHeight="1" x14ac:dyDescent="0.25">
      <c r="A41" s="11"/>
      <c r="B41" s="11"/>
      <c r="C41" s="12" t="s">
        <v>282</v>
      </c>
      <c r="D41" s="13"/>
      <c r="E41" s="13"/>
      <c r="F41" s="14">
        <v>652</v>
      </c>
      <c r="G41" s="14">
        <v>100</v>
      </c>
      <c r="H41" s="14"/>
      <c r="I41" s="14"/>
      <c r="J41" s="14">
        <v>580</v>
      </c>
      <c r="K41" s="14">
        <v>580</v>
      </c>
    </row>
    <row r="42" spans="1:11" s="3" customFormat="1" ht="12.75" customHeight="1" x14ac:dyDescent="0.25">
      <c r="A42" s="7" t="s">
        <v>54</v>
      </c>
      <c r="B42" s="7" t="s">
        <v>55</v>
      </c>
      <c r="C42" s="8" t="s">
        <v>285</v>
      </c>
      <c r="D42" s="9">
        <f>F42+H42+J42</f>
        <v>220</v>
      </c>
      <c r="E42" s="9">
        <f>G42+I42+K42</f>
        <v>160</v>
      </c>
      <c r="F42" s="10">
        <f>F43</f>
        <v>150</v>
      </c>
      <c r="G42" s="10">
        <f t="shared" ref="G42:I42" si="10">G43</f>
        <v>100</v>
      </c>
      <c r="H42" s="10">
        <f t="shared" si="10"/>
        <v>0</v>
      </c>
      <c r="I42" s="10">
        <f t="shared" si="10"/>
        <v>0</v>
      </c>
      <c r="J42" s="10">
        <f>J43</f>
        <v>70</v>
      </c>
      <c r="K42" s="10">
        <f>K43</f>
        <v>60</v>
      </c>
    </row>
    <row r="43" spans="1:11" s="15" customFormat="1" ht="11.45" customHeight="1" x14ac:dyDescent="0.25">
      <c r="A43" s="11"/>
      <c r="B43" s="11"/>
      <c r="C43" s="12" t="s">
        <v>283</v>
      </c>
      <c r="D43" s="13"/>
      <c r="E43" s="13"/>
      <c r="F43" s="14">
        <v>150</v>
      </c>
      <c r="G43" s="14">
        <v>100</v>
      </c>
      <c r="H43" s="14"/>
      <c r="I43" s="14"/>
      <c r="J43" s="14">
        <v>70</v>
      </c>
      <c r="K43" s="14">
        <v>60</v>
      </c>
    </row>
    <row r="44" spans="1:11" s="3" customFormat="1" ht="12.75" customHeight="1" x14ac:dyDescent="0.25">
      <c r="A44" s="16" t="s">
        <v>56</v>
      </c>
      <c r="B44" s="16" t="s">
        <v>57</v>
      </c>
      <c r="C44" s="17" t="s">
        <v>58</v>
      </c>
      <c r="D44" s="18">
        <f>D39+D40+D42</f>
        <v>1452</v>
      </c>
      <c r="E44" s="18">
        <f t="shared" ref="E44:K44" si="11">E39+E40+E42</f>
        <v>840</v>
      </c>
      <c r="F44" s="18">
        <f t="shared" si="11"/>
        <v>802</v>
      </c>
      <c r="G44" s="18">
        <f t="shared" si="11"/>
        <v>200</v>
      </c>
      <c r="H44" s="18">
        <f t="shared" si="11"/>
        <v>0</v>
      </c>
      <c r="I44" s="18">
        <f t="shared" si="11"/>
        <v>0</v>
      </c>
      <c r="J44" s="18">
        <f t="shared" si="11"/>
        <v>650</v>
      </c>
      <c r="K44" s="18">
        <f t="shared" si="11"/>
        <v>640</v>
      </c>
    </row>
    <row r="45" spans="1:11" s="3" customFormat="1" ht="12.75" customHeight="1" x14ac:dyDescent="0.25">
      <c r="A45" s="20" t="s">
        <v>59</v>
      </c>
      <c r="B45" s="20" t="s">
        <v>60</v>
      </c>
      <c r="C45" s="21" t="s">
        <v>286</v>
      </c>
      <c r="D45" s="22">
        <f>D38+D44</f>
        <v>11516</v>
      </c>
      <c r="E45" s="22">
        <f t="shared" ref="E45:K45" si="12">E38+E44</f>
        <v>9835</v>
      </c>
      <c r="F45" s="22">
        <f t="shared" si="12"/>
        <v>8946</v>
      </c>
      <c r="G45" s="22">
        <f t="shared" si="12"/>
        <v>9195</v>
      </c>
      <c r="H45" s="22">
        <f t="shared" si="12"/>
        <v>0</v>
      </c>
      <c r="I45" s="22">
        <f t="shared" si="12"/>
        <v>0</v>
      </c>
      <c r="J45" s="22">
        <f t="shared" si="12"/>
        <v>2570</v>
      </c>
      <c r="K45" s="22">
        <f t="shared" si="12"/>
        <v>640</v>
      </c>
    </row>
    <row r="46" spans="1:11" s="15" customFormat="1" ht="11.45" customHeight="1" x14ac:dyDescent="0.25">
      <c r="A46" s="11"/>
      <c r="B46" s="11"/>
      <c r="C46" s="12" t="s">
        <v>284</v>
      </c>
      <c r="D46" s="13">
        <f>H46+F46+J46</f>
        <v>2961</v>
      </c>
      <c r="E46" s="13">
        <f>I46+G46+K46</f>
        <v>2374</v>
      </c>
      <c r="F46" s="13">
        <v>2267</v>
      </c>
      <c r="G46" s="13">
        <f>ROUND((G6+G20+G21+G22+G25+G26+G34+G40)*0.27,0)</f>
        <v>2217</v>
      </c>
      <c r="H46" s="13">
        <f t="shared" ref="H46:I46" si="13">ROUND((H6+H20+H21+H22+H25+H26+H40)*0.27,0)</f>
        <v>0</v>
      </c>
      <c r="I46" s="13">
        <f t="shared" si="13"/>
        <v>0</v>
      </c>
      <c r="J46" s="13">
        <v>694</v>
      </c>
      <c r="K46" s="13">
        <f>ROUND((K6+K20+K21+K22+K25+K26+K40)*0.27,0)</f>
        <v>157</v>
      </c>
    </row>
    <row r="47" spans="1:11" s="15" customFormat="1" ht="11.45" customHeight="1" x14ac:dyDescent="0.25">
      <c r="A47" s="11"/>
      <c r="B47" s="11"/>
      <c r="C47" s="12" t="s">
        <v>61</v>
      </c>
      <c r="D47" s="13">
        <f t="shared" ref="D47:E49" si="14">H47+F47+J47</f>
        <v>150</v>
      </c>
      <c r="E47" s="13">
        <f t="shared" si="14"/>
        <v>193</v>
      </c>
      <c r="F47" s="14">
        <v>106</v>
      </c>
      <c r="G47" s="13">
        <f>ROUND(G27*1.19*0.14+(G42+G36)*1.19*0.27,0)</f>
        <v>174</v>
      </c>
      <c r="H47" s="14"/>
      <c r="I47" s="14"/>
      <c r="J47" s="14">
        <v>44</v>
      </c>
      <c r="K47" s="13">
        <f>ROUND(K27*1.19*0.14+(K42+K36)*1.19*0.27,0)</f>
        <v>19</v>
      </c>
    </row>
    <row r="48" spans="1:11" s="15" customFormat="1" ht="11.45" customHeight="1" x14ac:dyDescent="0.25">
      <c r="A48" s="11"/>
      <c r="B48" s="11"/>
      <c r="C48" s="12" t="s">
        <v>62</v>
      </c>
      <c r="D48" s="13">
        <f t="shared" si="14"/>
        <v>0</v>
      </c>
      <c r="E48" s="13">
        <f t="shared" si="14"/>
        <v>0</v>
      </c>
      <c r="F48" s="14">
        <v>0</v>
      </c>
      <c r="G48" s="14"/>
      <c r="H48" s="14"/>
      <c r="I48" s="14"/>
      <c r="J48" s="14">
        <v>0</v>
      </c>
      <c r="K48" s="14"/>
    </row>
    <row r="49" spans="1:11" s="15" customFormat="1" ht="11.45" customHeight="1" x14ac:dyDescent="0.25">
      <c r="A49" s="11"/>
      <c r="B49" s="11"/>
      <c r="C49" s="12" t="s">
        <v>63</v>
      </c>
      <c r="D49" s="13">
        <f t="shared" si="14"/>
        <v>121</v>
      </c>
      <c r="E49" s="13">
        <f t="shared" si="14"/>
        <v>149</v>
      </c>
      <c r="F49" s="14">
        <v>95</v>
      </c>
      <c r="G49" s="14">
        <f>ROUND((G43+G37+G28)*1.19*0.16,0)</f>
        <v>138</v>
      </c>
      <c r="H49" s="14"/>
      <c r="I49" s="14"/>
      <c r="J49" s="14">
        <v>26</v>
      </c>
      <c r="K49" s="14">
        <f>ROUND((K43+K37+K28)*1.19*0.16,0)</f>
        <v>11</v>
      </c>
    </row>
    <row r="50" spans="1:11" s="3" customFormat="1" ht="12.75" customHeight="1" x14ac:dyDescent="0.25">
      <c r="A50" s="20" t="s">
        <v>64</v>
      </c>
      <c r="B50" s="20" t="s">
        <v>65</v>
      </c>
      <c r="C50" s="21" t="s">
        <v>287</v>
      </c>
      <c r="D50" s="22">
        <f>D46+D47+D48+D49</f>
        <v>3232</v>
      </c>
      <c r="E50" s="22">
        <f t="shared" ref="E50:K50" si="15">E46+E47+E48+E49</f>
        <v>2716</v>
      </c>
      <c r="F50" s="22">
        <f t="shared" si="15"/>
        <v>2468</v>
      </c>
      <c r="G50" s="22">
        <f t="shared" si="15"/>
        <v>2529</v>
      </c>
      <c r="H50" s="22">
        <f t="shared" si="15"/>
        <v>0</v>
      </c>
      <c r="I50" s="22">
        <f t="shared" si="15"/>
        <v>0</v>
      </c>
      <c r="J50" s="22">
        <f t="shared" si="15"/>
        <v>764</v>
      </c>
      <c r="K50" s="22">
        <f t="shared" si="15"/>
        <v>187</v>
      </c>
    </row>
    <row r="51" spans="1:11" s="3" customFormat="1" ht="14.1" customHeight="1" x14ac:dyDescent="0.25">
      <c r="A51" s="1018" t="s">
        <v>66</v>
      </c>
      <c r="B51" s="1019"/>
      <c r="C51" s="1020"/>
      <c r="D51" s="30">
        <f>D45+D50</f>
        <v>14748</v>
      </c>
      <c r="E51" s="30">
        <f t="shared" ref="E51:K51" si="16">E45+E50</f>
        <v>12551</v>
      </c>
      <c r="F51" s="30">
        <f t="shared" si="16"/>
        <v>11414</v>
      </c>
      <c r="G51" s="30">
        <f t="shared" si="16"/>
        <v>11724</v>
      </c>
      <c r="H51" s="30">
        <f t="shared" si="16"/>
        <v>0</v>
      </c>
      <c r="I51" s="30">
        <f t="shared" si="16"/>
        <v>0</v>
      </c>
      <c r="J51" s="30">
        <f t="shared" si="16"/>
        <v>3334</v>
      </c>
      <c r="K51" s="30">
        <f t="shared" si="16"/>
        <v>827</v>
      </c>
    </row>
    <row r="52" spans="1:11" s="1" customFormat="1" ht="12.75" customHeight="1" x14ac:dyDescent="0.25">
      <c r="A52" s="1028" t="s">
        <v>583</v>
      </c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</row>
    <row r="53" spans="1:11" s="1" customFormat="1" ht="14.1" customHeight="1" x14ac:dyDescent="0.25">
      <c r="A53" s="1022" t="s">
        <v>0</v>
      </c>
      <c r="B53" s="1023" t="s">
        <v>1</v>
      </c>
      <c r="C53" s="1022" t="s">
        <v>2</v>
      </c>
      <c r="D53" s="1024" t="s">
        <v>260</v>
      </c>
      <c r="E53" s="1014" t="s">
        <v>259</v>
      </c>
      <c r="F53" s="1016" t="s">
        <v>360</v>
      </c>
      <c r="G53" s="1017"/>
      <c r="H53" s="1016" t="s">
        <v>585</v>
      </c>
      <c r="I53" s="1017"/>
      <c r="J53" s="1016" t="s">
        <v>361</v>
      </c>
      <c r="K53" s="1017"/>
    </row>
    <row r="54" spans="1:11" s="3" customFormat="1" ht="33" customHeight="1" x14ac:dyDescent="0.25">
      <c r="A54" s="1022"/>
      <c r="B54" s="1023"/>
      <c r="C54" s="1022"/>
      <c r="D54" s="1024"/>
      <c r="E54" s="1015"/>
      <c r="F54" s="98" t="s">
        <v>260</v>
      </c>
      <c r="G54" s="98" t="s">
        <v>259</v>
      </c>
      <c r="H54" s="98" t="s">
        <v>260</v>
      </c>
      <c r="I54" s="98" t="s">
        <v>259</v>
      </c>
      <c r="J54" s="98" t="s">
        <v>260</v>
      </c>
      <c r="K54" s="98" t="s">
        <v>259</v>
      </c>
    </row>
    <row r="55" spans="1:11" ht="5.65" customHeight="1" x14ac:dyDescent="0.25"/>
    <row r="56" spans="1:11" ht="14.1" customHeight="1" x14ac:dyDescent="0.25">
      <c r="A56" s="1021" t="s">
        <v>288</v>
      </c>
      <c r="B56" s="1021"/>
      <c r="C56" s="1021"/>
      <c r="D56" s="1021"/>
      <c r="E56" s="1021"/>
      <c r="F56" s="1021"/>
      <c r="G56" s="1021"/>
      <c r="H56" s="1021"/>
      <c r="I56" s="1021"/>
      <c r="J56" s="102"/>
      <c r="K56" s="102"/>
    </row>
    <row r="57" spans="1:11" s="3" customFormat="1" ht="14.1" customHeight="1" x14ac:dyDescent="0.25">
      <c r="A57" s="7" t="s">
        <v>67</v>
      </c>
      <c r="B57" s="7" t="s">
        <v>68</v>
      </c>
      <c r="C57" s="8" t="s">
        <v>69</v>
      </c>
      <c r="D57" s="9">
        <f>F57+H57+J57</f>
        <v>2000</v>
      </c>
      <c r="E57" s="9">
        <f>G57+I57+K57</f>
        <v>600</v>
      </c>
      <c r="F57" s="10">
        <f>SUM(F58:F63)</f>
        <v>0</v>
      </c>
      <c r="G57" s="10">
        <f t="shared" ref="G57:K57" si="17">SUM(G58:G63)</f>
        <v>0</v>
      </c>
      <c r="H57" s="10">
        <f t="shared" si="17"/>
        <v>2000</v>
      </c>
      <c r="I57" s="10">
        <f t="shared" si="17"/>
        <v>600</v>
      </c>
      <c r="J57" s="10">
        <f t="shared" si="17"/>
        <v>0</v>
      </c>
      <c r="K57" s="10">
        <f t="shared" si="17"/>
        <v>0</v>
      </c>
    </row>
    <row r="58" spans="1:11" ht="14.1" customHeight="1" x14ac:dyDescent="0.25">
      <c r="A58" s="24"/>
      <c r="B58" s="24"/>
      <c r="C58" s="25" t="s">
        <v>70</v>
      </c>
      <c r="D58" s="26"/>
      <c r="E58" s="26"/>
      <c r="F58" s="26">
        <v>0</v>
      </c>
      <c r="G58" s="26"/>
      <c r="H58" s="26"/>
      <c r="I58" s="26"/>
      <c r="J58" s="26"/>
      <c r="K58" s="26"/>
    </row>
    <row r="59" spans="1:11" ht="14.1" customHeight="1" x14ac:dyDescent="0.25">
      <c r="A59" s="24"/>
      <c r="B59" s="24"/>
      <c r="C59" s="25" t="s">
        <v>71</v>
      </c>
      <c r="D59" s="26"/>
      <c r="E59" s="26"/>
      <c r="F59" s="26">
        <v>0</v>
      </c>
      <c r="G59" s="26"/>
      <c r="H59" s="26"/>
      <c r="I59" s="26"/>
      <c r="J59" s="26"/>
      <c r="K59" s="26"/>
    </row>
    <row r="60" spans="1:11" ht="14.1" customHeight="1" x14ac:dyDescent="0.25">
      <c r="A60" s="24"/>
      <c r="B60" s="24"/>
      <c r="C60" s="25" t="s">
        <v>72</v>
      </c>
      <c r="D60" s="26"/>
      <c r="E60" s="26"/>
      <c r="F60" s="26">
        <v>0</v>
      </c>
      <c r="G60" s="26"/>
      <c r="H60" s="26"/>
      <c r="I60" s="26"/>
      <c r="J60" s="26"/>
      <c r="K60" s="26"/>
    </row>
    <row r="61" spans="1:11" ht="14.1" customHeight="1" x14ac:dyDescent="0.25">
      <c r="A61" s="24"/>
      <c r="B61" s="24"/>
      <c r="C61" s="25" t="s">
        <v>73</v>
      </c>
      <c r="D61" s="26"/>
      <c r="E61" s="26"/>
      <c r="F61" s="26">
        <v>0</v>
      </c>
      <c r="G61" s="26"/>
      <c r="H61" s="26">
        <v>55</v>
      </c>
      <c r="I61" s="26">
        <v>150</v>
      </c>
      <c r="J61" s="26"/>
      <c r="K61" s="26"/>
    </row>
    <row r="62" spans="1:11" ht="14.1" customHeight="1" x14ac:dyDescent="0.25">
      <c r="A62" s="24"/>
      <c r="B62" s="24"/>
      <c r="C62" s="25" t="s">
        <v>74</v>
      </c>
      <c r="D62" s="26"/>
      <c r="E62" s="26"/>
      <c r="F62" s="26">
        <v>0</v>
      </c>
      <c r="G62" s="26"/>
      <c r="H62" s="26">
        <v>245</v>
      </c>
      <c r="I62" s="26">
        <v>450</v>
      </c>
      <c r="J62" s="26"/>
      <c r="K62" s="26"/>
    </row>
    <row r="63" spans="1:11" ht="14.1" customHeight="1" x14ac:dyDescent="0.25">
      <c r="A63" s="24"/>
      <c r="B63" s="24"/>
      <c r="C63" s="25" t="s">
        <v>75</v>
      </c>
      <c r="D63" s="26"/>
      <c r="E63" s="26"/>
      <c r="F63" s="26">
        <v>0</v>
      </c>
      <c r="G63" s="26"/>
      <c r="H63" s="26">
        <v>1700</v>
      </c>
      <c r="I63" s="26"/>
      <c r="J63" s="26"/>
      <c r="K63" s="26"/>
    </row>
    <row r="64" spans="1:11" s="3" customFormat="1" ht="14.1" customHeight="1" x14ac:dyDescent="0.25">
      <c r="A64" s="7" t="s">
        <v>76</v>
      </c>
      <c r="B64" s="7" t="s">
        <v>77</v>
      </c>
      <c r="C64" s="8" t="s">
        <v>78</v>
      </c>
      <c r="D64" s="9">
        <f>F64+H64+J64</f>
        <v>270</v>
      </c>
      <c r="E64" s="9">
        <f>G64+I64+K64</f>
        <v>410</v>
      </c>
      <c r="F64" s="10">
        <f>SUM(F65:F70)</f>
        <v>250</v>
      </c>
      <c r="G64" s="10">
        <f>SUM(G65:G70)</f>
        <v>390</v>
      </c>
      <c r="H64" s="10">
        <f>SUM(H65:H70)</f>
        <v>0</v>
      </c>
      <c r="I64" s="10">
        <f>SUM(I65:I70)</f>
        <v>0</v>
      </c>
      <c r="J64" s="10">
        <f t="shared" ref="J64:K64" si="18">SUM(J65:J70)</f>
        <v>20</v>
      </c>
      <c r="K64" s="10">
        <f t="shared" si="18"/>
        <v>20</v>
      </c>
    </row>
    <row r="65" spans="1:11" ht="14.1" customHeight="1" x14ac:dyDescent="0.25">
      <c r="A65" s="24"/>
      <c r="B65" s="24"/>
      <c r="C65" s="25" t="s">
        <v>79</v>
      </c>
      <c r="D65" s="26"/>
      <c r="E65" s="26"/>
      <c r="F65" s="26"/>
      <c r="G65" s="26"/>
      <c r="H65" s="26"/>
      <c r="I65" s="26"/>
      <c r="J65" s="26"/>
      <c r="K65" s="26"/>
    </row>
    <row r="66" spans="1:11" ht="14.1" customHeight="1" x14ac:dyDescent="0.25">
      <c r="A66" s="24"/>
      <c r="B66" s="24"/>
      <c r="C66" s="25" t="s">
        <v>80</v>
      </c>
      <c r="D66" s="26"/>
      <c r="E66" s="26"/>
      <c r="F66" s="26">
        <v>120</v>
      </c>
      <c r="G66" s="26">
        <v>120</v>
      </c>
      <c r="H66" s="26"/>
      <c r="I66" s="26"/>
      <c r="J66" s="26"/>
      <c r="K66" s="26"/>
    </row>
    <row r="67" spans="1:11" ht="14.1" customHeight="1" x14ac:dyDescent="0.25">
      <c r="A67" s="24"/>
      <c r="B67" s="24"/>
      <c r="C67" s="25" t="s">
        <v>81</v>
      </c>
      <c r="D67" s="26"/>
      <c r="E67" s="26"/>
      <c r="F67" s="26"/>
      <c r="G67" s="26"/>
      <c r="H67" s="26"/>
      <c r="I67" s="26"/>
      <c r="J67" s="26"/>
      <c r="K67" s="26"/>
    </row>
    <row r="68" spans="1:11" ht="14.1" customHeight="1" x14ac:dyDescent="0.25">
      <c r="A68" s="24"/>
      <c r="B68" s="24"/>
      <c r="C68" s="25" t="s">
        <v>82</v>
      </c>
      <c r="D68" s="26"/>
      <c r="E68" s="26"/>
      <c r="F68" s="26"/>
      <c r="G68" s="26"/>
      <c r="H68" s="26"/>
      <c r="I68" s="26"/>
      <c r="J68" s="26"/>
      <c r="K68" s="26"/>
    </row>
    <row r="69" spans="1:11" ht="14.1" customHeight="1" x14ac:dyDescent="0.25">
      <c r="A69" s="24"/>
      <c r="B69" s="24"/>
      <c r="C69" s="25" t="s">
        <v>83</v>
      </c>
      <c r="D69" s="26"/>
      <c r="E69" s="26"/>
      <c r="F69" s="26"/>
      <c r="G69" s="26"/>
      <c r="H69" s="26"/>
      <c r="I69" s="26"/>
      <c r="J69" s="26"/>
      <c r="K69" s="26"/>
    </row>
    <row r="70" spans="1:11" ht="14.1" customHeight="1" x14ac:dyDescent="0.25">
      <c r="A70" s="24"/>
      <c r="B70" s="24"/>
      <c r="C70" s="25" t="s">
        <v>84</v>
      </c>
      <c r="D70" s="26"/>
      <c r="E70" s="26"/>
      <c r="F70" s="26">
        <v>130</v>
      </c>
      <c r="G70" s="26">
        <v>270</v>
      </c>
      <c r="H70" s="26"/>
      <c r="I70" s="26"/>
      <c r="J70" s="26">
        <v>20</v>
      </c>
      <c r="K70" s="26">
        <v>20</v>
      </c>
    </row>
    <row r="71" spans="1:11" s="3" customFormat="1" ht="14.1" customHeight="1" x14ac:dyDescent="0.25">
      <c r="A71" s="7" t="s">
        <v>85</v>
      </c>
      <c r="B71" s="7" t="s">
        <v>86</v>
      </c>
      <c r="C71" s="8" t="s">
        <v>87</v>
      </c>
      <c r="D71" s="9">
        <f>F71+H71+J71</f>
        <v>0</v>
      </c>
      <c r="E71" s="9">
        <f>G71+I71+K71</f>
        <v>0</v>
      </c>
      <c r="F71" s="10">
        <f>SUM(F72:F73)</f>
        <v>0</v>
      </c>
      <c r="G71" s="10">
        <f t="shared" ref="G71:K71" si="19">SUM(G72:G73)</f>
        <v>0</v>
      </c>
      <c r="H71" s="10">
        <f t="shared" si="19"/>
        <v>0</v>
      </c>
      <c r="I71" s="10">
        <f t="shared" si="19"/>
        <v>0</v>
      </c>
      <c r="J71" s="10">
        <f t="shared" si="19"/>
        <v>0</v>
      </c>
      <c r="K71" s="10">
        <f t="shared" si="19"/>
        <v>0</v>
      </c>
    </row>
    <row r="72" spans="1:11" ht="14.1" customHeight="1" x14ac:dyDescent="0.25">
      <c r="A72" s="24"/>
      <c r="B72" s="24"/>
      <c r="C72" s="25" t="s">
        <v>88</v>
      </c>
      <c r="D72" s="26"/>
      <c r="E72" s="26"/>
      <c r="F72" s="26"/>
      <c r="G72" s="26"/>
      <c r="H72" s="26"/>
      <c r="I72" s="26"/>
      <c r="J72" s="26"/>
      <c r="K72" s="26"/>
    </row>
    <row r="73" spans="1:11" ht="14.1" customHeight="1" x14ac:dyDescent="0.25">
      <c r="A73" s="24"/>
      <c r="B73" s="24"/>
      <c r="C73" s="25" t="s">
        <v>89</v>
      </c>
      <c r="D73" s="26"/>
      <c r="E73" s="26"/>
      <c r="F73" s="26"/>
      <c r="G73" s="26"/>
      <c r="H73" s="26"/>
      <c r="I73" s="26"/>
      <c r="J73" s="26"/>
      <c r="K73" s="26"/>
    </row>
    <row r="74" spans="1:11" s="3" customFormat="1" ht="14.1" customHeight="1" x14ac:dyDescent="0.25">
      <c r="A74" s="16" t="s">
        <v>90</v>
      </c>
      <c r="B74" s="16" t="s">
        <v>91</v>
      </c>
      <c r="C74" s="17" t="s">
        <v>92</v>
      </c>
      <c r="D74" s="19">
        <f>D57+D64</f>
        <v>2270</v>
      </c>
      <c r="E74" s="19">
        <f t="shared" ref="E74:K74" si="20">E57+E64</f>
        <v>1010</v>
      </c>
      <c r="F74" s="19">
        <f t="shared" si="20"/>
        <v>250</v>
      </c>
      <c r="G74" s="19">
        <f t="shared" si="20"/>
        <v>390</v>
      </c>
      <c r="H74" s="19">
        <f t="shared" si="20"/>
        <v>2000</v>
      </c>
      <c r="I74" s="19">
        <f t="shared" si="20"/>
        <v>600</v>
      </c>
      <c r="J74" s="19">
        <f t="shared" si="20"/>
        <v>20</v>
      </c>
      <c r="K74" s="19">
        <f t="shared" si="20"/>
        <v>20</v>
      </c>
    </row>
    <row r="75" spans="1:11" s="3" customFormat="1" ht="14.1" customHeight="1" x14ac:dyDescent="0.25">
      <c r="A75" s="7" t="s">
        <v>93</v>
      </c>
      <c r="B75" s="7" t="s">
        <v>94</v>
      </c>
      <c r="C75" s="8" t="s">
        <v>95</v>
      </c>
      <c r="D75" s="9">
        <f>F75+H75+J75</f>
        <v>683</v>
      </c>
      <c r="E75" s="9">
        <f>G75+I75+K75</f>
        <v>650</v>
      </c>
      <c r="F75" s="10">
        <f>SUM(F76:F81)</f>
        <v>683</v>
      </c>
      <c r="G75" s="10">
        <f>SUM(G76:G81)</f>
        <v>650</v>
      </c>
      <c r="H75" s="10">
        <f t="shared" ref="H75:K75" si="21">SUM(H76:H81)</f>
        <v>0</v>
      </c>
      <c r="I75" s="10">
        <f t="shared" si="21"/>
        <v>0</v>
      </c>
      <c r="J75" s="10">
        <f t="shared" si="21"/>
        <v>0</v>
      </c>
      <c r="K75" s="10">
        <f t="shared" si="21"/>
        <v>0</v>
      </c>
    </row>
    <row r="76" spans="1:11" ht="14.1" customHeight="1" x14ac:dyDescent="0.25">
      <c r="A76" s="24"/>
      <c r="B76" s="24"/>
      <c r="C76" s="25" t="s">
        <v>96</v>
      </c>
      <c r="D76" s="26"/>
      <c r="E76" s="26"/>
      <c r="F76" s="26"/>
      <c r="G76" s="26"/>
      <c r="H76" s="26"/>
      <c r="I76" s="26"/>
      <c r="J76" s="26"/>
      <c r="K76" s="26"/>
    </row>
    <row r="77" spans="1:11" ht="14.1" customHeight="1" x14ac:dyDescent="0.25">
      <c r="A77" s="24"/>
      <c r="B77" s="24"/>
      <c r="C77" s="25" t="s">
        <v>97</v>
      </c>
      <c r="D77" s="26"/>
      <c r="E77" s="26"/>
      <c r="F77" s="26">
        <v>513</v>
      </c>
      <c r="G77" s="26">
        <f>400+100</f>
        <v>500</v>
      </c>
      <c r="H77" s="26"/>
      <c r="I77" s="26"/>
      <c r="J77" s="26"/>
      <c r="K77" s="26"/>
    </row>
    <row r="78" spans="1:11" ht="14.1" customHeight="1" x14ac:dyDescent="0.25">
      <c r="A78" s="24"/>
      <c r="B78" s="24"/>
      <c r="C78" s="25" t="s">
        <v>98</v>
      </c>
      <c r="D78" s="26"/>
      <c r="E78" s="26"/>
      <c r="F78" s="26"/>
      <c r="G78" s="26"/>
      <c r="H78" s="26"/>
      <c r="I78" s="26"/>
      <c r="J78" s="26"/>
      <c r="K78" s="26"/>
    </row>
    <row r="79" spans="1:11" ht="14.1" customHeight="1" x14ac:dyDescent="0.25">
      <c r="A79" s="24"/>
      <c r="B79" s="24"/>
      <c r="C79" s="25" t="s">
        <v>99</v>
      </c>
      <c r="D79" s="26"/>
      <c r="E79" s="26"/>
      <c r="F79" s="26">
        <v>170</v>
      </c>
      <c r="G79" s="26">
        <v>150</v>
      </c>
      <c r="H79" s="26"/>
      <c r="I79" s="26"/>
      <c r="J79" s="26"/>
      <c r="K79" s="26"/>
    </row>
    <row r="80" spans="1:11" ht="14.1" customHeight="1" x14ac:dyDescent="0.25">
      <c r="A80" s="24"/>
      <c r="B80" s="24"/>
      <c r="C80" s="25" t="s">
        <v>100</v>
      </c>
      <c r="D80" s="26"/>
      <c r="E80" s="26"/>
      <c r="F80" s="26"/>
      <c r="G80" s="26"/>
      <c r="H80" s="26"/>
      <c r="I80" s="26"/>
      <c r="J80" s="26"/>
      <c r="K80" s="26"/>
    </row>
    <row r="81" spans="1:11" ht="14.1" customHeight="1" x14ac:dyDescent="0.25">
      <c r="A81" s="24"/>
      <c r="B81" s="24"/>
      <c r="C81" s="25" t="s">
        <v>101</v>
      </c>
      <c r="D81" s="26"/>
      <c r="E81" s="26"/>
      <c r="F81" s="26"/>
      <c r="G81" s="26"/>
      <c r="H81" s="26"/>
      <c r="I81" s="26"/>
      <c r="J81" s="26"/>
      <c r="K81" s="26"/>
    </row>
    <row r="82" spans="1:11" s="3" customFormat="1" ht="14.1" customHeight="1" x14ac:dyDescent="0.25">
      <c r="A82" s="7" t="s">
        <v>102</v>
      </c>
      <c r="B82" s="7" t="s">
        <v>103</v>
      </c>
      <c r="C82" s="8" t="s">
        <v>104</v>
      </c>
      <c r="D82" s="9">
        <f>F82+H82+J82</f>
        <v>200</v>
      </c>
      <c r="E82" s="9">
        <f>G82+I82+K82</f>
        <v>160</v>
      </c>
      <c r="F82" s="10">
        <f>SUM(F83:F84)</f>
        <v>140</v>
      </c>
      <c r="G82" s="10">
        <f t="shared" ref="G82:K82" si="22">SUM(G83:G84)</f>
        <v>100</v>
      </c>
      <c r="H82" s="10">
        <f t="shared" si="22"/>
        <v>0</v>
      </c>
      <c r="I82" s="10">
        <f t="shared" si="22"/>
        <v>0</v>
      </c>
      <c r="J82" s="10">
        <f t="shared" si="22"/>
        <v>60</v>
      </c>
      <c r="K82" s="10">
        <f t="shared" si="22"/>
        <v>60</v>
      </c>
    </row>
    <row r="83" spans="1:11" ht="14.1" customHeight="1" x14ac:dyDescent="0.25">
      <c r="A83" s="24"/>
      <c r="B83" s="24"/>
      <c r="C83" s="25" t="s">
        <v>105</v>
      </c>
      <c r="D83" s="26"/>
      <c r="E83" s="26"/>
      <c r="F83" s="26">
        <v>140</v>
      </c>
      <c r="G83" s="26">
        <v>100</v>
      </c>
      <c r="H83" s="26"/>
      <c r="I83" s="26"/>
      <c r="J83" s="26">
        <v>60</v>
      </c>
      <c r="K83" s="26">
        <v>60</v>
      </c>
    </row>
    <row r="84" spans="1:11" ht="14.1" customHeight="1" x14ac:dyDescent="0.25">
      <c r="A84" s="24"/>
      <c r="B84" s="24"/>
      <c r="C84" s="25" t="s">
        <v>106</v>
      </c>
      <c r="D84" s="26"/>
      <c r="E84" s="26"/>
      <c r="F84" s="26"/>
      <c r="G84" s="26"/>
      <c r="H84" s="26"/>
      <c r="I84" s="26"/>
      <c r="J84" s="26"/>
      <c r="K84" s="26"/>
    </row>
    <row r="85" spans="1:11" s="3" customFormat="1" ht="14.1" customHeight="1" x14ac:dyDescent="0.25">
      <c r="A85" s="16" t="s">
        <v>107</v>
      </c>
      <c r="B85" s="16" t="s">
        <v>108</v>
      </c>
      <c r="C85" s="17" t="s">
        <v>109</v>
      </c>
      <c r="D85" s="19">
        <f>D75+D82</f>
        <v>883</v>
      </c>
      <c r="E85" s="19">
        <f t="shared" ref="E85:K85" si="23">E75+E82</f>
        <v>810</v>
      </c>
      <c r="F85" s="19">
        <f t="shared" si="23"/>
        <v>823</v>
      </c>
      <c r="G85" s="19">
        <f t="shared" si="23"/>
        <v>750</v>
      </c>
      <c r="H85" s="19">
        <f t="shared" si="23"/>
        <v>0</v>
      </c>
      <c r="I85" s="19">
        <f t="shared" si="23"/>
        <v>0</v>
      </c>
      <c r="J85" s="19">
        <f t="shared" si="23"/>
        <v>60</v>
      </c>
      <c r="K85" s="19">
        <f t="shared" si="23"/>
        <v>60</v>
      </c>
    </row>
    <row r="86" spans="1:11" s="3" customFormat="1" ht="14.1" customHeight="1" x14ac:dyDescent="0.25">
      <c r="A86" s="7" t="s">
        <v>110</v>
      </c>
      <c r="B86" s="7" t="s">
        <v>111</v>
      </c>
      <c r="C86" s="8" t="s">
        <v>112</v>
      </c>
      <c r="D86" s="9">
        <f>F86+H86+J86</f>
        <v>2745</v>
      </c>
      <c r="E86" s="9">
        <f>G86+I86+K86</f>
        <v>2520</v>
      </c>
      <c r="F86" s="10">
        <f>SUM(F87:F89)</f>
        <v>2360</v>
      </c>
      <c r="G86" s="10">
        <f t="shared" ref="G86:K86" si="24">SUM(G87:G89)</f>
        <v>2100</v>
      </c>
      <c r="H86" s="10">
        <f t="shared" si="24"/>
        <v>0</v>
      </c>
      <c r="I86" s="10">
        <f t="shared" si="24"/>
        <v>0</v>
      </c>
      <c r="J86" s="10">
        <f t="shared" si="24"/>
        <v>385</v>
      </c>
      <c r="K86" s="10">
        <f t="shared" si="24"/>
        <v>420</v>
      </c>
    </row>
    <row r="87" spans="1:11" ht="14.1" customHeight="1" x14ac:dyDescent="0.25">
      <c r="A87" s="24"/>
      <c r="B87" s="24"/>
      <c r="C87" s="25" t="s">
        <v>113</v>
      </c>
      <c r="D87" s="26"/>
      <c r="E87" s="26"/>
      <c r="F87" s="26">
        <v>1200</v>
      </c>
      <c r="G87" s="26">
        <v>1000</v>
      </c>
      <c r="H87" s="26"/>
      <c r="I87" s="26"/>
      <c r="J87" s="26">
        <v>25</v>
      </c>
      <c r="K87" s="26">
        <v>200</v>
      </c>
    </row>
    <row r="88" spans="1:11" ht="14.1" customHeight="1" x14ac:dyDescent="0.25">
      <c r="A88" s="24"/>
      <c r="B88" s="24"/>
      <c r="C88" s="25" t="s">
        <v>114</v>
      </c>
      <c r="D88" s="26"/>
      <c r="E88" s="26"/>
      <c r="F88" s="26">
        <v>1100</v>
      </c>
      <c r="G88" s="26">
        <v>1040</v>
      </c>
      <c r="H88" s="26"/>
      <c r="I88" s="26"/>
      <c r="J88" s="26">
        <v>350</v>
      </c>
      <c r="K88" s="26">
        <v>210</v>
      </c>
    </row>
    <row r="89" spans="1:11" ht="14.1" customHeight="1" x14ac:dyDescent="0.25">
      <c r="A89" s="24"/>
      <c r="B89" s="24"/>
      <c r="C89" s="25" t="s">
        <v>115</v>
      </c>
      <c r="D89" s="26"/>
      <c r="E89" s="26"/>
      <c r="F89" s="26">
        <v>60</v>
      </c>
      <c r="G89" s="26">
        <v>60</v>
      </c>
      <c r="H89" s="26"/>
      <c r="I89" s="26"/>
      <c r="J89" s="26">
        <v>10</v>
      </c>
      <c r="K89" s="26">
        <v>10</v>
      </c>
    </row>
    <row r="90" spans="1:11" s="3" customFormat="1" ht="14.1" customHeight="1" x14ac:dyDescent="0.25">
      <c r="A90" s="7" t="s">
        <v>116</v>
      </c>
      <c r="B90" s="7" t="s">
        <v>117</v>
      </c>
      <c r="C90" s="8" t="s">
        <v>118</v>
      </c>
      <c r="D90" s="9">
        <f>F90+H90+J90</f>
        <v>0</v>
      </c>
      <c r="E90" s="9">
        <f>G90+I90+K90</f>
        <v>0</v>
      </c>
      <c r="F90" s="10">
        <v>0</v>
      </c>
      <c r="G90" s="10">
        <f>G91</f>
        <v>0</v>
      </c>
      <c r="H90" s="10">
        <v>0</v>
      </c>
      <c r="I90" s="10">
        <f>I91</f>
        <v>0</v>
      </c>
      <c r="J90" s="10">
        <f t="shared" ref="J90:K90" si="25">J91</f>
        <v>0</v>
      </c>
      <c r="K90" s="10">
        <f t="shared" si="25"/>
        <v>0</v>
      </c>
    </row>
    <row r="91" spans="1:11" s="3" customFormat="1" ht="14.1" customHeight="1" x14ac:dyDescent="0.25">
      <c r="A91" s="24"/>
      <c r="B91" s="24"/>
      <c r="C91" s="25"/>
      <c r="D91" s="26"/>
      <c r="E91" s="26"/>
      <c r="F91" s="26"/>
      <c r="G91" s="26"/>
      <c r="H91" s="26"/>
      <c r="I91" s="26">
        <v>0</v>
      </c>
      <c r="J91" s="26"/>
      <c r="K91" s="26"/>
    </row>
    <row r="92" spans="1:11" s="3" customFormat="1" ht="14.1" customHeight="1" x14ac:dyDescent="0.25">
      <c r="A92" s="7" t="s">
        <v>119</v>
      </c>
      <c r="B92" s="7" t="s">
        <v>120</v>
      </c>
      <c r="C92" s="8" t="s">
        <v>121</v>
      </c>
      <c r="D92" s="9">
        <f>F92+H92+J92</f>
        <v>2030</v>
      </c>
      <c r="E92" s="9">
        <f>G92+I92+K92</f>
        <v>2200</v>
      </c>
      <c r="F92" s="10">
        <f>SUM(F93:F94)</f>
        <v>0</v>
      </c>
      <c r="G92" s="10">
        <f t="shared" ref="G92:K92" si="26">SUM(G93:G94)</f>
        <v>200</v>
      </c>
      <c r="H92" s="10">
        <f t="shared" si="26"/>
        <v>0</v>
      </c>
      <c r="I92" s="10">
        <f t="shared" si="26"/>
        <v>0</v>
      </c>
      <c r="J92" s="10">
        <f t="shared" si="26"/>
        <v>2030</v>
      </c>
      <c r="K92" s="10">
        <f t="shared" si="26"/>
        <v>2000</v>
      </c>
    </row>
    <row r="93" spans="1:11" ht="14.1" customHeight="1" x14ac:dyDescent="0.25">
      <c r="A93" s="24"/>
      <c r="B93" s="24"/>
      <c r="C93" s="25" t="s">
        <v>122</v>
      </c>
      <c r="D93" s="26"/>
      <c r="E93" s="26"/>
      <c r="F93" s="26"/>
      <c r="G93" s="26"/>
      <c r="H93" s="26"/>
      <c r="I93" s="26"/>
      <c r="J93" s="26"/>
      <c r="K93" s="26"/>
    </row>
    <row r="94" spans="1:11" ht="14.1" customHeight="1" x14ac:dyDescent="0.25">
      <c r="A94" s="24"/>
      <c r="B94" s="24"/>
      <c r="C94" s="25" t="s">
        <v>123</v>
      </c>
      <c r="D94" s="26"/>
      <c r="E94" s="26"/>
      <c r="F94" s="26"/>
      <c r="G94" s="26">
        <v>200</v>
      </c>
      <c r="H94" s="26"/>
      <c r="I94" s="26"/>
      <c r="J94" s="26">
        <v>2030</v>
      </c>
      <c r="K94" s="26">
        <v>2000</v>
      </c>
    </row>
    <row r="95" spans="1:11" s="3" customFormat="1" ht="14.1" customHeight="1" x14ac:dyDescent="0.25">
      <c r="A95" s="7" t="s">
        <v>124</v>
      </c>
      <c r="B95" s="7" t="s">
        <v>125</v>
      </c>
      <c r="C95" s="8" t="s">
        <v>126</v>
      </c>
      <c r="D95" s="9">
        <f>F95+H95+J95</f>
        <v>875</v>
      </c>
      <c r="E95" s="9">
        <f>G95+I95+K95</f>
        <v>1366</v>
      </c>
      <c r="F95" s="10">
        <v>875</v>
      </c>
      <c r="G95" s="10">
        <f>762+114+290+200</f>
        <v>1366</v>
      </c>
      <c r="H95" s="10">
        <v>0</v>
      </c>
      <c r="I95" s="10">
        <v>0</v>
      </c>
      <c r="J95" s="10">
        <v>0</v>
      </c>
      <c r="K95" s="10">
        <v>0</v>
      </c>
    </row>
    <row r="96" spans="1:11" s="3" customFormat="1" ht="14.1" customHeight="1" x14ac:dyDescent="0.25">
      <c r="A96" s="7" t="s">
        <v>127</v>
      </c>
      <c r="B96" s="7" t="s">
        <v>128</v>
      </c>
      <c r="C96" s="8" t="s">
        <v>129</v>
      </c>
      <c r="D96" s="9">
        <f>F96+H96+J96</f>
        <v>200</v>
      </c>
      <c r="E96" s="9">
        <f>G96+I96+K96</f>
        <v>200</v>
      </c>
      <c r="F96" s="10">
        <f>SUM(F97:F98)</f>
        <v>200</v>
      </c>
      <c r="G96" s="10">
        <f>SUM(G97:G98)</f>
        <v>200</v>
      </c>
      <c r="H96" s="10">
        <v>0</v>
      </c>
      <c r="I96" s="10">
        <f>SUM(I97:I98)</f>
        <v>0</v>
      </c>
      <c r="J96" s="10">
        <f t="shared" ref="J96:K96" si="27">SUM(J97:J98)</f>
        <v>0</v>
      </c>
      <c r="K96" s="10">
        <f t="shared" si="27"/>
        <v>0</v>
      </c>
    </row>
    <row r="97" spans="1:11" ht="14.1" customHeight="1" x14ac:dyDescent="0.25">
      <c r="A97" s="24"/>
      <c r="B97" s="24"/>
      <c r="C97" s="25" t="s">
        <v>130</v>
      </c>
      <c r="D97" s="26"/>
      <c r="E97" s="26"/>
      <c r="F97" s="26">
        <v>200</v>
      </c>
      <c r="G97" s="26">
        <v>200</v>
      </c>
      <c r="H97" s="26"/>
      <c r="I97" s="26"/>
      <c r="J97" s="26"/>
      <c r="K97" s="26"/>
    </row>
    <row r="98" spans="1:11" ht="14.1" customHeight="1" x14ac:dyDescent="0.25">
      <c r="A98" s="24"/>
      <c r="B98" s="24"/>
      <c r="C98" s="25" t="s">
        <v>131</v>
      </c>
      <c r="D98" s="26"/>
      <c r="E98" s="26"/>
      <c r="F98" s="26"/>
      <c r="G98" s="26"/>
      <c r="H98" s="26"/>
      <c r="I98" s="26"/>
      <c r="J98" s="26"/>
      <c r="K98" s="26"/>
    </row>
    <row r="99" spans="1:11" s="3" customFormat="1" ht="14.1" customHeight="1" x14ac:dyDescent="0.25">
      <c r="A99" s="7" t="s">
        <v>132</v>
      </c>
      <c r="B99" s="7" t="s">
        <v>133</v>
      </c>
      <c r="C99" s="8" t="s">
        <v>134</v>
      </c>
      <c r="D99" s="9">
        <f>F99+H99+J99</f>
        <v>230</v>
      </c>
      <c r="E99" s="9">
        <f>G99+I99+K99</f>
        <v>1815</v>
      </c>
      <c r="F99" s="10">
        <f>SUM(F100:F102)</f>
        <v>200</v>
      </c>
      <c r="G99" s="10">
        <f t="shared" ref="G99:K99" si="28">SUM(G100:G102)</f>
        <v>1815</v>
      </c>
      <c r="H99" s="10">
        <f t="shared" si="28"/>
        <v>0</v>
      </c>
      <c r="I99" s="10">
        <f t="shared" si="28"/>
        <v>0</v>
      </c>
      <c r="J99" s="10">
        <f t="shared" si="28"/>
        <v>30</v>
      </c>
      <c r="K99" s="10">
        <f t="shared" si="28"/>
        <v>0</v>
      </c>
    </row>
    <row r="100" spans="1:11" ht="14.1" customHeight="1" x14ac:dyDescent="0.25">
      <c r="A100" s="24"/>
      <c r="B100" s="24"/>
      <c r="C100" s="25" t="s">
        <v>135</v>
      </c>
      <c r="D100" s="26"/>
      <c r="E100" s="26"/>
      <c r="F100" s="26">
        <v>0</v>
      </c>
      <c r="G100" s="26"/>
      <c r="H100" s="26">
        <v>0</v>
      </c>
      <c r="I100" s="26">
        <v>0</v>
      </c>
      <c r="J100" s="26"/>
      <c r="K100" s="26"/>
    </row>
    <row r="101" spans="1:11" ht="14.1" customHeight="1" x14ac:dyDescent="0.25">
      <c r="A101" s="24"/>
      <c r="B101" s="24"/>
      <c r="C101" s="25" t="s">
        <v>136</v>
      </c>
      <c r="D101" s="26"/>
      <c r="E101" s="26"/>
      <c r="F101" s="26">
        <v>0</v>
      </c>
      <c r="G101" s="26"/>
      <c r="H101" s="26">
        <v>0</v>
      </c>
      <c r="I101" s="26">
        <v>0</v>
      </c>
      <c r="J101" s="26"/>
      <c r="K101" s="26"/>
    </row>
    <row r="102" spans="1:11" ht="14.1" customHeight="1" x14ac:dyDescent="0.25">
      <c r="A102" s="24"/>
      <c r="B102" s="24"/>
      <c r="C102" s="25" t="s">
        <v>137</v>
      </c>
      <c r="D102" s="26"/>
      <c r="E102" s="26"/>
      <c r="F102" s="26">
        <v>200</v>
      </c>
      <c r="G102" s="26">
        <f>200+40+1575</f>
        <v>1815</v>
      </c>
      <c r="H102" s="26">
        <v>0</v>
      </c>
      <c r="I102" s="26">
        <v>0</v>
      </c>
      <c r="J102" s="26">
        <v>30</v>
      </c>
      <c r="K102" s="26"/>
    </row>
    <row r="103" spans="1:11" s="3" customFormat="1" ht="14.1" customHeight="1" x14ac:dyDescent="0.25">
      <c r="A103" s="7" t="s">
        <v>138</v>
      </c>
      <c r="B103" s="7" t="s">
        <v>139</v>
      </c>
      <c r="C103" s="8" t="s">
        <v>140</v>
      </c>
      <c r="D103" s="9">
        <f>F103+H103+J103</f>
        <v>1880</v>
      </c>
      <c r="E103" s="9">
        <f>G103+I103+K103</f>
        <v>1950</v>
      </c>
      <c r="F103" s="10">
        <f>SUM(F104:F107)</f>
        <v>1830</v>
      </c>
      <c r="G103" s="10">
        <f t="shared" ref="G103:K103" si="29">SUM(G104:G107)</f>
        <v>1900</v>
      </c>
      <c r="H103" s="10">
        <f t="shared" si="29"/>
        <v>0</v>
      </c>
      <c r="I103" s="10">
        <f t="shared" si="29"/>
        <v>0</v>
      </c>
      <c r="J103" s="10">
        <f t="shared" si="29"/>
        <v>50</v>
      </c>
      <c r="K103" s="10">
        <f t="shared" si="29"/>
        <v>50</v>
      </c>
    </row>
    <row r="104" spans="1:11" ht="14.1" customHeight="1" x14ac:dyDescent="0.25">
      <c r="A104" s="24"/>
      <c r="B104" s="24"/>
      <c r="C104" s="25" t="s">
        <v>141</v>
      </c>
      <c r="D104" s="26"/>
      <c r="E104" s="26"/>
      <c r="F104" s="26">
        <v>0</v>
      </c>
      <c r="G104" s="26"/>
      <c r="H104" s="26"/>
      <c r="I104" s="26"/>
      <c r="J104" s="26"/>
      <c r="K104" s="26"/>
    </row>
    <row r="105" spans="1:11" ht="14.1" customHeight="1" x14ac:dyDescent="0.25">
      <c r="A105" s="24"/>
      <c r="B105" s="24"/>
      <c r="C105" s="25" t="s">
        <v>142</v>
      </c>
      <c r="D105" s="26"/>
      <c r="E105" s="26"/>
      <c r="F105" s="26">
        <v>70</v>
      </c>
      <c r="G105" s="26"/>
      <c r="H105" s="26"/>
      <c r="I105" s="26"/>
      <c r="J105" s="26"/>
      <c r="K105" s="26"/>
    </row>
    <row r="106" spans="1:11" ht="14.1" customHeight="1" x14ac:dyDescent="0.25">
      <c r="A106" s="24"/>
      <c r="B106" s="24"/>
      <c r="C106" s="25" t="s">
        <v>143</v>
      </c>
      <c r="D106" s="26"/>
      <c r="E106" s="26"/>
      <c r="F106" s="26">
        <v>0</v>
      </c>
      <c r="G106" s="26">
        <v>100</v>
      </c>
      <c r="H106" s="26"/>
      <c r="I106" s="26"/>
      <c r="J106" s="26"/>
      <c r="K106" s="26"/>
    </row>
    <row r="107" spans="1:11" ht="14.1" customHeight="1" x14ac:dyDescent="0.25">
      <c r="A107" s="24"/>
      <c r="B107" s="24"/>
      <c r="C107" s="25" t="s">
        <v>144</v>
      </c>
      <c r="D107" s="26"/>
      <c r="E107" s="26"/>
      <c r="F107" s="26">
        <v>1760</v>
      </c>
      <c r="G107" s="26">
        <f>1800</f>
        <v>1800</v>
      </c>
      <c r="H107" s="26"/>
      <c r="I107" s="26"/>
      <c r="J107" s="26">
        <v>50</v>
      </c>
      <c r="K107" s="26">
        <v>50</v>
      </c>
    </row>
    <row r="108" spans="1:11" s="3" customFormat="1" ht="14.1" customHeight="1" x14ac:dyDescent="0.25">
      <c r="A108" s="16" t="s">
        <v>145</v>
      </c>
      <c r="B108" s="16" t="s">
        <v>146</v>
      </c>
      <c r="C108" s="17" t="s">
        <v>147</v>
      </c>
      <c r="D108" s="19">
        <f>D86+D90+D92+D95+D96+D99+D103</f>
        <v>7960</v>
      </c>
      <c r="E108" s="19">
        <f t="shared" ref="E108:K108" si="30">E86+E90+E92+E95+E96+E99+E103</f>
        <v>10051</v>
      </c>
      <c r="F108" s="19">
        <f t="shared" si="30"/>
        <v>5465</v>
      </c>
      <c r="G108" s="19">
        <f t="shared" si="30"/>
        <v>7581</v>
      </c>
      <c r="H108" s="19">
        <f t="shared" si="30"/>
        <v>0</v>
      </c>
      <c r="I108" s="19">
        <f t="shared" si="30"/>
        <v>0</v>
      </c>
      <c r="J108" s="19">
        <f t="shared" si="30"/>
        <v>2495</v>
      </c>
      <c r="K108" s="19">
        <f t="shared" si="30"/>
        <v>2470</v>
      </c>
    </row>
    <row r="109" spans="1:11" s="3" customFormat="1" ht="14.1" customHeight="1" x14ac:dyDescent="0.25">
      <c r="A109" s="7" t="s">
        <v>148</v>
      </c>
      <c r="B109" s="7" t="s">
        <v>149</v>
      </c>
      <c r="C109" s="8" t="s">
        <v>150</v>
      </c>
      <c r="D109" s="9">
        <f>F109+H109+J109</f>
        <v>50</v>
      </c>
      <c r="E109" s="9">
        <f>G109+I109+K109</f>
        <v>50</v>
      </c>
      <c r="F109" s="10">
        <f>SUM(F110:F111)</f>
        <v>50</v>
      </c>
      <c r="G109" s="10">
        <f t="shared" ref="G109:K109" si="31">SUM(G110:G111)</f>
        <v>50</v>
      </c>
      <c r="H109" s="10">
        <f t="shared" si="31"/>
        <v>0</v>
      </c>
      <c r="I109" s="10">
        <f t="shared" si="31"/>
        <v>0</v>
      </c>
      <c r="J109" s="10">
        <f t="shared" si="31"/>
        <v>0</v>
      </c>
      <c r="K109" s="10">
        <f t="shared" si="31"/>
        <v>0</v>
      </c>
    </row>
    <row r="110" spans="1:11" ht="14.1" customHeight="1" x14ac:dyDescent="0.25">
      <c r="A110" s="24"/>
      <c r="B110" s="24"/>
      <c r="C110" s="25" t="s">
        <v>151</v>
      </c>
      <c r="D110" s="26"/>
      <c r="E110" s="26"/>
      <c r="F110" s="26">
        <v>50</v>
      </c>
      <c r="G110" s="26">
        <v>50</v>
      </c>
      <c r="H110" s="26"/>
      <c r="I110" s="26"/>
      <c r="J110" s="26"/>
      <c r="K110" s="26"/>
    </row>
    <row r="111" spans="1:11" ht="14.1" customHeight="1" x14ac:dyDescent="0.25">
      <c r="A111" s="24"/>
      <c r="B111" s="24"/>
      <c r="C111" s="25" t="s">
        <v>152</v>
      </c>
      <c r="D111" s="26"/>
      <c r="E111" s="26"/>
      <c r="F111" s="26"/>
      <c r="G111" s="26"/>
      <c r="H111" s="26"/>
      <c r="I111" s="26"/>
      <c r="J111" s="26"/>
      <c r="K111" s="26"/>
    </row>
    <row r="112" spans="1:11" s="3" customFormat="1" ht="14.1" customHeight="1" x14ac:dyDescent="0.25">
      <c r="A112" s="7" t="s">
        <v>153</v>
      </c>
      <c r="B112" s="7" t="s">
        <v>154</v>
      </c>
      <c r="C112" s="8" t="s">
        <v>155</v>
      </c>
      <c r="D112" s="9">
        <f>F112+H112+J112</f>
        <v>60</v>
      </c>
      <c r="E112" s="9">
        <f>G112+I112+K112</f>
        <v>60</v>
      </c>
      <c r="F112" s="10">
        <v>30</v>
      </c>
      <c r="G112" s="10">
        <v>30</v>
      </c>
      <c r="H112" s="10">
        <v>0</v>
      </c>
      <c r="I112" s="10">
        <v>0</v>
      </c>
      <c r="J112" s="10">
        <v>30</v>
      </c>
      <c r="K112" s="10">
        <v>30</v>
      </c>
    </row>
    <row r="113" spans="1:11" s="3" customFormat="1" ht="14.1" customHeight="1" x14ac:dyDescent="0.25">
      <c r="A113" s="16" t="s">
        <v>156</v>
      </c>
      <c r="B113" s="16" t="s">
        <v>157</v>
      </c>
      <c r="C113" s="17" t="s">
        <v>158</v>
      </c>
      <c r="D113" s="19">
        <f>D109+D112</f>
        <v>110</v>
      </c>
      <c r="E113" s="19">
        <f t="shared" ref="E113:K113" si="32">E109+E112</f>
        <v>110</v>
      </c>
      <c r="F113" s="19">
        <f t="shared" si="32"/>
        <v>80</v>
      </c>
      <c r="G113" s="19">
        <f t="shared" si="32"/>
        <v>80</v>
      </c>
      <c r="H113" s="19">
        <f t="shared" si="32"/>
        <v>0</v>
      </c>
      <c r="I113" s="19">
        <f t="shared" si="32"/>
        <v>0</v>
      </c>
      <c r="J113" s="19">
        <f t="shared" si="32"/>
        <v>30</v>
      </c>
      <c r="K113" s="19">
        <f t="shared" si="32"/>
        <v>30</v>
      </c>
    </row>
    <row r="114" spans="1:11" s="3" customFormat="1" ht="14.1" customHeight="1" x14ac:dyDescent="0.25">
      <c r="A114" s="7" t="s">
        <v>159</v>
      </c>
      <c r="B114" s="7" t="s">
        <v>160</v>
      </c>
      <c r="C114" s="8" t="s">
        <v>161</v>
      </c>
      <c r="D114" s="9">
        <f>F114+H114+J114</f>
        <v>1924</v>
      </c>
      <c r="E114" s="9">
        <f>G114+I114+K114</f>
        <v>2525</v>
      </c>
      <c r="F114" s="10">
        <f>SUM(F115:F116)</f>
        <v>1773</v>
      </c>
      <c r="G114" s="10">
        <f t="shared" ref="G114:K114" si="33">SUM(G115:G116)</f>
        <v>2363</v>
      </c>
      <c r="H114" s="10">
        <f t="shared" si="33"/>
        <v>151</v>
      </c>
      <c r="I114" s="10">
        <f t="shared" si="33"/>
        <v>162</v>
      </c>
      <c r="J114" s="10">
        <f t="shared" si="33"/>
        <v>0</v>
      </c>
      <c r="K114" s="10">
        <f t="shared" si="33"/>
        <v>0</v>
      </c>
    </row>
    <row r="115" spans="1:11" ht="14.1" customHeight="1" x14ac:dyDescent="0.25">
      <c r="A115" s="24"/>
      <c r="B115" s="24"/>
      <c r="C115" s="25" t="s">
        <v>162</v>
      </c>
      <c r="D115" s="26"/>
      <c r="E115" s="26"/>
      <c r="F115" s="26"/>
      <c r="G115" s="26"/>
      <c r="H115" s="26"/>
      <c r="I115" s="26"/>
      <c r="J115" s="26"/>
      <c r="K115" s="26"/>
    </row>
    <row r="116" spans="1:11" ht="14.1" customHeight="1" x14ac:dyDescent="0.25">
      <c r="A116" s="24"/>
      <c r="B116" s="24"/>
      <c r="C116" s="25" t="s">
        <v>163</v>
      </c>
      <c r="D116" s="26"/>
      <c r="E116" s="26"/>
      <c r="F116" s="26">
        <v>1773</v>
      </c>
      <c r="G116" s="26">
        <f>ROUND((G74+G85+G108+G112)*0.27,0)</f>
        <v>2363</v>
      </c>
      <c r="H116" s="26">
        <v>151</v>
      </c>
      <c r="I116" s="26">
        <f>ROUND((I74+I85+I108+I112)*0.27,0)</f>
        <v>162</v>
      </c>
      <c r="J116" s="26"/>
      <c r="K116" s="26"/>
    </row>
    <row r="117" spans="1:11" s="3" customFormat="1" ht="14.1" customHeight="1" x14ac:dyDescent="0.25">
      <c r="A117" s="7" t="s">
        <v>164</v>
      </c>
      <c r="B117" s="7" t="s">
        <v>165</v>
      </c>
      <c r="C117" s="8" t="s">
        <v>166</v>
      </c>
      <c r="D117" s="9">
        <f>F117+H117+J117</f>
        <v>0</v>
      </c>
      <c r="E117" s="9">
        <f>G117+I117+K117</f>
        <v>0</v>
      </c>
      <c r="F117" s="10">
        <f>SUM(F118:F120)</f>
        <v>0</v>
      </c>
      <c r="G117" s="10">
        <f t="shared" ref="G117:K117" si="34">SUM(G118:G120)</f>
        <v>0</v>
      </c>
      <c r="H117" s="10">
        <f t="shared" si="34"/>
        <v>0</v>
      </c>
      <c r="I117" s="10">
        <f t="shared" si="34"/>
        <v>0</v>
      </c>
      <c r="J117" s="10">
        <f t="shared" si="34"/>
        <v>0</v>
      </c>
      <c r="K117" s="10">
        <f t="shared" si="34"/>
        <v>0</v>
      </c>
    </row>
    <row r="118" spans="1:11" ht="14.1" customHeight="1" x14ac:dyDescent="0.25">
      <c r="A118" s="24"/>
      <c r="B118" s="24"/>
      <c r="C118" s="25" t="s">
        <v>167</v>
      </c>
      <c r="D118" s="26"/>
      <c r="E118" s="26"/>
      <c r="F118" s="26"/>
      <c r="G118" s="26"/>
      <c r="H118" s="26"/>
      <c r="I118" s="26"/>
      <c r="J118" s="26"/>
      <c r="K118" s="26"/>
    </row>
    <row r="119" spans="1:11" ht="14.1" customHeight="1" x14ac:dyDescent="0.25">
      <c r="A119" s="24"/>
      <c r="B119" s="24"/>
      <c r="C119" s="25" t="s">
        <v>168</v>
      </c>
      <c r="D119" s="26"/>
      <c r="E119" s="26"/>
      <c r="F119" s="26"/>
      <c r="G119" s="26"/>
      <c r="H119" s="26"/>
      <c r="I119" s="26"/>
      <c r="J119" s="26"/>
      <c r="K119" s="26"/>
    </row>
    <row r="120" spans="1:11" ht="14.1" customHeight="1" x14ac:dyDescent="0.25">
      <c r="A120" s="24"/>
      <c r="B120" s="24"/>
      <c r="C120" s="25" t="s">
        <v>169</v>
      </c>
      <c r="D120" s="26"/>
      <c r="E120" s="26"/>
      <c r="F120" s="26"/>
      <c r="G120" s="26"/>
      <c r="H120" s="26"/>
      <c r="I120" s="26"/>
      <c r="J120" s="26"/>
      <c r="K120" s="26"/>
    </row>
    <row r="121" spans="1:11" s="3" customFormat="1" ht="14.1" customHeight="1" x14ac:dyDescent="0.25">
      <c r="A121" s="7" t="s">
        <v>170</v>
      </c>
      <c r="B121" s="7" t="s">
        <v>171</v>
      </c>
      <c r="C121" s="8" t="s">
        <v>172</v>
      </c>
      <c r="D121" s="9">
        <f>F121+H121+J121</f>
        <v>0</v>
      </c>
      <c r="E121" s="9">
        <f>G121+I121+K121</f>
        <v>0</v>
      </c>
      <c r="F121" s="10">
        <f>SUM(F122:F125)</f>
        <v>0</v>
      </c>
      <c r="G121" s="10">
        <f t="shared" ref="G121:K121" si="35">SUM(G122:G125)</f>
        <v>0</v>
      </c>
      <c r="H121" s="10">
        <f t="shared" si="35"/>
        <v>0</v>
      </c>
      <c r="I121" s="10">
        <f t="shared" si="35"/>
        <v>0</v>
      </c>
      <c r="J121" s="10">
        <f t="shared" si="35"/>
        <v>0</v>
      </c>
      <c r="K121" s="10">
        <f t="shared" si="35"/>
        <v>0</v>
      </c>
    </row>
    <row r="122" spans="1:11" ht="14.1" customHeight="1" x14ac:dyDescent="0.25">
      <c r="A122" s="24"/>
      <c r="B122" s="24"/>
      <c r="C122" s="25" t="s">
        <v>173</v>
      </c>
      <c r="D122" s="26"/>
      <c r="E122" s="26"/>
      <c r="F122" s="26"/>
      <c r="G122" s="26"/>
      <c r="H122" s="26"/>
      <c r="I122" s="26"/>
      <c r="J122" s="26"/>
      <c r="K122" s="26"/>
    </row>
    <row r="123" spans="1:11" ht="14.1" customHeight="1" x14ac:dyDescent="0.25">
      <c r="A123" s="24"/>
      <c r="B123" s="24"/>
      <c r="C123" s="25" t="s">
        <v>174</v>
      </c>
      <c r="D123" s="26"/>
      <c r="E123" s="26"/>
      <c r="F123" s="26"/>
      <c r="G123" s="26"/>
      <c r="H123" s="26"/>
      <c r="I123" s="26"/>
      <c r="J123" s="26"/>
      <c r="K123" s="26"/>
    </row>
    <row r="124" spans="1:11" ht="14.1" customHeight="1" x14ac:dyDescent="0.25">
      <c r="A124" s="24"/>
      <c r="B124" s="24"/>
      <c r="C124" s="25" t="s">
        <v>175</v>
      </c>
      <c r="D124" s="26"/>
      <c r="E124" s="26"/>
      <c r="F124" s="26"/>
      <c r="G124" s="26"/>
      <c r="H124" s="26"/>
      <c r="I124" s="26"/>
      <c r="J124" s="26"/>
      <c r="K124" s="26"/>
    </row>
    <row r="125" spans="1:11" ht="14.1" customHeight="1" x14ac:dyDescent="0.25">
      <c r="A125" s="24"/>
      <c r="B125" s="24"/>
      <c r="C125" s="25" t="s">
        <v>176</v>
      </c>
      <c r="D125" s="26"/>
      <c r="E125" s="26"/>
      <c r="F125" s="26"/>
      <c r="G125" s="26"/>
      <c r="H125" s="26"/>
      <c r="I125" s="26"/>
      <c r="J125" s="26"/>
      <c r="K125" s="26"/>
    </row>
    <row r="126" spans="1:11" s="3" customFormat="1" ht="14.1" customHeight="1" x14ac:dyDescent="0.25">
      <c r="A126" s="7" t="s">
        <v>177</v>
      </c>
      <c r="B126" s="7" t="s">
        <v>178</v>
      </c>
      <c r="C126" s="8" t="s">
        <v>179</v>
      </c>
      <c r="D126" s="9">
        <f>F126+H126+J126</f>
        <v>0</v>
      </c>
      <c r="E126" s="9">
        <f>G126+I126+K126</f>
        <v>0</v>
      </c>
      <c r="F126" s="10">
        <f>SUM(F127:F128)</f>
        <v>0</v>
      </c>
      <c r="G126" s="10">
        <f t="shared" ref="G126:K126" si="36">SUM(G127:G128)</f>
        <v>0</v>
      </c>
      <c r="H126" s="10">
        <f t="shared" si="36"/>
        <v>0</v>
      </c>
      <c r="I126" s="10">
        <f t="shared" si="36"/>
        <v>0</v>
      </c>
      <c r="J126" s="10">
        <f t="shared" si="36"/>
        <v>0</v>
      </c>
      <c r="K126" s="10">
        <f t="shared" si="36"/>
        <v>0</v>
      </c>
    </row>
    <row r="127" spans="1:11" ht="14.1" customHeight="1" x14ac:dyDescent="0.25">
      <c r="A127" s="24"/>
      <c r="B127" s="24"/>
      <c r="C127" s="25" t="s">
        <v>180</v>
      </c>
      <c r="D127" s="26"/>
      <c r="E127" s="26"/>
      <c r="F127" s="26"/>
      <c r="G127" s="26"/>
      <c r="H127" s="26"/>
      <c r="I127" s="26"/>
      <c r="J127" s="26"/>
      <c r="K127" s="26"/>
    </row>
    <row r="128" spans="1:11" ht="14.1" customHeight="1" x14ac:dyDescent="0.25">
      <c r="A128" s="24"/>
      <c r="B128" s="24"/>
      <c r="C128" s="25" t="s">
        <v>181</v>
      </c>
      <c r="D128" s="26"/>
      <c r="E128" s="26"/>
      <c r="F128" s="26"/>
      <c r="G128" s="26"/>
      <c r="H128" s="26"/>
      <c r="I128" s="26"/>
      <c r="J128" s="26"/>
      <c r="K128" s="26"/>
    </row>
    <row r="129" spans="1:254" s="3" customFormat="1" ht="14.1" customHeight="1" x14ac:dyDescent="0.25">
      <c r="A129" s="7" t="s">
        <v>182</v>
      </c>
      <c r="B129" s="7" t="s">
        <v>183</v>
      </c>
      <c r="C129" s="8" t="s">
        <v>184</v>
      </c>
      <c r="D129" s="9">
        <f>F129+H129+J129</f>
        <v>20</v>
      </c>
      <c r="E129" s="9">
        <f>G129+I129+K129</f>
        <v>100</v>
      </c>
      <c r="F129" s="10">
        <f>SUM(F130:F133)</f>
        <v>15</v>
      </c>
      <c r="G129" s="10">
        <f t="shared" ref="G129:K129" si="37">SUM(G130:G133)</f>
        <v>100</v>
      </c>
      <c r="H129" s="10">
        <f t="shared" si="37"/>
        <v>0</v>
      </c>
      <c r="I129" s="10">
        <f t="shared" si="37"/>
        <v>0</v>
      </c>
      <c r="J129" s="10">
        <f t="shared" si="37"/>
        <v>5</v>
      </c>
      <c r="K129" s="10">
        <f t="shared" si="37"/>
        <v>0</v>
      </c>
    </row>
    <row r="130" spans="1:254" ht="14.1" customHeight="1" x14ac:dyDescent="0.25">
      <c r="A130" s="24"/>
      <c r="B130" s="24"/>
      <c r="C130" s="25" t="s">
        <v>185</v>
      </c>
      <c r="D130" s="26"/>
      <c r="E130" s="26"/>
      <c r="F130" s="26"/>
      <c r="G130" s="26"/>
      <c r="H130" s="26"/>
      <c r="I130" s="26"/>
      <c r="J130" s="26"/>
      <c r="K130" s="26"/>
    </row>
    <row r="131" spans="1:254" ht="14.1" customHeight="1" x14ac:dyDescent="0.25">
      <c r="A131" s="24"/>
      <c r="B131" s="24"/>
      <c r="C131" s="25" t="s">
        <v>186</v>
      </c>
      <c r="D131" s="26"/>
      <c r="E131" s="26"/>
      <c r="F131" s="26"/>
      <c r="G131" s="26"/>
      <c r="H131" s="26"/>
      <c r="I131" s="26"/>
      <c r="J131" s="26"/>
      <c r="K131" s="26"/>
    </row>
    <row r="132" spans="1:254" ht="14.1" customHeight="1" x14ac:dyDescent="0.25">
      <c r="A132" s="24"/>
      <c r="B132" s="24"/>
      <c r="C132" s="25" t="s">
        <v>187</v>
      </c>
      <c r="D132" s="26"/>
      <c r="E132" s="26"/>
      <c r="F132" s="26"/>
      <c r="G132" s="26"/>
      <c r="H132" s="26"/>
      <c r="I132" s="26"/>
      <c r="J132" s="26"/>
      <c r="K132" s="26"/>
    </row>
    <row r="133" spans="1:254" ht="14.1" customHeight="1" x14ac:dyDescent="0.25">
      <c r="A133" s="24"/>
      <c r="B133" s="24"/>
      <c r="C133" s="25" t="s">
        <v>188</v>
      </c>
      <c r="D133" s="26"/>
      <c r="E133" s="26"/>
      <c r="F133" s="26">
        <v>15</v>
      </c>
      <c r="G133" s="26">
        <v>100</v>
      </c>
      <c r="H133" s="26"/>
      <c r="I133" s="26"/>
      <c r="J133" s="26">
        <v>5</v>
      </c>
      <c r="K133" s="26"/>
    </row>
    <row r="134" spans="1:254" s="3" customFormat="1" ht="14.1" customHeight="1" x14ac:dyDescent="0.25">
      <c r="A134" s="16" t="s">
        <v>189</v>
      </c>
      <c r="B134" s="16" t="s">
        <v>190</v>
      </c>
      <c r="C134" s="17" t="s">
        <v>191</v>
      </c>
      <c r="D134" s="19">
        <f>D114+D117+D121+D126+D129</f>
        <v>1944</v>
      </c>
      <c r="E134" s="19">
        <f t="shared" ref="E134:K134" si="38">E114+E117+E121+E126+E129</f>
        <v>2625</v>
      </c>
      <c r="F134" s="19">
        <f t="shared" si="38"/>
        <v>1788</v>
      </c>
      <c r="G134" s="19">
        <f t="shared" si="38"/>
        <v>2463</v>
      </c>
      <c r="H134" s="19">
        <f t="shared" si="38"/>
        <v>151</v>
      </c>
      <c r="I134" s="19">
        <f t="shared" si="38"/>
        <v>162</v>
      </c>
      <c r="J134" s="19">
        <f t="shared" si="38"/>
        <v>5</v>
      </c>
      <c r="K134" s="19">
        <f t="shared" si="38"/>
        <v>0</v>
      </c>
    </row>
    <row r="135" spans="1:254" s="3" customFormat="1" ht="14.1" customHeight="1" x14ac:dyDescent="0.25">
      <c r="A135" s="20" t="s">
        <v>192</v>
      </c>
      <c r="B135" s="20" t="s">
        <v>193</v>
      </c>
      <c r="C135" s="21" t="s">
        <v>292</v>
      </c>
      <c r="D135" s="23">
        <f>D74+D85+D108+D113+D134</f>
        <v>13167</v>
      </c>
      <c r="E135" s="23">
        <f t="shared" ref="E135:K135" si="39">E74+E85+E108+E113+E134</f>
        <v>14606</v>
      </c>
      <c r="F135" s="23">
        <f t="shared" si="39"/>
        <v>8406</v>
      </c>
      <c r="G135" s="23">
        <f t="shared" si="39"/>
        <v>11264</v>
      </c>
      <c r="H135" s="23">
        <f t="shared" si="39"/>
        <v>2151</v>
      </c>
      <c r="I135" s="23">
        <f t="shared" si="39"/>
        <v>762</v>
      </c>
      <c r="J135" s="23">
        <f t="shared" si="39"/>
        <v>2610</v>
      </c>
      <c r="K135" s="23">
        <f t="shared" si="39"/>
        <v>2580</v>
      </c>
    </row>
    <row r="136" spans="1:254" ht="14.1" customHeight="1" x14ac:dyDescent="0.2">
      <c r="A136" s="1025" t="s">
        <v>291</v>
      </c>
      <c r="B136" s="1026"/>
      <c r="C136" s="1027"/>
      <c r="D136" s="28">
        <f>D51+D135</f>
        <v>27915</v>
      </c>
      <c r="E136" s="28">
        <f t="shared" ref="E136:K136" si="40">E51+E135</f>
        <v>27157</v>
      </c>
      <c r="F136" s="28">
        <f t="shared" si="40"/>
        <v>19820</v>
      </c>
      <c r="G136" s="28">
        <f t="shared" si="40"/>
        <v>22988</v>
      </c>
      <c r="H136" s="28">
        <f t="shared" si="40"/>
        <v>2151</v>
      </c>
      <c r="I136" s="28">
        <f t="shared" si="40"/>
        <v>762</v>
      </c>
      <c r="J136" s="28">
        <f t="shared" si="40"/>
        <v>5944</v>
      </c>
      <c r="K136" s="28">
        <f t="shared" si="40"/>
        <v>3407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</row>
    <row r="137" spans="1:254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</row>
    <row r="138" spans="1:254" ht="14.1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</row>
    <row r="140" spans="1:254" s="1" customFormat="1" ht="12.75" customHeight="1" x14ac:dyDescent="0.25">
      <c r="A140" s="1028" t="s">
        <v>584</v>
      </c>
      <c r="B140" s="1029"/>
      <c r="C140" s="1029"/>
      <c r="D140" s="1029"/>
      <c r="E140" s="1029"/>
      <c r="F140" s="1029"/>
      <c r="G140" s="1029"/>
      <c r="H140" s="1029"/>
      <c r="I140" s="1029"/>
      <c r="J140" s="1029"/>
      <c r="K140" s="1030"/>
    </row>
    <row r="141" spans="1:254" s="1" customFormat="1" ht="14.1" customHeight="1" x14ac:dyDescent="0.25">
      <c r="A141" s="1022" t="s">
        <v>0</v>
      </c>
      <c r="B141" s="1023" t="s">
        <v>1</v>
      </c>
      <c r="C141" s="1022" t="s">
        <v>2</v>
      </c>
      <c r="D141" s="1024" t="s">
        <v>260</v>
      </c>
      <c r="E141" s="1014" t="s">
        <v>259</v>
      </c>
      <c r="F141" s="1016" t="s">
        <v>360</v>
      </c>
      <c r="G141" s="1017"/>
      <c r="H141" s="1016" t="s">
        <v>585</v>
      </c>
      <c r="I141" s="1017"/>
      <c r="J141" s="1016" t="s">
        <v>361</v>
      </c>
      <c r="K141" s="1017"/>
    </row>
    <row r="142" spans="1:254" s="3" customFormat="1" ht="27" customHeight="1" x14ac:dyDescent="0.25">
      <c r="A142" s="1022"/>
      <c r="B142" s="1023"/>
      <c r="C142" s="1022"/>
      <c r="D142" s="1024"/>
      <c r="E142" s="1015"/>
      <c r="F142" s="98" t="s">
        <v>260</v>
      </c>
      <c r="G142" s="98" t="s">
        <v>259</v>
      </c>
      <c r="H142" s="98" t="s">
        <v>260</v>
      </c>
      <c r="I142" s="98" t="s">
        <v>259</v>
      </c>
      <c r="J142" s="98" t="s">
        <v>260</v>
      </c>
      <c r="K142" s="98" t="s">
        <v>259</v>
      </c>
    </row>
    <row r="143" spans="1:254" ht="5.65" customHeight="1" x14ac:dyDescent="0.25"/>
    <row r="144" spans="1:254" ht="14.1" customHeight="1" x14ac:dyDescent="0.25">
      <c r="A144" s="1021" t="s">
        <v>194</v>
      </c>
      <c r="B144" s="1021"/>
      <c r="C144" s="1021"/>
      <c r="D144" s="1021"/>
      <c r="E144" s="1021"/>
      <c r="F144" s="1021"/>
      <c r="G144" s="1021"/>
      <c r="H144" s="1021"/>
      <c r="I144" s="1021"/>
      <c r="J144" s="102"/>
      <c r="K144" s="102"/>
    </row>
    <row r="145" spans="1:11" ht="14.1" customHeight="1" x14ac:dyDescent="0.25">
      <c r="A145" s="24" t="s">
        <v>195</v>
      </c>
      <c r="B145" s="24" t="s">
        <v>196</v>
      </c>
      <c r="C145" s="25" t="s">
        <v>197</v>
      </c>
      <c r="D145" s="26">
        <f>F145+H145+J145</f>
        <v>0</v>
      </c>
      <c r="E145" s="26">
        <f>G145+I145+K145</f>
        <v>0</v>
      </c>
      <c r="F145" s="26"/>
      <c r="G145" s="26"/>
      <c r="H145" s="26"/>
      <c r="I145" s="26"/>
      <c r="J145" s="26"/>
      <c r="K145" s="26"/>
    </row>
    <row r="146" spans="1:11" ht="14.1" customHeight="1" x14ac:dyDescent="0.25">
      <c r="A146" s="24" t="s">
        <v>198</v>
      </c>
      <c r="B146" s="24" t="s">
        <v>199</v>
      </c>
      <c r="C146" s="25" t="s">
        <v>200</v>
      </c>
      <c r="D146" s="26">
        <f t="shared" ref="D146:E158" si="41">F146+H146+J146</f>
        <v>0</v>
      </c>
      <c r="E146" s="26">
        <f t="shared" si="41"/>
        <v>0</v>
      </c>
      <c r="F146" s="26"/>
      <c r="G146" s="26"/>
      <c r="H146" s="26"/>
      <c r="I146" s="26"/>
      <c r="J146" s="26"/>
      <c r="K146" s="26"/>
    </row>
    <row r="147" spans="1:11" ht="14.1" customHeight="1" x14ac:dyDescent="0.25">
      <c r="A147" s="24" t="s">
        <v>201</v>
      </c>
      <c r="B147" s="24" t="s">
        <v>202</v>
      </c>
      <c r="C147" s="25" t="s">
        <v>203</v>
      </c>
      <c r="D147" s="26">
        <f t="shared" si="41"/>
        <v>520</v>
      </c>
      <c r="E147" s="26">
        <f t="shared" si="41"/>
        <v>200</v>
      </c>
      <c r="F147" s="26">
        <v>520</v>
      </c>
      <c r="G147" s="26">
        <v>200</v>
      </c>
      <c r="H147" s="26"/>
      <c r="I147" s="26"/>
      <c r="J147" s="26"/>
      <c r="K147" s="26"/>
    </row>
    <row r="148" spans="1:11" ht="14.1" customHeight="1" x14ac:dyDescent="0.25">
      <c r="A148" s="24" t="s">
        <v>204</v>
      </c>
      <c r="B148" s="24" t="s">
        <v>205</v>
      </c>
      <c r="C148" s="25" t="s">
        <v>206</v>
      </c>
      <c r="D148" s="26">
        <f t="shared" si="41"/>
        <v>40</v>
      </c>
      <c r="E148" s="26">
        <f t="shared" si="41"/>
        <v>3460</v>
      </c>
      <c r="F148" s="26">
        <v>30</v>
      </c>
      <c r="G148" s="26">
        <v>460</v>
      </c>
      <c r="H148" s="26"/>
      <c r="I148" s="26">
        <f>1700+1300</f>
        <v>3000</v>
      </c>
      <c r="J148" s="26">
        <v>10</v>
      </c>
      <c r="K148" s="26"/>
    </row>
    <row r="149" spans="1:11" ht="14.1" customHeight="1" x14ac:dyDescent="0.25">
      <c r="A149" s="24"/>
      <c r="B149" s="24" t="s">
        <v>207</v>
      </c>
      <c r="C149" s="25" t="s">
        <v>208</v>
      </c>
      <c r="D149" s="26">
        <f t="shared" si="41"/>
        <v>0</v>
      </c>
      <c r="E149" s="26">
        <f t="shared" si="41"/>
        <v>0</v>
      </c>
      <c r="F149" s="26"/>
      <c r="G149" s="26"/>
      <c r="H149" s="26"/>
      <c r="I149" s="26"/>
      <c r="J149" s="26"/>
      <c r="K149" s="26"/>
    </row>
    <row r="150" spans="1:11" ht="14.1" customHeight="1" x14ac:dyDescent="0.25">
      <c r="A150" s="24" t="s">
        <v>209</v>
      </c>
      <c r="B150" s="24" t="s">
        <v>210</v>
      </c>
      <c r="C150" s="25" t="s">
        <v>211</v>
      </c>
      <c r="D150" s="26">
        <f t="shared" si="41"/>
        <v>0</v>
      </c>
      <c r="E150" s="26">
        <f t="shared" si="41"/>
        <v>0</v>
      </c>
      <c r="F150" s="26"/>
      <c r="G150" s="26"/>
      <c r="H150" s="26"/>
      <c r="I150" s="26"/>
      <c r="J150" s="26"/>
      <c r="K150" s="26"/>
    </row>
    <row r="151" spans="1:11" ht="14.1" customHeight="1" x14ac:dyDescent="0.25">
      <c r="A151" s="24" t="s">
        <v>212</v>
      </c>
      <c r="B151" s="24" t="s">
        <v>213</v>
      </c>
      <c r="C151" s="25" t="s">
        <v>214</v>
      </c>
      <c r="D151" s="26">
        <f t="shared" si="41"/>
        <v>0</v>
      </c>
      <c r="E151" s="26">
        <f t="shared" si="41"/>
        <v>0</v>
      </c>
      <c r="F151" s="26"/>
      <c r="G151" s="26"/>
      <c r="H151" s="26"/>
      <c r="I151" s="26"/>
      <c r="J151" s="26"/>
      <c r="K151" s="26"/>
    </row>
    <row r="152" spans="1:11" ht="14.1" customHeight="1" x14ac:dyDescent="0.25">
      <c r="A152" s="24" t="s">
        <v>215</v>
      </c>
      <c r="B152" s="24" t="s">
        <v>216</v>
      </c>
      <c r="C152" s="25" t="s">
        <v>217</v>
      </c>
      <c r="D152" s="26">
        <f t="shared" si="41"/>
        <v>152</v>
      </c>
      <c r="E152" s="26">
        <f t="shared" si="41"/>
        <v>538</v>
      </c>
      <c r="F152" s="26">
        <v>149</v>
      </c>
      <c r="G152" s="26">
        <f>ROUND((G145+G146+G147+G148+G149)*0.27,0)</f>
        <v>178</v>
      </c>
      <c r="H152" s="26">
        <v>0</v>
      </c>
      <c r="I152" s="26">
        <f>ROUND((I145+I146+I147+I148+I149)*0.12,0)</f>
        <v>360</v>
      </c>
      <c r="J152" s="26">
        <v>3</v>
      </c>
      <c r="K152" s="26"/>
    </row>
    <row r="153" spans="1:11" s="3" customFormat="1" ht="14.1" customHeight="1" x14ac:dyDescent="0.25">
      <c r="A153" s="16" t="s">
        <v>218</v>
      </c>
      <c r="B153" s="20" t="s">
        <v>219</v>
      </c>
      <c r="C153" s="21" t="s">
        <v>220</v>
      </c>
      <c r="D153" s="22">
        <f>SUM(D145:D152)</f>
        <v>712</v>
      </c>
      <c r="E153" s="22">
        <f t="shared" ref="E153:K153" si="42">SUM(E145:E152)</f>
        <v>4198</v>
      </c>
      <c r="F153" s="22">
        <f t="shared" si="42"/>
        <v>699</v>
      </c>
      <c r="G153" s="22">
        <f t="shared" si="42"/>
        <v>838</v>
      </c>
      <c r="H153" s="22">
        <f t="shared" si="42"/>
        <v>0</v>
      </c>
      <c r="I153" s="22">
        <f t="shared" si="42"/>
        <v>3360</v>
      </c>
      <c r="J153" s="22">
        <f t="shared" si="42"/>
        <v>13</v>
      </c>
      <c r="K153" s="22">
        <f t="shared" si="42"/>
        <v>0</v>
      </c>
    </row>
    <row r="154" spans="1:11" ht="14.1" customHeight="1" x14ac:dyDescent="0.25">
      <c r="A154" s="24" t="s">
        <v>221</v>
      </c>
      <c r="B154" s="24" t="s">
        <v>222</v>
      </c>
      <c r="C154" s="25" t="s">
        <v>223</v>
      </c>
      <c r="D154" s="26">
        <f t="shared" si="41"/>
        <v>0</v>
      </c>
      <c r="E154" s="26">
        <f t="shared" si="41"/>
        <v>0</v>
      </c>
      <c r="F154" s="26"/>
      <c r="G154" s="26"/>
      <c r="H154" s="26"/>
      <c r="I154" s="26"/>
      <c r="J154" s="26"/>
      <c r="K154" s="26"/>
    </row>
    <row r="155" spans="1:11" ht="14.1" customHeight="1" x14ac:dyDescent="0.25">
      <c r="A155" s="24" t="s">
        <v>224</v>
      </c>
      <c r="B155" s="24" t="s">
        <v>225</v>
      </c>
      <c r="C155" s="25" t="s">
        <v>226</v>
      </c>
      <c r="D155" s="26">
        <f t="shared" si="41"/>
        <v>0</v>
      </c>
      <c r="E155" s="26">
        <f t="shared" si="41"/>
        <v>0</v>
      </c>
      <c r="F155" s="26"/>
      <c r="G155" s="26"/>
      <c r="H155" s="26"/>
      <c r="I155" s="26"/>
      <c r="J155" s="26"/>
      <c r="K155" s="26"/>
    </row>
    <row r="156" spans="1:11" ht="14.1" customHeight="1" x14ac:dyDescent="0.25">
      <c r="A156" s="24" t="s">
        <v>227</v>
      </c>
      <c r="B156" s="24" t="s">
        <v>228</v>
      </c>
      <c r="C156" s="25" t="s">
        <v>229</v>
      </c>
      <c r="D156" s="26">
        <f t="shared" si="41"/>
        <v>0</v>
      </c>
      <c r="E156" s="26">
        <f t="shared" si="41"/>
        <v>0</v>
      </c>
      <c r="F156" s="26"/>
      <c r="G156" s="26"/>
      <c r="H156" s="26"/>
      <c r="I156" s="26"/>
      <c r="J156" s="26"/>
      <c r="K156" s="26"/>
    </row>
    <row r="157" spans="1:11" ht="14.1" customHeight="1" x14ac:dyDescent="0.25">
      <c r="A157" s="24"/>
      <c r="B157" s="24" t="s">
        <v>230</v>
      </c>
      <c r="C157" s="25" t="s">
        <v>231</v>
      </c>
      <c r="D157" s="26">
        <f t="shared" si="41"/>
        <v>0</v>
      </c>
      <c r="E157" s="26">
        <f t="shared" si="41"/>
        <v>0</v>
      </c>
      <c r="F157" s="26"/>
      <c r="G157" s="26"/>
      <c r="H157" s="26"/>
      <c r="I157" s="26"/>
      <c r="J157" s="26"/>
      <c r="K157" s="26"/>
    </row>
    <row r="158" spans="1:11" ht="14.1" customHeight="1" x14ac:dyDescent="0.25">
      <c r="A158" s="24" t="s">
        <v>232</v>
      </c>
      <c r="B158" s="24" t="s">
        <v>233</v>
      </c>
      <c r="C158" s="25" t="s">
        <v>234</v>
      </c>
      <c r="D158" s="26">
        <f t="shared" si="41"/>
        <v>0</v>
      </c>
      <c r="E158" s="26">
        <f t="shared" si="41"/>
        <v>0</v>
      </c>
      <c r="F158" s="26">
        <v>0</v>
      </c>
      <c r="G158" s="26">
        <f>ROUND((G154+G155+G156+G157)*0.27,0)</f>
        <v>0</v>
      </c>
      <c r="H158" s="26">
        <v>0</v>
      </c>
      <c r="I158" s="26">
        <f>ROUND((I154+I155+I156+I157)*0.27,0)</f>
        <v>0</v>
      </c>
      <c r="J158" s="26"/>
      <c r="K158" s="26"/>
    </row>
    <row r="159" spans="1:11" s="3" customFormat="1" ht="14.1" customHeight="1" x14ac:dyDescent="0.25">
      <c r="A159" s="16" t="s">
        <v>235</v>
      </c>
      <c r="B159" s="20" t="s">
        <v>236</v>
      </c>
      <c r="C159" s="21" t="s">
        <v>237</v>
      </c>
      <c r="D159" s="22">
        <f>SUM(D154:D158)</f>
        <v>0</v>
      </c>
      <c r="E159" s="22">
        <f t="shared" ref="E159:K159" si="43">SUM(E154:E158)</f>
        <v>0</v>
      </c>
      <c r="F159" s="22">
        <f t="shared" si="43"/>
        <v>0</v>
      </c>
      <c r="G159" s="22">
        <f t="shared" si="43"/>
        <v>0</v>
      </c>
      <c r="H159" s="22">
        <f t="shared" si="43"/>
        <v>0</v>
      </c>
      <c r="I159" s="22">
        <f t="shared" si="43"/>
        <v>0</v>
      </c>
      <c r="J159" s="22">
        <f t="shared" si="43"/>
        <v>0</v>
      </c>
      <c r="K159" s="22">
        <f t="shared" si="43"/>
        <v>0</v>
      </c>
    </row>
    <row r="160" spans="1:11" s="3" customFormat="1" ht="14.1" customHeight="1" x14ac:dyDescent="0.25">
      <c r="A160" s="1025" t="s">
        <v>293</v>
      </c>
      <c r="B160" s="1026"/>
      <c r="C160" s="1027" t="s">
        <v>238</v>
      </c>
      <c r="D160" s="28">
        <f>D153+D159</f>
        <v>712</v>
      </c>
      <c r="E160" s="28">
        <f t="shared" ref="E160:K160" si="44">E153+E159</f>
        <v>4198</v>
      </c>
      <c r="F160" s="28">
        <f t="shared" si="44"/>
        <v>699</v>
      </c>
      <c r="G160" s="28">
        <f t="shared" si="44"/>
        <v>838</v>
      </c>
      <c r="H160" s="28">
        <f t="shared" si="44"/>
        <v>0</v>
      </c>
      <c r="I160" s="28">
        <f t="shared" si="44"/>
        <v>3360</v>
      </c>
      <c r="J160" s="28">
        <f t="shared" si="44"/>
        <v>13</v>
      </c>
      <c r="K160" s="28">
        <f t="shared" si="44"/>
        <v>0</v>
      </c>
    </row>
    <row r="161" spans="1:11" ht="6.75" customHeight="1" x14ac:dyDescent="0.25"/>
    <row r="162" spans="1:11" ht="14.1" customHeight="1" x14ac:dyDescent="0.25">
      <c r="A162" s="1018" t="s">
        <v>294</v>
      </c>
      <c r="B162" s="1019"/>
      <c r="C162" s="1020"/>
      <c r="D162" s="30">
        <f>D160+D136</f>
        <v>28627</v>
      </c>
      <c r="E162" s="30">
        <f t="shared" ref="E162:K162" si="45">E160+E136</f>
        <v>31355</v>
      </c>
      <c r="F162" s="30">
        <f t="shared" si="45"/>
        <v>20519</v>
      </c>
      <c r="G162" s="30">
        <f t="shared" si="45"/>
        <v>23826</v>
      </c>
      <c r="H162" s="30">
        <f t="shared" si="45"/>
        <v>2151</v>
      </c>
      <c r="I162" s="30">
        <f t="shared" si="45"/>
        <v>4122</v>
      </c>
      <c r="J162" s="30">
        <f t="shared" si="45"/>
        <v>5957</v>
      </c>
      <c r="K162" s="30">
        <f t="shared" si="45"/>
        <v>3407</v>
      </c>
    </row>
    <row r="167" spans="1:11" s="1" customFormat="1" ht="12.75" customHeight="1" x14ac:dyDescent="0.25">
      <c r="A167" s="1028" t="s">
        <v>583</v>
      </c>
      <c r="B167" s="1029"/>
      <c r="C167" s="1029"/>
      <c r="D167" s="1029"/>
      <c r="E167" s="1029"/>
      <c r="F167" s="1029"/>
      <c r="G167" s="1029"/>
      <c r="H167" s="1029"/>
      <c r="I167" s="1029"/>
      <c r="J167" s="1029"/>
      <c r="K167" s="1030"/>
    </row>
    <row r="168" spans="1:11" s="1" customFormat="1" ht="14.1" customHeight="1" x14ac:dyDescent="0.25">
      <c r="A168" s="1022" t="s">
        <v>0</v>
      </c>
      <c r="B168" s="1023" t="s">
        <v>1</v>
      </c>
      <c r="C168" s="1022" t="s">
        <v>2</v>
      </c>
      <c r="D168" s="1024" t="s">
        <v>260</v>
      </c>
      <c r="E168" s="1014" t="s">
        <v>259</v>
      </c>
      <c r="F168" s="1016" t="s">
        <v>360</v>
      </c>
      <c r="G168" s="1017"/>
      <c r="H168" s="1016" t="s">
        <v>585</v>
      </c>
      <c r="I168" s="1017"/>
      <c r="J168" s="1016" t="s">
        <v>361</v>
      </c>
      <c r="K168" s="1017"/>
    </row>
    <row r="169" spans="1:11" s="3" customFormat="1" ht="23.25" customHeight="1" x14ac:dyDescent="0.25">
      <c r="A169" s="1022"/>
      <c r="B169" s="1023"/>
      <c r="C169" s="1022"/>
      <c r="D169" s="1024"/>
      <c r="E169" s="1015"/>
      <c r="F169" s="98" t="s">
        <v>260</v>
      </c>
      <c r="G169" s="98" t="s">
        <v>259</v>
      </c>
      <c r="H169" s="98" t="s">
        <v>260</v>
      </c>
      <c r="I169" s="98" t="s">
        <v>259</v>
      </c>
      <c r="J169" s="98" t="s">
        <v>260</v>
      </c>
      <c r="K169" s="98" t="s">
        <v>259</v>
      </c>
    </row>
    <row r="170" spans="1:11" ht="5.65" customHeight="1" x14ac:dyDescent="0.25"/>
    <row r="171" spans="1:11" ht="14.1" customHeight="1" x14ac:dyDescent="0.25">
      <c r="A171" s="1021" t="s">
        <v>239</v>
      </c>
      <c r="B171" s="1021"/>
      <c r="C171" s="1021"/>
      <c r="D171" s="1021"/>
      <c r="E171" s="1021"/>
      <c r="F171" s="1021"/>
      <c r="G171" s="1021"/>
      <c r="H171" s="1021"/>
      <c r="I171" s="1021"/>
      <c r="J171" s="102"/>
      <c r="K171" s="102"/>
    </row>
    <row r="172" spans="1:11" s="3" customFormat="1" ht="14.1" customHeight="1" x14ac:dyDescent="0.25">
      <c r="A172" s="20" t="s">
        <v>240</v>
      </c>
      <c r="B172" s="20"/>
      <c r="C172" s="21" t="s">
        <v>241</v>
      </c>
      <c r="D172" s="23">
        <f>SUM(D173:D182)</f>
        <v>294</v>
      </c>
      <c r="E172" s="23">
        <f t="shared" ref="E172:K172" si="46">SUM(E173:E182)</f>
        <v>254</v>
      </c>
      <c r="F172" s="23">
        <f t="shared" si="46"/>
        <v>294</v>
      </c>
      <c r="G172" s="23">
        <f t="shared" si="46"/>
        <v>254</v>
      </c>
      <c r="H172" s="23">
        <f t="shared" si="46"/>
        <v>0</v>
      </c>
      <c r="I172" s="23">
        <f t="shared" si="46"/>
        <v>0</v>
      </c>
      <c r="J172" s="23">
        <f t="shared" si="46"/>
        <v>0</v>
      </c>
      <c r="K172" s="23">
        <f t="shared" si="46"/>
        <v>0</v>
      </c>
    </row>
    <row r="173" spans="1:11" ht="14.1" customHeight="1" x14ac:dyDescent="0.25">
      <c r="A173" s="24" t="s">
        <v>242</v>
      </c>
      <c r="B173" s="24"/>
      <c r="C173" s="25" t="s">
        <v>243</v>
      </c>
      <c r="D173" s="26">
        <f t="shared" ref="D173:E182" si="47">F173+H173+J173</f>
        <v>0</v>
      </c>
      <c r="E173" s="26">
        <f t="shared" si="47"/>
        <v>0</v>
      </c>
      <c r="F173" s="26"/>
      <c r="G173" s="26"/>
      <c r="H173" s="26"/>
      <c r="I173" s="26"/>
      <c r="J173" s="26"/>
      <c r="K173" s="26"/>
    </row>
    <row r="174" spans="1:11" ht="14.1" customHeight="1" x14ac:dyDescent="0.25">
      <c r="A174" s="24" t="s">
        <v>244</v>
      </c>
      <c r="B174" s="24"/>
      <c r="C174" s="25" t="s">
        <v>245</v>
      </c>
      <c r="D174" s="26">
        <f t="shared" si="47"/>
        <v>230</v>
      </c>
      <c r="E174" s="26">
        <f t="shared" si="47"/>
        <v>200</v>
      </c>
      <c r="F174" s="26">
        <v>230</v>
      </c>
      <c r="G174" s="26">
        <v>200</v>
      </c>
      <c r="H174" s="26"/>
      <c r="I174" s="26"/>
      <c r="J174" s="26"/>
      <c r="K174" s="26"/>
    </row>
    <row r="175" spans="1:11" ht="14.1" customHeight="1" x14ac:dyDescent="0.25">
      <c r="A175" s="24" t="s">
        <v>246</v>
      </c>
      <c r="B175" s="24"/>
      <c r="C175" s="25" t="s">
        <v>247</v>
      </c>
      <c r="D175" s="26">
        <f t="shared" si="47"/>
        <v>0</v>
      </c>
      <c r="E175" s="26">
        <f t="shared" si="47"/>
        <v>0</v>
      </c>
      <c r="F175" s="26"/>
      <c r="G175" s="26"/>
      <c r="H175" s="26"/>
      <c r="I175" s="26"/>
      <c r="J175" s="26"/>
      <c r="K175" s="26"/>
    </row>
    <row r="176" spans="1:11" ht="14.1" customHeight="1" x14ac:dyDescent="0.25">
      <c r="A176" s="24" t="s">
        <v>248</v>
      </c>
      <c r="B176" s="24"/>
      <c r="C176" s="25" t="s">
        <v>249</v>
      </c>
      <c r="D176" s="26">
        <f t="shared" si="47"/>
        <v>0</v>
      </c>
      <c r="E176" s="26">
        <f t="shared" si="47"/>
        <v>0</v>
      </c>
      <c r="F176" s="26"/>
      <c r="G176" s="26"/>
      <c r="H176" s="26"/>
      <c r="I176" s="26"/>
      <c r="J176" s="26"/>
      <c r="K176" s="26"/>
    </row>
    <row r="177" spans="1:11" ht="14.1" customHeight="1" x14ac:dyDescent="0.25">
      <c r="A177" s="24" t="s">
        <v>296</v>
      </c>
      <c r="B177" s="24"/>
      <c r="C177" s="25" t="s">
        <v>297</v>
      </c>
      <c r="D177" s="26">
        <f t="shared" si="47"/>
        <v>0</v>
      </c>
      <c r="E177" s="26">
        <f t="shared" si="47"/>
        <v>0</v>
      </c>
      <c r="F177" s="26"/>
      <c r="G177" s="26"/>
      <c r="H177" s="26"/>
      <c r="I177" s="26"/>
      <c r="J177" s="26"/>
      <c r="K177" s="26"/>
    </row>
    <row r="178" spans="1:11" ht="14.1" customHeight="1" x14ac:dyDescent="0.25">
      <c r="A178" s="24" t="s">
        <v>250</v>
      </c>
      <c r="B178" s="24"/>
      <c r="C178" s="25" t="s">
        <v>251</v>
      </c>
      <c r="D178" s="26">
        <f t="shared" si="47"/>
        <v>54</v>
      </c>
      <c r="E178" s="26">
        <f t="shared" si="47"/>
        <v>54</v>
      </c>
      <c r="F178" s="26">
        <v>54</v>
      </c>
      <c r="G178" s="26">
        <f>ROUND((G173+G174+G175+G176+G177)*0.27,0)</f>
        <v>54</v>
      </c>
      <c r="H178" s="26"/>
      <c r="I178" s="26">
        <f>ROUND((I173+I174+I175+I176+I177)*0.27,0)</f>
        <v>0</v>
      </c>
      <c r="J178" s="26"/>
      <c r="K178" s="26"/>
    </row>
    <row r="179" spans="1:11" ht="14.1" customHeight="1" x14ac:dyDescent="0.25">
      <c r="A179" s="24" t="s">
        <v>298</v>
      </c>
      <c r="B179" s="24"/>
      <c r="C179" s="25" t="s">
        <v>299</v>
      </c>
      <c r="D179" s="26">
        <f t="shared" si="47"/>
        <v>0</v>
      </c>
      <c r="E179" s="26">
        <f t="shared" si="47"/>
        <v>0</v>
      </c>
      <c r="F179" s="26"/>
      <c r="G179" s="26"/>
      <c r="H179" s="26"/>
      <c r="I179" s="26"/>
      <c r="J179" s="26"/>
      <c r="K179" s="26"/>
    </row>
    <row r="180" spans="1:11" ht="14.1" customHeight="1" x14ac:dyDescent="0.25">
      <c r="A180" s="24" t="s">
        <v>252</v>
      </c>
      <c r="B180" s="24"/>
      <c r="C180" s="25" t="s">
        <v>253</v>
      </c>
      <c r="D180" s="26">
        <f t="shared" si="47"/>
        <v>0</v>
      </c>
      <c r="E180" s="26">
        <f t="shared" si="47"/>
        <v>0</v>
      </c>
      <c r="F180" s="26"/>
      <c r="G180" s="26"/>
      <c r="H180" s="26"/>
      <c r="I180" s="26"/>
      <c r="J180" s="26"/>
      <c r="K180" s="26"/>
    </row>
    <row r="181" spans="1:11" ht="14.1" customHeight="1" x14ac:dyDescent="0.25">
      <c r="A181" s="24" t="s">
        <v>300</v>
      </c>
      <c r="B181" s="24"/>
      <c r="C181" s="25" t="s">
        <v>301</v>
      </c>
      <c r="D181" s="26">
        <f t="shared" si="47"/>
        <v>0</v>
      </c>
      <c r="E181" s="26">
        <f t="shared" si="47"/>
        <v>0</v>
      </c>
      <c r="F181" s="26"/>
      <c r="G181" s="26"/>
      <c r="H181" s="26"/>
      <c r="I181" s="26"/>
      <c r="J181" s="26"/>
      <c r="K181" s="26"/>
    </row>
    <row r="182" spans="1:11" ht="14.1" customHeight="1" x14ac:dyDescent="0.25">
      <c r="A182" s="24" t="s">
        <v>254</v>
      </c>
      <c r="B182" s="24"/>
      <c r="C182" s="25" t="s">
        <v>255</v>
      </c>
      <c r="D182" s="26">
        <f t="shared" si="47"/>
        <v>10</v>
      </c>
      <c r="E182" s="26">
        <f t="shared" si="47"/>
        <v>0</v>
      </c>
      <c r="F182" s="26">
        <v>10</v>
      </c>
      <c r="G182" s="26"/>
      <c r="H182" s="26"/>
      <c r="I182" s="26"/>
      <c r="J182" s="26"/>
      <c r="K182" s="26"/>
    </row>
    <row r="183" spans="1:11" s="3" customFormat="1" ht="14.1" customHeight="1" x14ac:dyDescent="0.25">
      <c r="A183" s="20" t="s">
        <v>256</v>
      </c>
      <c r="B183" s="20"/>
      <c r="C183" s="21" t="s">
        <v>257</v>
      </c>
      <c r="D183" s="23">
        <f>F183+H183</f>
        <v>0</v>
      </c>
      <c r="E183" s="23">
        <f>G183+I183</f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</row>
    <row r="184" spans="1:11" s="3" customFormat="1" ht="14.1" customHeight="1" x14ac:dyDescent="0.25">
      <c r="A184" s="1018" t="s">
        <v>295</v>
      </c>
      <c r="B184" s="1019"/>
      <c r="C184" s="1020"/>
      <c r="D184" s="30">
        <f>D172+D183</f>
        <v>294</v>
      </c>
      <c r="E184" s="30">
        <f t="shared" ref="E184:K184" si="48">E172+E183</f>
        <v>254</v>
      </c>
      <c r="F184" s="30">
        <f t="shared" si="48"/>
        <v>294</v>
      </c>
      <c r="G184" s="30">
        <f t="shared" si="48"/>
        <v>254</v>
      </c>
      <c r="H184" s="30">
        <f t="shared" si="48"/>
        <v>0</v>
      </c>
      <c r="I184" s="30">
        <f t="shared" si="48"/>
        <v>0</v>
      </c>
      <c r="J184" s="30">
        <f t="shared" si="48"/>
        <v>0</v>
      </c>
      <c r="K184" s="30">
        <f t="shared" si="48"/>
        <v>0</v>
      </c>
    </row>
  </sheetData>
  <sheetProtection selectLockedCells="1" selectUnlockedCells="1"/>
  <mergeCells count="45">
    <mergeCell ref="A171:I171"/>
    <mergeCell ref="A184:C184"/>
    <mergeCell ref="J2:K2"/>
    <mergeCell ref="J53:K53"/>
    <mergeCell ref="J141:K141"/>
    <mergeCell ref="J168:K168"/>
    <mergeCell ref="A52:K52"/>
    <mergeCell ref="A140:K140"/>
    <mergeCell ref="A167:K167"/>
    <mergeCell ref="A144:I144"/>
    <mergeCell ref="A160:C160"/>
    <mergeCell ref="A162:C162"/>
    <mergeCell ref="A168:A169"/>
    <mergeCell ref="B168:B169"/>
    <mergeCell ref="C168:C169"/>
    <mergeCell ref="D168:D169"/>
    <mergeCell ref="E168:E169"/>
    <mergeCell ref="F168:G168"/>
    <mergeCell ref="A56:I56"/>
    <mergeCell ref="A136:C136"/>
    <mergeCell ref="A141:A142"/>
    <mergeCell ref="B141:B142"/>
    <mergeCell ref="C141:C142"/>
    <mergeCell ref="D141:D142"/>
    <mergeCell ref="E141:E142"/>
    <mergeCell ref="F141:G141"/>
    <mergeCell ref="H141:I141"/>
    <mergeCell ref="H168:I168"/>
    <mergeCell ref="A5:I5"/>
    <mergeCell ref="A51:C51"/>
    <mergeCell ref="A53:A54"/>
    <mergeCell ref="B53:B54"/>
    <mergeCell ref="C53:C54"/>
    <mergeCell ref="D53:D54"/>
    <mergeCell ref="E53:E54"/>
    <mergeCell ref="F53:G53"/>
    <mergeCell ref="H53:I53"/>
    <mergeCell ref="F2:G2"/>
    <mergeCell ref="H2:I2"/>
    <mergeCell ref="A1:K1"/>
    <mergeCell ref="A2:A3"/>
    <mergeCell ref="B2:B3"/>
    <mergeCell ref="C2:C3"/>
    <mergeCell ref="D2:D3"/>
    <mergeCell ref="E2:E3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02" max="10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  <pageSetUpPr fitToPage="1"/>
  </sheetPr>
  <dimension ref="A1:Z199"/>
  <sheetViews>
    <sheetView view="pageBreakPreview" zoomScale="79" zoomScaleNormal="100" zoomScaleSheetLayoutView="79" workbookViewId="0">
      <selection activeCell="X5" sqref="X5"/>
    </sheetView>
  </sheetViews>
  <sheetFormatPr defaultRowHeight="15" outlineLevelRow="4" x14ac:dyDescent="0.25"/>
  <cols>
    <col min="1" max="1" width="5.7109375" style="41" customWidth="1"/>
    <col min="2" max="2" width="35.28515625" style="42" customWidth="1"/>
    <col min="3" max="3" width="10.28515625" style="402" hidden="1" customWidth="1"/>
    <col min="4" max="4" width="8" hidden="1" customWidth="1"/>
    <col min="5" max="5" width="11" hidden="1" customWidth="1"/>
    <col min="6" max="6" width="9.28515625" hidden="1" customWidth="1"/>
    <col min="7" max="7" width="6.28515625" hidden="1" customWidth="1"/>
    <col min="8" max="8" width="11" hidden="1" customWidth="1"/>
    <col min="9" max="10" width="10.28515625" hidden="1" customWidth="1"/>
    <col min="11" max="11" width="11" hidden="1" customWidth="1"/>
    <col min="12" max="12" width="10.28515625" hidden="1" customWidth="1"/>
    <col min="13" max="13" width="7.28515625" hidden="1" customWidth="1"/>
    <col min="14" max="14" width="11" hidden="1" customWidth="1"/>
    <col min="15" max="15" width="10.7109375" customWidth="1"/>
    <col min="16" max="16" width="10.28515625" customWidth="1"/>
    <col min="17" max="17" width="11" customWidth="1"/>
    <col min="18" max="18" width="10.7109375" hidden="1" customWidth="1"/>
    <col min="19" max="19" width="10.140625" hidden="1" customWidth="1"/>
    <col min="20" max="20" width="11" hidden="1" customWidth="1"/>
    <col min="21" max="21" width="10.7109375" customWidth="1"/>
    <col min="22" max="22" width="10.140625" customWidth="1"/>
    <col min="23" max="23" width="11" customWidth="1"/>
    <col min="24" max="24" width="10.7109375" customWidth="1"/>
    <col min="25" max="25" width="10.140625" customWidth="1"/>
    <col min="26" max="26" width="11" customWidth="1"/>
    <col min="238" max="238" width="7.7109375" bestFit="1" customWidth="1"/>
    <col min="239" max="239" width="48.7109375" customWidth="1"/>
    <col min="240" max="241" width="9.7109375" customWidth="1"/>
    <col min="242" max="243" width="10.85546875" bestFit="1" customWidth="1"/>
    <col min="244" max="244" width="10.140625" bestFit="1" customWidth="1"/>
    <col min="245" max="245" width="10.28515625" customWidth="1"/>
    <col min="246" max="246" width="14" bestFit="1" customWidth="1"/>
    <col min="494" max="494" width="7.7109375" bestFit="1" customWidth="1"/>
    <col min="495" max="495" width="48.7109375" customWidth="1"/>
    <col min="496" max="497" width="9.7109375" customWidth="1"/>
    <col min="498" max="499" width="10.85546875" bestFit="1" customWidth="1"/>
    <col min="500" max="500" width="10.140625" bestFit="1" customWidth="1"/>
    <col min="501" max="501" width="10.28515625" customWidth="1"/>
    <col min="502" max="502" width="14" bestFit="1" customWidth="1"/>
    <col min="750" max="750" width="7.7109375" bestFit="1" customWidth="1"/>
    <col min="751" max="751" width="48.7109375" customWidth="1"/>
    <col min="752" max="753" width="9.7109375" customWidth="1"/>
    <col min="754" max="755" width="10.85546875" bestFit="1" customWidth="1"/>
    <col min="756" max="756" width="10.140625" bestFit="1" customWidth="1"/>
    <col min="757" max="757" width="10.28515625" customWidth="1"/>
    <col min="758" max="758" width="14" bestFit="1" customWidth="1"/>
    <col min="1006" max="1006" width="7.7109375" bestFit="1" customWidth="1"/>
    <col min="1007" max="1007" width="48.7109375" customWidth="1"/>
    <col min="1008" max="1009" width="9.7109375" customWidth="1"/>
    <col min="1010" max="1011" width="10.85546875" bestFit="1" customWidth="1"/>
    <col min="1012" max="1012" width="10.140625" bestFit="1" customWidth="1"/>
    <col min="1013" max="1013" width="10.28515625" customWidth="1"/>
    <col min="1014" max="1014" width="14" bestFit="1" customWidth="1"/>
    <col min="1262" max="1262" width="7.7109375" bestFit="1" customWidth="1"/>
    <col min="1263" max="1263" width="48.7109375" customWidth="1"/>
    <col min="1264" max="1265" width="9.7109375" customWidth="1"/>
    <col min="1266" max="1267" width="10.85546875" bestFit="1" customWidth="1"/>
    <col min="1268" max="1268" width="10.140625" bestFit="1" customWidth="1"/>
    <col min="1269" max="1269" width="10.28515625" customWidth="1"/>
    <col min="1270" max="1270" width="14" bestFit="1" customWidth="1"/>
    <col min="1518" max="1518" width="7.7109375" bestFit="1" customWidth="1"/>
    <col min="1519" max="1519" width="48.7109375" customWidth="1"/>
    <col min="1520" max="1521" width="9.7109375" customWidth="1"/>
    <col min="1522" max="1523" width="10.85546875" bestFit="1" customWidth="1"/>
    <col min="1524" max="1524" width="10.140625" bestFit="1" customWidth="1"/>
    <col min="1525" max="1525" width="10.28515625" customWidth="1"/>
    <col min="1526" max="1526" width="14" bestFit="1" customWidth="1"/>
    <col min="1774" max="1774" width="7.7109375" bestFit="1" customWidth="1"/>
    <col min="1775" max="1775" width="48.7109375" customWidth="1"/>
    <col min="1776" max="1777" width="9.7109375" customWidth="1"/>
    <col min="1778" max="1779" width="10.85546875" bestFit="1" customWidth="1"/>
    <col min="1780" max="1780" width="10.140625" bestFit="1" customWidth="1"/>
    <col min="1781" max="1781" width="10.28515625" customWidth="1"/>
    <col min="1782" max="1782" width="14" bestFit="1" customWidth="1"/>
    <col min="2030" max="2030" width="7.7109375" bestFit="1" customWidth="1"/>
    <col min="2031" max="2031" width="48.7109375" customWidth="1"/>
    <col min="2032" max="2033" width="9.7109375" customWidth="1"/>
    <col min="2034" max="2035" width="10.85546875" bestFit="1" customWidth="1"/>
    <col min="2036" max="2036" width="10.140625" bestFit="1" customWidth="1"/>
    <col min="2037" max="2037" width="10.28515625" customWidth="1"/>
    <col min="2038" max="2038" width="14" bestFit="1" customWidth="1"/>
    <col min="2286" max="2286" width="7.7109375" bestFit="1" customWidth="1"/>
    <col min="2287" max="2287" width="48.7109375" customWidth="1"/>
    <col min="2288" max="2289" width="9.7109375" customWidth="1"/>
    <col min="2290" max="2291" width="10.85546875" bestFit="1" customWidth="1"/>
    <col min="2292" max="2292" width="10.140625" bestFit="1" customWidth="1"/>
    <col min="2293" max="2293" width="10.28515625" customWidth="1"/>
    <col min="2294" max="2294" width="14" bestFit="1" customWidth="1"/>
    <col min="2542" max="2542" width="7.7109375" bestFit="1" customWidth="1"/>
    <col min="2543" max="2543" width="48.7109375" customWidth="1"/>
    <col min="2544" max="2545" width="9.7109375" customWidth="1"/>
    <col min="2546" max="2547" width="10.85546875" bestFit="1" customWidth="1"/>
    <col min="2548" max="2548" width="10.140625" bestFit="1" customWidth="1"/>
    <col min="2549" max="2549" width="10.28515625" customWidth="1"/>
    <col min="2550" max="2550" width="14" bestFit="1" customWidth="1"/>
    <col min="2798" max="2798" width="7.7109375" bestFit="1" customWidth="1"/>
    <col min="2799" max="2799" width="48.7109375" customWidth="1"/>
    <col min="2800" max="2801" width="9.7109375" customWidth="1"/>
    <col min="2802" max="2803" width="10.85546875" bestFit="1" customWidth="1"/>
    <col min="2804" max="2804" width="10.140625" bestFit="1" customWidth="1"/>
    <col min="2805" max="2805" width="10.28515625" customWidth="1"/>
    <col min="2806" max="2806" width="14" bestFit="1" customWidth="1"/>
    <col min="3054" max="3054" width="7.7109375" bestFit="1" customWidth="1"/>
    <col min="3055" max="3055" width="48.7109375" customWidth="1"/>
    <col min="3056" max="3057" width="9.7109375" customWidth="1"/>
    <col min="3058" max="3059" width="10.85546875" bestFit="1" customWidth="1"/>
    <col min="3060" max="3060" width="10.140625" bestFit="1" customWidth="1"/>
    <col min="3061" max="3061" width="10.28515625" customWidth="1"/>
    <col min="3062" max="3062" width="14" bestFit="1" customWidth="1"/>
    <col min="3310" max="3310" width="7.7109375" bestFit="1" customWidth="1"/>
    <col min="3311" max="3311" width="48.7109375" customWidth="1"/>
    <col min="3312" max="3313" width="9.7109375" customWidth="1"/>
    <col min="3314" max="3315" width="10.85546875" bestFit="1" customWidth="1"/>
    <col min="3316" max="3316" width="10.140625" bestFit="1" customWidth="1"/>
    <col min="3317" max="3317" width="10.28515625" customWidth="1"/>
    <col min="3318" max="3318" width="14" bestFit="1" customWidth="1"/>
    <col min="3566" max="3566" width="7.7109375" bestFit="1" customWidth="1"/>
    <col min="3567" max="3567" width="48.7109375" customWidth="1"/>
    <col min="3568" max="3569" width="9.7109375" customWidth="1"/>
    <col min="3570" max="3571" width="10.85546875" bestFit="1" customWidth="1"/>
    <col min="3572" max="3572" width="10.140625" bestFit="1" customWidth="1"/>
    <col min="3573" max="3573" width="10.28515625" customWidth="1"/>
    <col min="3574" max="3574" width="14" bestFit="1" customWidth="1"/>
    <col min="3822" max="3822" width="7.7109375" bestFit="1" customWidth="1"/>
    <col min="3823" max="3823" width="48.7109375" customWidth="1"/>
    <col min="3824" max="3825" width="9.7109375" customWidth="1"/>
    <col min="3826" max="3827" width="10.85546875" bestFit="1" customWidth="1"/>
    <col min="3828" max="3828" width="10.140625" bestFit="1" customWidth="1"/>
    <col min="3829" max="3829" width="10.28515625" customWidth="1"/>
    <col min="3830" max="3830" width="14" bestFit="1" customWidth="1"/>
    <col min="4078" max="4078" width="7.7109375" bestFit="1" customWidth="1"/>
    <col min="4079" max="4079" width="48.7109375" customWidth="1"/>
    <col min="4080" max="4081" width="9.7109375" customWidth="1"/>
    <col min="4082" max="4083" width="10.85546875" bestFit="1" customWidth="1"/>
    <col min="4084" max="4084" width="10.140625" bestFit="1" customWidth="1"/>
    <col min="4085" max="4085" width="10.28515625" customWidth="1"/>
    <col min="4086" max="4086" width="14" bestFit="1" customWidth="1"/>
    <col min="4334" max="4334" width="7.7109375" bestFit="1" customWidth="1"/>
    <col min="4335" max="4335" width="48.7109375" customWidth="1"/>
    <col min="4336" max="4337" width="9.7109375" customWidth="1"/>
    <col min="4338" max="4339" width="10.85546875" bestFit="1" customWidth="1"/>
    <col min="4340" max="4340" width="10.140625" bestFit="1" customWidth="1"/>
    <col min="4341" max="4341" width="10.28515625" customWidth="1"/>
    <col min="4342" max="4342" width="14" bestFit="1" customWidth="1"/>
    <col min="4590" max="4590" width="7.7109375" bestFit="1" customWidth="1"/>
    <col min="4591" max="4591" width="48.7109375" customWidth="1"/>
    <col min="4592" max="4593" width="9.7109375" customWidth="1"/>
    <col min="4594" max="4595" width="10.85546875" bestFit="1" customWidth="1"/>
    <col min="4596" max="4596" width="10.140625" bestFit="1" customWidth="1"/>
    <col min="4597" max="4597" width="10.28515625" customWidth="1"/>
    <col min="4598" max="4598" width="14" bestFit="1" customWidth="1"/>
    <col min="4846" max="4846" width="7.7109375" bestFit="1" customWidth="1"/>
    <col min="4847" max="4847" width="48.7109375" customWidth="1"/>
    <col min="4848" max="4849" width="9.7109375" customWidth="1"/>
    <col min="4850" max="4851" width="10.85546875" bestFit="1" customWidth="1"/>
    <col min="4852" max="4852" width="10.140625" bestFit="1" customWidth="1"/>
    <col min="4853" max="4853" width="10.28515625" customWidth="1"/>
    <col min="4854" max="4854" width="14" bestFit="1" customWidth="1"/>
    <col min="5102" max="5102" width="7.7109375" bestFit="1" customWidth="1"/>
    <col min="5103" max="5103" width="48.7109375" customWidth="1"/>
    <col min="5104" max="5105" width="9.7109375" customWidth="1"/>
    <col min="5106" max="5107" width="10.85546875" bestFit="1" customWidth="1"/>
    <col min="5108" max="5108" width="10.140625" bestFit="1" customWidth="1"/>
    <col min="5109" max="5109" width="10.28515625" customWidth="1"/>
    <col min="5110" max="5110" width="14" bestFit="1" customWidth="1"/>
    <col min="5358" max="5358" width="7.7109375" bestFit="1" customWidth="1"/>
    <col min="5359" max="5359" width="48.7109375" customWidth="1"/>
    <col min="5360" max="5361" width="9.7109375" customWidth="1"/>
    <col min="5362" max="5363" width="10.85546875" bestFit="1" customWidth="1"/>
    <col min="5364" max="5364" width="10.140625" bestFit="1" customWidth="1"/>
    <col min="5365" max="5365" width="10.28515625" customWidth="1"/>
    <col min="5366" max="5366" width="14" bestFit="1" customWidth="1"/>
    <col min="5614" max="5614" width="7.7109375" bestFit="1" customWidth="1"/>
    <col min="5615" max="5615" width="48.7109375" customWidth="1"/>
    <col min="5616" max="5617" width="9.7109375" customWidth="1"/>
    <col min="5618" max="5619" width="10.85546875" bestFit="1" customWidth="1"/>
    <col min="5620" max="5620" width="10.140625" bestFit="1" customWidth="1"/>
    <col min="5621" max="5621" width="10.28515625" customWidth="1"/>
    <col min="5622" max="5622" width="14" bestFit="1" customWidth="1"/>
    <col min="5870" max="5870" width="7.7109375" bestFit="1" customWidth="1"/>
    <col min="5871" max="5871" width="48.7109375" customWidth="1"/>
    <col min="5872" max="5873" width="9.7109375" customWidth="1"/>
    <col min="5874" max="5875" width="10.85546875" bestFit="1" customWidth="1"/>
    <col min="5876" max="5876" width="10.140625" bestFit="1" customWidth="1"/>
    <col min="5877" max="5877" width="10.28515625" customWidth="1"/>
    <col min="5878" max="5878" width="14" bestFit="1" customWidth="1"/>
    <col min="6126" max="6126" width="7.7109375" bestFit="1" customWidth="1"/>
    <col min="6127" max="6127" width="48.7109375" customWidth="1"/>
    <col min="6128" max="6129" width="9.7109375" customWidth="1"/>
    <col min="6130" max="6131" width="10.85546875" bestFit="1" customWidth="1"/>
    <col min="6132" max="6132" width="10.140625" bestFit="1" customWidth="1"/>
    <col min="6133" max="6133" width="10.28515625" customWidth="1"/>
    <col min="6134" max="6134" width="14" bestFit="1" customWidth="1"/>
    <col min="6382" max="6382" width="7.7109375" bestFit="1" customWidth="1"/>
    <col min="6383" max="6383" width="48.7109375" customWidth="1"/>
    <col min="6384" max="6385" width="9.7109375" customWidth="1"/>
    <col min="6386" max="6387" width="10.85546875" bestFit="1" customWidth="1"/>
    <col min="6388" max="6388" width="10.140625" bestFit="1" customWidth="1"/>
    <col min="6389" max="6389" width="10.28515625" customWidth="1"/>
    <col min="6390" max="6390" width="14" bestFit="1" customWidth="1"/>
    <col min="6638" max="6638" width="7.7109375" bestFit="1" customWidth="1"/>
    <col min="6639" max="6639" width="48.7109375" customWidth="1"/>
    <col min="6640" max="6641" width="9.7109375" customWidth="1"/>
    <col min="6642" max="6643" width="10.85546875" bestFit="1" customWidth="1"/>
    <col min="6644" max="6644" width="10.140625" bestFit="1" customWidth="1"/>
    <col min="6645" max="6645" width="10.28515625" customWidth="1"/>
    <col min="6646" max="6646" width="14" bestFit="1" customWidth="1"/>
    <col min="6894" max="6894" width="7.7109375" bestFit="1" customWidth="1"/>
    <col min="6895" max="6895" width="48.7109375" customWidth="1"/>
    <col min="6896" max="6897" width="9.7109375" customWidth="1"/>
    <col min="6898" max="6899" width="10.85546875" bestFit="1" customWidth="1"/>
    <col min="6900" max="6900" width="10.140625" bestFit="1" customWidth="1"/>
    <col min="6901" max="6901" width="10.28515625" customWidth="1"/>
    <col min="6902" max="6902" width="14" bestFit="1" customWidth="1"/>
    <col min="7150" max="7150" width="7.7109375" bestFit="1" customWidth="1"/>
    <col min="7151" max="7151" width="48.7109375" customWidth="1"/>
    <col min="7152" max="7153" width="9.7109375" customWidth="1"/>
    <col min="7154" max="7155" width="10.85546875" bestFit="1" customWidth="1"/>
    <col min="7156" max="7156" width="10.140625" bestFit="1" customWidth="1"/>
    <col min="7157" max="7157" width="10.28515625" customWidth="1"/>
    <col min="7158" max="7158" width="14" bestFit="1" customWidth="1"/>
    <col min="7406" max="7406" width="7.7109375" bestFit="1" customWidth="1"/>
    <col min="7407" max="7407" width="48.7109375" customWidth="1"/>
    <col min="7408" max="7409" width="9.7109375" customWidth="1"/>
    <col min="7410" max="7411" width="10.85546875" bestFit="1" customWidth="1"/>
    <col min="7412" max="7412" width="10.140625" bestFit="1" customWidth="1"/>
    <col min="7413" max="7413" width="10.28515625" customWidth="1"/>
    <col min="7414" max="7414" width="14" bestFit="1" customWidth="1"/>
    <col min="7662" max="7662" width="7.7109375" bestFit="1" customWidth="1"/>
    <col min="7663" max="7663" width="48.7109375" customWidth="1"/>
    <col min="7664" max="7665" width="9.7109375" customWidth="1"/>
    <col min="7666" max="7667" width="10.85546875" bestFit="1" customWidth="1"/>
    <col min="7668" max="7668" width="10.140625" bestFit="1" customWidth="1"/>
    <col min="7669" max="7669" width="10.28515625" customWidth="1"/>
    <col min="7670" max="7670" width="14" bestFit="1" customWidth="1"/>
    <col min="7918" max="7918" width="7.7109375" bestFit="1" customWidth="1"/>
    <col min="7919" max="7919" width="48.7109375" customWidth="1"/>
    <col min="7920" max="7921" width="9.7109375" customWidth="1"/>
    <col min="7922" max="7923" width="10.85546875" bestFit="1" customWidth="1"/>
    <col min="7924" max="7924" width="10.140625" bestFit="1" customWidth="1"/>
    <col min="7925" max="7925" width="10.28515625" customWidth="1"/>
    <col min="7926" max="7926" width="14" bestFit="1" customWidth="1"/>
    <col min="8174" max="8174" width="7.7109375" bestFit="1" customWidth="1"/>
    <col min="8175" max="8175" width="48.7109375" customWidth="1"/>
    <col min="8176" max="8177" width="9.7109375" customWidth="1"/>
    <col min="8178" max="8179" width="10.85546875" bestFit="1" customWidth="1"/>
    <col min="8180" max="8180" width="10.140625" bestFit="1" customWidth="1"/>
    <col min="8181" max="8181" width="10.28515625" customWidth="1"/>
    <col min="8182" max="8182" width="14" bestFit="1" customWidth="1"/>
    <col min="8430" max="8430" width="7.7109375" bestFit="1" customWidth="1"/>
    <col min="8431" max="8431" width="48.7109375" customWidth="1"/>
    <col min="8432" max="8433" width="9.7109375" customWidth="1"/>
    <col min="8434" max="8435" width="10.85546875" bestFit="1" customWidth="1"/>
    <col min="8436" max="8436" width="10.140625" bestFit="1" customWidth="1"/>
    <col min="8437" max="8437" width="10.28515625" customWidth="1"/>
    <col min="8438" max="8438" width="14" bestFit="1" customWidth="1"/>
    <col min="8686" max="8686" width="7.7109375" bestFit="1" customWidth="1"/>
    <col min="8687" max="8687" width="48.7109375" customWidth="1"/>
    <col min="8688" max="8689" width="9.7109375" customWidth="1"/>
    <col min="8690" max="8691" width="10.85546875" bestFit="1" customWidth="1"/>
    <col min="8692" max="8692" width="10.140625" bestFit="1" customWidth="1"/>
    <col min="8693" max="8693" width="10.28515625" customWidth="1"/>
    <col min="8694" max="8694" width="14" bestFit="1" customWidth="1"/>
    <col min="8942" max="8942" width="7.7109375" bestFit="1" customWidth="1"/>
    <col min="8943" max="8943" width="48.7109375" customWidth="1"/>
    <col min="8944" max="8945" width="9.7109375" customWidth="1"/>
    <col min="8946" max="8947" width="10.85546875" bestFit="1" customWidth="1"/>
    <col min="8948" max="8948" width="10.140625" bestFit="1" customWidth="1"/>
    <col min="8949" max="8949" width="10.28515625" customWidth="1"/>
    <col min="8950" max="8950" width="14" bestFit="1" customWidth="1"/>
    <col min="9198" max="9198" width="7.7109375" bestFit="1" customWidth="1"/>
    <col min="9199" max="9199" width="48.7109375" customWidth="1"/>
    <col min="9200" max="9201" width="9.7109375" customWidth="1"/>
    <col min="9202" max="9203" width="10.85546875" bestFit="1" customWidth="1"/>
    <col min="9204" max="9204" width="10.140625" bestFit="1" customWidth="1"/>
    <col min="9205" max="9205" width="10.28515625" customWidth="1"/>
    <col min="9206" max="9206" width="14" bestFit="1" customWidth="1"/>
    <col min="9454" max="9454" width="7.7109375" bestFit="1" customWidth="1"/>
    <col min="9455" max="9455" width="48.7109375" customWidth="1"/>
    <col min="9456" max="9457" width="9.7109375" customWidth="1"/>
    <col min="9458" max="9459" width="10.85546875" bestFit="1" customWidth="1"/>
    <col min="9460" max="9460" width="10.140625" bestFit="1" customWidth="1"/>
    <col min="9461" max="9461" width="10.28515625" customWidth="1"/>
    <col min="9462" max="9462" width="14" bestFit="1" customWidth="1"/>
    <col min="9710" max="9710" width="7.7109375" bestFit="1" customWidth="1"/>
    <col min="9711" max="9711" width="48.7109375" customWidth="1"/>
    <col min="9712" max="9713" width="9.7109375" customWidth="1"/>
    <col min="9714" max="9715" width="10.85546875" bestFit="1" customWidth="1"/>
    <col min="9716" max="9716" width="10.140625" bestFit="1" customWidth="1"/>
    <col min="9717" max="9717" width="10.28515625" customWidth="1"/>
    <col min="9718" max="9718" width="14" bestFit="1" customWidth="1"/>
    <col min="9966" max="9966" width="7.7109375" bestFit="1" customWidth="1"/>
    <col min="9967" max="9967" width="48.7109375" customWidth="1"/>
    <col min="9968" max="9969" width="9.7109375" customWidth="1"/>
    <col min="9970" max="9971" width="10.85546875" bestFit="1" customWidth="1"/>
    <col min="9972" max="9972" width="10.140625" bestFit="1" customWidth="1"/>
    <col min="9973" max="9973" width="10.28515625" customWidth="1"/>
    <col min="9974" max="9974" width="14" bestFit="1" customWidth="1"/>
    <col min="10222" max="10222" width="7.7109375" bestFit="1" customWidth="1"/>
    <col min="10223" max="10223" width="48.7109375" customWidth="1"/>
    <col min="10224" max="10225" width="9.7109375" customWidth="1"/>
    <col min="10226" max="10227" width="10.85546875" bestFit="1" customWidth="1"/>
    <col min="10228" max="10228" width="10.140625" bestFit="1" customWidth="1"/>
    <col min="10229" max="10229" width="10.28515625" customWidth="1"/>
    <col min="10230" max="10230" width="14" bestFit="1" customWidth="1"/>
    <col min="10478" max="10478" width="7.7109375" bestFit="1" customWidth="1"/>
    <col min="10479" max="10479" width="48.7109375" customWidth="1"/>
    <col min="10480" max="10481" width="9.7109375" customWidth="1"/>
    <col min="10482" max="10483" width="10.85546875" bestFit="1" customWidth="1"/>
    <col min="10484" max="10484" width="10.140625" bestFit="1" customWidth="1"/>
    <col min="10485" max="10485" width="10.28515625" customWidth="1"/>
    <col min="10486" max="10486" width="14" bestFit="1" customWidth="1"/>
    <col min="10734" max="10734" width="7.7109375" bestFit="1" customWidth="1"/>
    <col min="10735" max="10735" width="48.7109375" customWidth="1"/>
    <col min="10736" max="10737" width="9.7109375" customWidth="1"/>
    <col min="10738" max="10739" width="10.85546875" bestFit="1" customWidth="1"/>
    <col min="10740" max="10740" width="10.140625" bestFit="1" customWidth="1"/>
    <col min="10741" max="10741" width="10.28515625" customWidth="1"/>
    <col min="10742" max="10742" width="14" bestFit="1" customWidth="1"/>
    <col min="10990" max="10990" width="7.7109375" bestFit="1" customWidth="1"/>
    <col min="10991" max="10991" width="48.7109375" customWidth="1"/>
    <col min="10992" max="10993" width="9.7109375" customWidth="1"/>
    <col min="10994" max="10995" width="10.85546875" bestFit="1" customWidth="1"/>
    <col min="10996" max="10996" width="10.140625" bestFit="1" customWidth="1"/>
    <col min="10997" max="10997" width="10.28515625" customWidth="1"/>
    <col min="10998" max="10998" width="14" bestFit="1" customWidth="1"/>
    <col min="11246" max="11246" width="7.7109375" bestFit="1" customWidth="1"/>
    <col min="11247" max="11247" width="48.7109375" customWidth="1"/>
    <col min="11248" max="11249" width="9.7109375" customWidth="1"/>
    <col min="11250" max="11251" width="10.85546875" bestFit="1" customWidth="1"/>
    <col min="11252" max="11252" width="10.140625" bestFit="1" customWidth="1"/>
    <col min="11253" max="11253" width="10.28515625" customWidth="1"/>
    <col min="11254" max="11254" width="14" bestFit="1" customWidth="1"/>
    <col min="11502" max="11502" width="7.7109375" bestFit="1" customWidth="1"/>
    <col min="11503" max="11503" width="48.7109375" customWidth="1"/>
    <col min="11504" max="11505" width="9.7109375" customWidth="1"/>
    <col min="11506" max="11507" width="10.85546875" bestFit="1" customWidth="1"/>
    <col min="11508" max="11508" width="10.140625" bestFit="1" customWidth="1"/>
    <col min="11509" max="11509" width="10.28515625" customWidth="1"/>
    <col min="11510" max="11510" width="14" bestFit="1" customWidth="1"/>
    <col min="11758" max="11758" width="7.7109375" bestFit="1" customWidth="1"/>
    <col min="11759" max="11759" width="48.7109375" customWidth="1"/>
    <col min="11760" max="11761" width="9.7109375" customWidth="1"/>
    <col min="11762" max="11763" width="10.85546875" bestFit="1" customWidth="1"/>
    <col min="11764" max="11764" width="10.140625" bestFit="1" customWidth="1"/>
    <col min="11765" max="11765" width="10.28515625" customWidth="1"/>
    <col min="11766" max="11766" width="14" bestFit="1" customWidth="1"/>
    <col min="12014" max="12014" width="7.7109375" bestFit="1" customWidth="1"/>
    <col min="12015" max="12015" width="48.7109375" customWidth="1"/>
    <col min="12016" max="12017" width="9.7109375" customWidth="1"/>
    <col min="12018" max="12019" width="10.85546875" bestFit="1" customWidth="1"/>
    <col min="12020" max="12020" width="10.140625" bestFit="1" customWidth="1"/>
    <col min="12021" max="12021" width="10.28515625" customWidth="1"/>
    <col min="12022" max="12022" width="14" bestFit="1" customWidth="1"/>
    <col min="12270" max="12270" width="7.7109375" bestFit="1" customWidth="1"/>
    <col min="12271" max="12271" width="48.7109375" customWidth="1"/>
    <col min="12272" max="12273" width="9.7109375" customWidth="1"/>
    <col min="12274" max="12275" width="10.85546875" bestFit="1" customWidth="1"/>
    <col min="12276" max="12276" width="10.140625" bestFit="1" customWidth="1"/>
    <col min="12277" max="12277" width="10.28515625" customWidth="1"/>
    <col min="12278" max="12278" width="14" bestFit="1" customWidth="1"/>
    <col min="12526" max="12526" width="7.7109375" bestFit="1" customWidth="1"/>
    <col min="12527" max="12527" width="48.7109375" customWidth="1"/>
    <col min="12528" max="12529" width="9.7109375" customWidth="1"/>
    <col min="12530" max="12531" width="10.85546875" bestFit="1" customWidth="1"/>
    <col min="12532" max="12532" width="10.140625" bestFit="1" customWidth="1"/>
    <col min="12533" max="12533" width="10.28515625" customWidth="1"/>
    <col min="12534" max="12534" width="14" bestFit="1" customWidth="1"/>
    <col min="12782" max="12782" width="7.7109375" bestFit="1" customWidth="1"/>
    <col min="12783" max="12783" width="48.7109375" customWidth="1"/>
    <col min="12784" max="12785" width="9.7109375" customWidth="1"/>
    <col min="12786" max="12787" width="10.85546875" bestFit="1" customWidth="1"/>
    <col min="12788" max="12788" width="10.140625" bestFit="1" customWidth="1"/>
    <col min="12789" max="12789" width="10.28515625" customWidth="1"/>
    <col min="12790" max="12790" width="14" bestFit="1" customWidth="1"/>
    <col min="13038" max="13038" width="7.7109375" bestFit="1" customWidth="1"/>
    <col min="13039" max="13039" width="48.7109375" customWidth="1"/>
    <col min="13040" max="13041" width="9.7109375" customWidth="1"/>
    <col min="13042" max="13043" width="10.85546875" bestFit="1" customWidth="1"/>
    <col min="13044" max="13044" width="10.140625" bestFit="1" customWidth="1"/>
    <col min="13045" max="13045" width="10.28515625" customWidth="1"/>
    <col min="13046" max="13046" width="14" bestFit="1" customWidth="1"/>
    <col min="13294" max="13294" width="7.7109375" bestFit="1" customWidth="1"/>
    <col min="13295" max="13295" width="48.7109375" customWidth="1"/>
    <col min="13296" max="13297" width="9.7109375" customWidth="1"/>
    <col min="13298" max="13299" width="10.85546875" bestFit="1" customWidth="1"/>
    <col min="13300" max="13300" width="10.140625" bestFit="1" customWidth="1"/>
    <col min="13301" max="13301" width="10.28515625" customWidth="1"/>
    <col min="13302" max="13302" width="14" bestFit="1" customWidth="1"/>
    <col min="13550" max="13550" width="7.7109375" bestFit="1" customWidth="1"/>
    <col min="13551" max="13551" width="48.7109375" customWidth="1"/>
    <col min="13552" max="13553" width="9.7109375" customWidth="1"/>
    <col min="13554" max="13555" width="10.85546875" bestFit="1" customWidth="1"/>
    <col min="13556" max="13556" width="10.140625" bestFit="1" customWidth="1"/>
    <col min="13557" max="13557" width="10.28515625" customWidth="1"/>
    <col min="13558" max="13558" width="14" bestFit="1" customWidth="1"/>
    <col min="13806" max="13806" width="7.7109375" bestFit="1" customWidth="1"/>
    <col min="13807" max="13807" width="48.7109375" customWidth="1"/>
    <col min="13808" max="13809" width="9.7109375" customWidth="1"/>
    <col min="13810" max="13811" width="10.85546875" bestFit="1" customWidth="1"/>
    <col min="13812" max="13812" width="10.140625" bestFit="1" customWidth="1"/>
    <col min="13813" max="13813" width="10.28515625" customWidth="1"/>
    <col min="13814" max="13814" width="14" bestFit="1" customWidth="1"/>
    <col min="14062" max="14062" width="7.7109375" bestFit="1" customWidth="1"/>
    <col min="14063" max="14063" width="48.7109375" customWidth="1"/>
    <col min="14064" max="14065" width="9.7109375" customWidth="1"/>
    <col min="14066" max="14067" width="10.85546875" bestFit="1" customWidth="1"/>
    <col min="14068" max="14068" width="10.140625" bestFit="1" customWidth="1"/>
    <col min="14069" max="14069" width="10.28515625" customWidth="1"/>
    <col min="14070" max="14070" width="14" bestFit="1" customWidth="1"/>
    <col min="14318" max="14318" width="7.7109375" bestFit="1" customWidth="1"/>
    <col min="14319" max="14319" width="48.7109375" customWidth="1"/>
    <col min="14320" max="14321" width="9.7109375" customWidth="1"/>
    <col min="14322" max="14323" width="10.85546875" bestFit="1" customWidth="1"/>
    <col min="14324" max="14324" width="10.140625" bestFit="1" customWidth="1"/>
    <col min="14325" max="14325" width="10.28515625" customWidth="1"/>
    <col min="14326" max="14326" width="14" bestFit="1" customWidth="1"/>
    <col min="14574" max="14574" width="7.7109375" bestFit="1" customWidth="1"/>
    <col min="14575" max="14575" width="48.7109375" customWidth="1"/>
    <col min="14576" max="14577" width="9.7109375" customWidth="1"/>
    <col min="14578" max="14579" width="10.85546875" bestFit="1" customWidth="1"/>
    <col min="14580" max="14580" width="10.140625" bestFit="1" customWidth="1"/>
    <col min="14581" max="14581" width="10.28515625" customWidth="1"/>
    <col min="14582" max="14582" width="14" bestFit="1" customWidth="1"/>
    <col min="14830" max="14830" width="7.7109375" bestFit="1" customWidth="1"/>
    <col min="14831" max="14831" width="48.7109375" customWidth="1"/>
    <col min="14832" max="14833" width="9.7109375" customWidth="1"/>
    <col min="14834" max="14835" width="10.85546875" bestFit="1" customWidth="1"/>
    <col min="14836" max="14836" width="10.140625" bestFit="1" customWidth="1"/>
    <col min="14837" max="14837" width="10.28515625" customWidth="1"/>
    <col min="14838" max="14838" width="14" bestFit="1" customWidth="1"/>
    <col min="15086" max="15086" width="7.7109375" bestFit="1" customWidth="1"/>
    <col min="15087" max="15087" width="48.7109375" customWidth="1"/>
    <col min="15088" max="15089" width="9.7109375" customWidth="1"/>
    <col min="15090" max="15091" width="10.85546875" bestFit="1" customWidth="1"/>
    <col min="15092" max="15092" width="10.140625" bestFit="1" customWidth="1"/>
    <col min="15093" max="15093" width="10.28515625" customWidth="1"/>
    <col min="15094" max="15094" width="14" bestFit="1" customWidth="1"/>
    <col min="15342" max="15342" width="7.7109375" bestFit="1" customWidth="1"/>
    <col min="15343" max="15343" width="48.7109375" customWidth="1"/>
    <col min="15344" max="15345" width="9.7109375" customWidth="1"/>
    <col min="15346" max="15347" width="10.85546875" bestFit="1" customWidth="1"/>
    <col min="15348" max="15348" width="10.140625" bestFit="1" customWidth="1"/>
    <col min="15349" max="15349" width="10.28515625" customWidth="1"/>
    <col min="15350" max="15350" width="14" bestFit="1" customWidth="1"/>
    <col min="15598" max="15598" width="7.7109375" bestFit="1" customWidth="1"/>
    <col min="15599" max="15599" width="48.7109375" customWidth="1"/>
    <col min="15600" max="15601" width="9.7109375" customWidth="1"/>
    <col min="15602" max="15603" width="10.85546875" bestFit="1" customWidth="1"/>
    <col min="15604" max="15604" width="10.140625" bestFit="1" customWidth="1"/>
    <col min="15605" max="15605" width="10.28515625" customWidth="1"/>
    <col min="15606" max="15606" width="14" bestFit="1" customWidth="1"/>
    <col min="15854" max="15854" width="7.7109375" bestFit="1" customWidth="1"/>
    <col min="15855" max="15855" width="48.7109375" customWidth="1"/>
    <col min="15856" max="15857" width="9.7109375" customWidth="1"/>
    <col min="15858" max="15859" width="10.85546875" bestFit="1" customWidth="1"/>
    <col min="15860" max="15860" width="10.140625" bestFit="1" customWidth="1"/>
    <col min="15861" max="15861" width="10.28515625" customWidth="1"/>
    <col min="15862" max="15862" width="14" bestFit="1" customWidth="1"/>
    <col min="16110" max="16110" width="7.7109375" bestFit="1" customWidth="1"/>
    <col min="16111" max="16111" width="48.7109375" customWidth="1"/>
    <col min="16112" max="16113" width="9.7109375" customWidth="1"/>
    <col min="16114" max="16115" width="10.85546875" bestFit="1" customWidth="1"/>
    <col min="16116" max="16116" width="10.140625" bestFit="1" customWidth="1"/>
    <col min="16117" max="16117" width="10.28515625" customWidth="1"/>
    <col min="16118" max="16118" width="14" bestFit="1" customWidth="1"/>
  </cols>
  <sheetData>
    <row r="1" spans="1:26" x14ac:dyDescent="0.25">
      <c r="E1" s="32"/>
      <c r="F1" s="402"/>
      <c r="H1" s="32"/>
      <c r="I1" s="402"/>
      <c r="K1" s="32"/>
      <c r="L1" s="402"/>
      <c r="N1" s="32"/>
      <c r="O1" s="402"/>
      <c r="Q1" s="32"/>
      <c r="R1" s="402"/>
      <c r="T1" s="32"/>
      <c r="U1" s="402"/>
      <c r="W1" s="32"/>
      <c r="X1" s="402"/>
      <c r="Z1" s="32" t="s">
        <v>302</v>
      </c>
    </row>
    <row r="2" spans="1:26" ht="15" customHeight="1" x14ac:dyDescent="0.25">
      <c r="A2" s="993" t="s">
        <v>552</v>
      </c>
      <c r="B2" s="995" t="s">
        <v>306</v>
      </c>
      <c r="C2" s="1031" t="s">
        <v>1369</v>
      </c>
      <c r="D2" s="1033" t="s">
        <v>1320</v>
      </c>
      <c r="E2" s="1033" t="s">
        <v>1317</v>
      </c>
      <c r="F2" s="1036" t="s">
        <v>1369</v>
      </c>
      <c r="G2" s="1033" t="s">
        <v>1320</v>
      </c>
      <c r="H2" s="1033" t="s">
        <v>1317</v>
      </c>
      <c r="I2" s="1036" t="s">
        <v>1369</v>
      </c>
      <c r="J2" s="1033" t="s">
        <v>1320</v>
      </c>
      <c r="K2" s="1033" t="s">
        <v>1317</v>
      </c>
      <c r="L2" s="1036" t="s">
        <v>1369</v>
      </c>
      <c r="M2" s="1033" t="s">
        <v>1320</v>
      </c>
      <c r="N2" s="1033" t="s">
        <v>1317</v>
      </c>
      <c r="O2" s="1036" t="s">
        <v>1369</v>
      </c>
      <c r="P2" s="1033" t="s">
        <v>1320</v>
      </c>
      <c r="Q2" s="1033" t="s">
        <v>1317</v>
      </c>
      <c r="R2" s="1036" t="s">
        <v>1369</v>
      </c>
      <c r="S2" s="1033" t="s">
        <v>1320</v>
      </c>
      <c r="T2" s="1033" t="s">
        <v>1317</v>
      </c>
      <c r="U2" s="1036" t="s">
        <v>1369</v>
      </c>
      <c r="V2" s="1033" t="s">
        <v>1320</v>
      </c>
      <c r="W2" s="1033" t="s">
        <v>1317</v>
      </c>
      <c r="X2" s="1036" t="s">
        <v>1369</v>
      </c>
      <c r="Y2" s="1033" t="s">
        <v>1320</v>
      </c>
      <c r="Z2" s="1033" t="s">
        <v>1317</v>
      </c>
    </row>
    <row r="3" spans="1:26" ht="42.75" customHeight="1" x14ac:dyDescent="0.25">
      <c r="A3" s="993"/>
      <c r="B3" s="995"/>
      <c r="C3" s="1032"/>
      <c r="D3" s="1034"/>
      <c r="E3" s="1034"/>
      <c r="F3" s="1037"/>
      <c r="G3" s="1034"/>
      <c r="H3" s="1034"/>
      <c r="I3" s="1037"/>
      <c r="J3" s="1034"/>
      <c r="K3" s="1034"/>
      <c r="L3" s="1037"/>
      <c r="M3" s="1034"/>
      <c r="N3" s="1034"/>
      <c r="O3" s="1037"/>
      <c r="P3" s="1034"/>
      <c r="Q3" s="1034"/>
      <c r="R3" s="1037"/>
      <c r="S3" s="1034"/>
      <c r="T3" s="1034"/>
      <c r="U3" s="1037"/>
      <c r="V3" s="1034"/>
      <c r="W3" s="1034"/>
      <c r="X3" s="1037"/>
      <c r="Y3" s="1034"/>
      <c r="Z3" s="1034"/>
    </row>
    <row r="4" spans="1:26" s="31" customFormat="1" ht="38.25" customHeight="1" x14ac:dyDescent="0.25">
      <c r="A4" s="993"/>
      <c r="B4" s="995"/>
      <c r="C4" s="1035" t="s">
        <v>1495</v>
      </c>
      <c r="D4" s="989"/>
      <c r="E4" s="990"/>
      <c r="F4" s="1035" t="s">
        <v>1497</v>
      </c>
      <c r="G4" s="989"/>
      <c r="H4" s="990"/>
      <c r="I4" s="1035" t="s">
        <v>1498</v>
      </c>
      <c r="J4" s="989"/>
      <c r="K4" s="990"/>
      <c r="L4" s="1035" t="s">
        <v>1496</v>
      </c>
      <c r="M4" s="989"/>
      <c r="N4" s="990"/>
      <c r="O4" s="1035" t="s">
        <v>1499</v>
      </c>
      <c r="P4" s="989"/>
      <c r="Q4" s="990"/>
      <c r="R4" s="1035" t="s">
        <v>1709</v>
      </c>
      <c r="S4" s="989"/>
      <c r="T4" s="990"/>
      <c r="U4" s="1035" t="s">
        <v>1727</v>
      </c>
      <c r="V4" s="989"/>
      <c r="W4" s="990"/>
      <c r="X4" s="1035" t="s">
        <v>1741</v>
      </c>
      <c r="Y4" s="989"/>
      <c r="Z4" s="990"/>
    </row>
    <row r="5" spans="1:26" s="31" customFormat="1" ht="30" x14ac:dyDescent="0.25">
      <c r="A5" s="331" t="s">
        <v>315</v>
      </c>
      <c r="B5" s="363" t="s">
        <v>346</v>
      </c>
      <c r="C5" s="403">
        <v>231</v>
      </c>
      <c r="D5" s="333">
        <v>0</v>
      </c>
      <c r="E5" s="333">
        <v>1841435.2</v>
      </c>
      <c r="F5" s="403">
        <v>231.5</v>
      </c>
      <c r="G5" s="333">
        <v>0</v>
      </c>
      <c r="H5" s="333">
        <v>1900143</v>
      </c>
      <c r="I5" s="403">
        <v>231</v>
      </c>
      <c r="J5" s="333">
        <v>0</v>
      </c>
      <c r="K5" s="333">
        <v>1900143</v>
      </c>
      <c r="L5" s="403">
        <v>231.5</v>
      </c>
      <c r="M5" s="333">
        <v>0</v>
      </c>
      <c r="N5" s="333">
        <v>1787207</v>
      </c>
      <c r="O5" s="374">
        <f>+O6+O20+O34+O48+O73+O92+O116+O130</f>
        <v>234</v>
      </c>
      <c r="P5" s="333">
        <v>0</v>
      </c>
      <c r="Q5" s="333">
        <f>+Q6+Q20+Q34+Q48+Q73+Q92+Q116+Q130+1</f>
        <v>1964121.83</v>
      </c>
      <c r="R5" s="374">
        <f>+R6+R20+R34+R48+R73+R92+R116+R130</f>
        <v>234</v>
      </c>
      <c r="S5" s="333">
        <v>0</v>
      </c>
      <c r="T5" s="333">
        <f>+T6+T20+T34+T48+T73+T92+T116+T130+1</f>
        <v>1976342.33</v>
      </c>
      <c r="U5" s="374">
        <f>+U6+U20+U34+U48+U73+U92+U116+U130</f>
        <v>234</v>
      </c>
      <c r="V5" s="333">
        <v>0</v>
      </c>
      <c r="W5" s="333">
        <f>+W6+W20+W34+W48+W73+W92+W116+W130+1</f>
        <v>1978629.33</v>
      </c>
      <c r="X5" s="984">
        <f>+X6+X20+X34+X48+X73+X92+X116+X130</f>
        <v>234.25</v>
      </c>
      <c r="Y5" s="333">
        <v>0</v>
      </c>
      <c r="Z5" s="333">
        <f>+Z6+Z20+Z34+Z48+Z73+Z92+Z116+Z130+1</f>
        <v>1993796.68</v>
      </c>
    </row>
    <row r="6" spans="1:26" s="44" customFormat="1" x14ac:dyDescent="0.25">
      <c r="A6" s="364" t="s">
        <v>1449</v>
      </c>
      <c r="B6" s="365" t="s">
        <v>347</v>
      </c>
      <c r="C6" s="404">
        <v>12.5</v>
      </c>
      <c r="D6" s="366">
        <v>0</v>
      </c>
      <c r="E6" s="366">
        <v>87619</v>
      </c>
      <c r="F6" s="404">
        <v>13</v>
      </c>
      <c r="G6" s="366">
        <v>0</v>
      </c>
      <c r="H6" s="366">
        <v>88525</v>
      </c>
      <c r="I6" s="404">
        <v>12.5</v>
      </c>
      <c r="J6" s="366">
        <v>0</v>
      </c>
      <c r="K6" s="366">
        <v>88525</v>
      </c>
      <c r="L6" s="404">
        <v>13</v>
      </c>
      <c r="M6" s="366">
        <v>0</v>
      </c>
      <c r="N6" s="366">
        <v>75985</v>
      </c>
      <c r="O6" s="404">
        <v>13</v>
      </c>
      <c r="P6" s="366">
        <v>0</v>
      </c>
      <c r="Q6" s="366">
        <v>82602</v>
      </c>
      <c r="R6" s="404">
        <v>13</v>
      </c>
      <c r="S6" s="366">
        <v>0</v>
      </c>
      <c r="T6" s="366">
        <f>T7+T19</f>
        <v>83743</v>
      </c>
      <c r="U6" s="404">
        <v>13</v>
      </c>
      <c r="V6" s="366">
        <v>0</v>
      </c>
      <c r="W6" s="366">
        <f>W7+W19</f>
        <v>83743</v>
      </c>
      <c r="X6" s="404">
        <v>13</v>
      </c>
      <c r="Y6" s="366">
        <v>0</v>
      </c>
      <c r="Z6" s="366">
        <f>Z7+Z19</f>
        <v>83778</v>
      </c>
    </row>
    <row r="7" spans="1:26" outlineLevel="1" x14ac:dyDescent="0.25">
      <c r="A7" s="367" t="s">
        <v>309</v>
      </c>
      <c r="B7" s="368" t="s">
        <v>348</v>
      </c>
      <c r="C7" s="405">
        <v>12.5</v>
      </c>
      <c r="D7" s="369">
        <v>0</v>
      </c>
      <c r="E7" s="369">
        <v>87619</v>
      </c>
      <c r="F7" s="405">
        <v>13</v>
      </c>
      <c r="G7" s="369">
        <v>0</v>
      </c>
      <c r="H7" s="369">
        <v>88525</v>
      </c>
      <c r="I7" s="405">
        <v>12.5</v>
      </c>
      <c r="J7" s="369">
        <v>0</v>
      </c>
      <c r="K7" s="369">
        <v>88525</v>
      </c>
      <c r="L7" s="405">
        <v>13</v>
      </c>
      <c r="M7" s="369">
        <v>0</v>
      </c>
      <c r="N7" s="369">
        <v>75985</v>
      </c>
      <c r="O7" s="918">
        <v>13</v>
      </c>
      <c r="P7" s="919">
        <v>0</v>
      </c>
      <c r="Q7" s="919">
        <v>82602</v>
      </c>
      <c r="R7" s="405">
        <v>13</v>
      </c>
      <c r="S7" s="369">
        <v>0</v>
      </c>
      <c r="T7" s="369">
        <f>T8+T14</f>
        <v>83743</v>
      </c>
      <c r="U7" s="405">
        <v>13</v>
      </c>
      <c r="V7" s="369">
        <v>0</v>
      </c>
      <c r="W7" s="369">
        <f>W8+W14</f>
        <v>83743</v>
      </c>
      <c r="X7" s="918">
        <v>13</v>
      </c>
      <c r="Y7" s="919">
        <v>0</v>
      </c>
      <c r="Z7" s="919">
        <f>Z8+Z14</f>
        <v>83778</v>
      </c>
    </row>
    <row r="8" spans="1:26" outlineLevel="2" x14ac:dyDescent="0.25">
      <c r="A8" s="337" t="s">
        <v>311</v>
      </c>
      <c r="B8" s="338" t="s">
        <v>349</v>
      </c>
      <c r="C8" s="406">
        <v>12.5</v>
      </c>
      <c r="D8" s="339">
        <v>0</v>
      </c>
      <c r="E8" s="339">
        <v>78493</v>
      </c>
      <c r="F8" s="406">
        <v>13</v>
      </c>
      <c r="G8" s="339">
        <v>0</v>
      </c>
      <c r="H8" s="339">
        <v>79399</v>
      </c>
      <c r="I8" s="406">
        <v>12.5</v>
      </c>
      <c r="J8" s="339">
        <v>0</v>
      </c>
      <c r="K8" s="339">
        <v>79399</v>
      </c>
      <c r="L8" s="406">
        <v>13</v>
      </c>
      <c r="M8" s="339">
        <v>0</v>
      </c>
      <c r="N8" s="339">
        <v>65813</v>
      </c>
      <c r="O8" s="920">
        <v>13</v>
      </c>
      <c r="P8" s="921">
        <v>0</v>
      </c>
      <c r="Q8" s="921">
        <v>73466</v>
      </c>
      <c r="R8" s="406">
        <v>13</v>
      </c>
      <c r="S8" s="339">
        <v>0</v>
      </c>
      <c r="T8" s="339">
        <f>SUM(T9:T13)</f>
        <v>74607</v>
      </c>
      <c r="U8" s="406">
        <v>13</v>
      </c>
      <c r="V8" s="339">
        <v>0</v>
      </c>
      <c r="W8" s="339">
        <f>SUM(W9:W13)</f>
        <v>74607</v>
      </c>
      <c r="X8" s="920">
        <v>13</v>
      </c>
      <c r="Y8" s="921">
        <v>0</v>
      </c>
      <c r="Z8" s="921">
        <f>SUM(Z9:Z13)</f>
        <v>74642</v>
      </c>
    </row>
    <row r="9" spans="1:26" outlineLevel="3" x14ac:dyDescent="0.25">
      <c r="A9" s="340"/>
      <c r="B9" s="341" t="s">
        <v>286</v>
      </c>
      <c r="C9" s="407"/>
      <c r="D9" s="273"/>
      <c r="E9" s="273">
        <v>57874</v>
      </c>
      <c r="F9" s="407"/>
      <c r="G9" s="273"/>
      <c r="H9" s="273">
        <v>57874</v>
      </c>
      <c r="I9" s="407"/>
      <c r="J9" s="273"/>
      <c r="K9" s="273">
        <v>57874</v>
      </c>
      <c r="L9" s="407"/>
      <c r="M9" s="273"/>
      <c r="N9" s="273">
        <v>49127</v>
      </c>
      <c r="O9" s="922"/>
      <c r="P9" s="923"/>
      <c r="Q9" s="923">
        <v>52685</v>
      </c>
      <c r="R9" s="407"/>
      <c r="S9" s="273"/>
      <c r="T9" s="273">
        <v>52685</v>
      </c>
      <c r="U9" s="407"/>
      <c r="V9" s="273"/>
      <c r="W9" s="273">
        <v>52685</v>
      </c>
      <c r="X9" s="922"/>
      <c r="Y9" s="923"/>
      <c r="Z9" s="923">
        <f>52685+30</f>
        <v>52715</v>
      </c>
    </row>
    <row r="10" spans="1:26" outlineLevel="3" x14ac:dyDescent="0.25">
      <c r="A10" s="340"/>
      <c r="B10" s="341" t="s">
        <v>350</v>
      </c>
      <c r="C10" s="407"/>
      <c r="D10" s="273"/>
      <c r="E10" s="273">
        <v>11250</v>
      </c>
      <c r="F10" s="407"/>
      <c r="G10" s="273"/>
      <c r="H10" s="273">
        <v>11250</v>
      </c>
      <c r="I10" s="407"/>
      <c r="J10" s="273"/>
      <c r="K10" s="273">
        <v>11250</v>
      </c>
      <c r="L10" s="407"/>
      <c r="M10" s="273"/>
      <c r="N10" s="273">
        <v>10223</v>
      </c>
      <c r="O10" s="922"/>
      <c r="P10" s="923"/>
      <c r="Q10" s="923">
        <v>11064</v>
      </c>
      <c r="R10" s="407"/>
      <c r="S10" s="273"/>
      <c r="T10" s="273">
        <v>11064</v>
      </c>
      <c r="U10" s="407"/>
      <c r="V10" s="273"/>
      <c r="W10" s="273">
        <v>11064</v>
      </c>
      <c r="X10" s="922"/>
      <c r="Y10" s="923"/>
      <c r="Z10" s="923">
        <f>11064+5</f>
        <v>11069</v>
      </c>
    </row>
    <row r="11" spans="1:26" outlineLevel="3" x14ac:dyDescent="0.25">
      <c r="A11" s="340"/>
      <c r="B11" s="341" t="s">
        <v>292</v>
      </c>
      <c r="C11" s="407"/>
      <c r="D11" s="273"/>
      <c r="E11" s="273">
        <v>7469</v>
      </c>
      <c r="F11" s="407"/>
      <c r="G11" s="273"/>
      <c r="H11" s="273">
        <v>7531</v>
      </c>
      <c r="I11" s="407"/>
      <c r="J11" s="273"/>
      <c r="K11" s="273">
        <v>7531</v>
      </c>
      <c r="L11" s="407"/>
      <c r="M11" s="273"/>
      <c r="N11" s="273">
        <v>4570</v>
      </c>
      <c r="O11" s="922"/>
      <c r="P11" s="923"/>
      <c r="Q11" s="923">
        <v>8247.0400000000009</v>
      </c>
      <c r="R11" s="407"/>
      <c r="S11" s="273"/>
      <c r="T11" s="273">
        <f>8247+1141</f>
        <v>9388</v>
      </c>
      <c r="U11" s="407"/>
      <c r="V11" s="273"/>
      <c r="W11" s="273">
        <f>8247+1141</f>
        <v>9388</v>
      </c>
      <c r="X11" s="922"/>
      <c r="Y11" s="923"/>
      <c r="Z11" s="923">
        <f>8247+1141</f>
        <v>9388</v>
      </c>
    </row>
    <row r="12" spans="1:26" outlineLevel="3" x14ac:dyDescent="0.25">
      <c r="A12" s="340"/>
      <c r="B12" s="341" t="s">
        <v>339</v>
      </c>
      <c r="C12" s="407"/>
      <c r="D12" s="273"/>
      <c r="E12" s="273">
        <v>0</v>
      </c>
      <c r="F12" s="407"/>
      <c r="G12" s="273"/>
      <c r="H12" s="273">
        <v>844</v>
      </c>
      <c r="I12" s="407"/>
      <c r="J12" s="273"/>
      <c r="K12" s="273">
        <v>844</v>
      </c>
      <c r="L12" s="407"/>
      <c r="M12" s="273"/>
      <c r="N12" s="273">
        <v>844</v>
      </c>
      <c r="O12" s="922"/>
      <c r="P12" s="923"/>
      <c r="Q12" s="923">
        <v>0</v>
      </c>
      <c r="R12" s="407"/>
      <c r="S12" s="273"/>
      <c r="T12" s="273">
        <v>0</v>
      </c>
      <c r="U12" s="407"/>
      <c r="V12" s="273"/>
      <c r="W12" s="273">
        <v>0</v>
      </c>
      <c r="X12" s="922"/>
      <c r="Y12" s="923"/>
      <c r="Z12" s="923">
        <v>0</v>
      </c>
    </row>
    <row r="13" spans="1:26" outlineLevel="3" x14ac:dyDescent="0.25">
      <c r="A13" s="340"/>
      <c r="B13" s="341" t="s">
        <v>351</v>
      </c>
      <c r="C13" s="407"/>
      <c r="D13" s="273"/>
      <c r="E13" s="273">
        <v>1900</v>
      </c>
      <c r="F13" s="407"/>
      <c r="G13" s="273"/>
      <c r="H13" s="273">
        <v>1900</v>
      </c>
      <c r="I13" s="407"/>
      <c r="J13" s="273"/>
      <c r="K13" s="273">
        <v>1900</v>
      </c>
      <c r="L13" s="407"/>
      <c r="M13" s="273"/>
      <c r="N13" s="273">
        <v>1049</v>
      </c>
      <c r="O13" s="922"/>
      <c r="P13" s="923"/>
      <c r="Q13" s="923">
        <v>1470</v>
      </c>
      <c r="R13" s="407"/>
      <c r="S13" s="273"/>
      <c r="T13" s="273">
        <v>1470</v>
      </c>
      <c r="U13" s="407"/>
      <c r="V13" s="273"/>
      <c r="W13" s="273">
        <v>1470</v>
      </c>
      <c r="X13" s="922"/>
      <c r="Y13" s="923"/>
      <c r="Z13" s="923">
        <v>1470</v>
      </c>
    </row>
    <row r="14" spans="1:26" outlineLevel="2" x14ac:dyDescent="0.25">
      <c r="A14" s="337" t="s">
        <v>322</v>
      </c>
      <c r="B14" s="338" t="s">
        <v>352</v>
      </c>
      <c r="C14" s="406">
        <v>0</v>
      </c>
      <c r="D14" s="339">
        <v>0</v>
      </c>
      <c r="E14" s="339">
        <v>9126</v>
      </c>
      <c r="F14" s="406">
        <v>0</v>
      </c>
      <c r="G14" s="339">
        <v>0</v>
      </c>
      <c r="H14" s="339">
        <v>9126</v>
      </c>
      <c r="I14" s="406">
        <v>0</v>
      </c>
      <c r="J14" s="339">
        <v>0</v>
      </c>
      <c r="K14" s="339">
        <v>9126</v>
      </c>
      <c r="L14" s="406">
        <v>0</v>
      </c>
      <c r="M14" s="339">
        <v>0</v>
      </c>
      <c r="N14" s="339">
        <v>10172</v>
      </c>
      <c r="O14" s="920">
        <v>0</v>
      </c>
      <c r="P14" s="921">
        <v>0</v>
      </c>
      <c r="Q14" s="921">
        <v>9136</v>
      </c>
      <c r="R14" s="406">
        <v>0</v>
      </c>
      <c r="S14" s="339">
        <v>0</v>
      </c>
      <c r="T14" s="339">
        <v>9136</v>
      </c>
      <c r="U14" s="406">
        <v>0</v>
      </c>
      <c r="V14" s="339">
        <v>0</v>
      </c>
      <c r="W14" s="339">
        <v>9136</v>
      </c>
      <c r="X14" s="920">
        <v>0</v>
      </c>
      <c r="Y14" s="921">
        <v>0</v>
      </c>
      <c r="Z14" s="921">
        <v>9136</v>
      </c>
    </row>
    <row r="15" spans="1:26" outlineLevel="3" x14ac:dyDescent="0.25">
      <c r="A15" s="340"/>
      <c r="B15" s="341" t="s">
        <v>286</v>
      </c>
      <c r="C15" s="407"/>
      <c r="D15" s="273"/>
      <c r="E15" s="273">
        <v>0</v>
      </c>
      <c r="F15" s="407"/>
      <c r="G15" s="273"/>
      <c r="H15" s="273">
        <v>0</v>
      </c>
      <c r="I15" s="407"/>
      <c r="J15" s="273"/>
      <c r="K15" s="273">
        <v>0</v>
      </c>
      <c r="L15" s="407"/>
      <c r="M15" s="273"/>
      <c r="N15" s="273"/>
      <c r="O15" s="922"/>
      <c r="P15" s="923"/>
      <c r="Q15" s="923"/>
      <c r="R15" s="407"/>
      <c r="S15" s="273"/>
      <c r="T15" s="273"/>
      <c r="U15" s="407"/>
      <c r="V15" s="273"/>
      <c r="W15" s="273"/>
      <c r="X15" s="922"/>
      <c r="Y15" s="923"/>
      <c r="Z15" s="923"/>
    </row>
    <row r="16" spans="1:26" outlineLevel="3" x14ac:dyDescent="0.25">
      <c r="A16" s="340"/>
      <c r="B16" s="341" t="s">
        <v>350</v>
      </c>
      <c r="C16" s="407"/>
      <c r="D16" s="273"/>
      <c r="E16" s="273">
        <v>0</v>
      </c>
      <c r="F16" s="407"/>
      <c r="G16" s="273"/>
      <c r="H16" s="273">
        <v>0</v>
      </c>
      <c r="I16" s="407"/>
      <c r="J16" s="273"/>
      <c r="K16" s="273">
        <v>0</v>
      </c>
      <c r="L16" s="407"/>
      <c r="M16" s="273"/>
      <c r="N16" s="273"/>
      <c r="O16" s="922"/>
      <c r="P16" s="923"/>
      <c r="Q16" s="923"/>
      <c r="R16" s="407"/>
      <c r="S16" s="273"/>
      <c r="T16" s="273"/>
      <c r="U16" s="407"/>
      <c r="V16" s="273"/>
      <c r="W16" s="273"/>
      <c r="X16" s="922"/>
      <c r="Y16" s="923"/>
      <c r="Z16" s="923"/>
    </row>
    <row r="17" spans="1:26" outlineLevel="3" x14ac:dyDescent="0.25">
      <c r="A17" s="340"/>
      <c r="B17" s="341" t="s">
        <v>292</v>
      </c>
      <c r="C17" s="407"/>
      <c r="D17" s="273"/>
      <c r="E17" s="273">
        <v>9126</v>
      </c>
      <c r="F17" s="407"/>
      <c r="G17" s="273"/>
      <c r="H17" s="273">
        <v>9126</v>
      </c>
      <c r="I17" s="407"/>
      <c r="J17" s="273"/>
      <c r="K17" s="273">
        <v>9126</v>
      </c>
      <c r="L17" s="407"/>
      <c r="M17" s="273"/>
      <c r="N17" s="273">
        <v>10172</v>
      </c>
      <c r="O17" s="922"/>
      <c r="P17" s="923"/>
      <c r="Q17" s="923">
        <v>9136</v>
      </c>
      <c r="R17" s="407"/>
      <c r="S17" s="273"/>
      <c r="T17" s="273">
        <v>9136</v>
      </c>
      <c r="U17" s="407"/>
      <c r="V17" s="273"/>
      <c r="W17" s="273">
        <v>9136</v>
      </c>
      <c r="X17" s="922"/>
      <c r="Y17" s="923"/>
      <c r="Z17" s="923">
        <v>9136</v>
      </c>
    </row>
    <row r="18" spans="1:26" outlineLevel="3" x14ac:dyDescent="0.25">
      <c r="A18" s="340"/>
      <c r="B18" s="341" t="s">
        <v>351</v>
      </c>
      <c r="C18" s="407"/>
      <c r="D18" s="273"/>
      <c r="E18" s="273">
        <v>0</v>
      </c>
      <c r="F18" s="407"/>
      <c r="G18" s="273"/>
      <c r="H18" s="273">
        <v>0</v>
      </c>
      <c r="I18" s="407"/>
      <c r="J18" s="273"/>
      <c r="K18" s="273">
        <v>0</v>
      </c>
      <c r="L18" s="407"/>
      <c r="M18" s="273"/>
      <c r="N18" s="273"/>
      <c r="O18" s="922"/>
      <c r="P18" s="923"/>
      <c r="Q18" s="923"/>
      <c r="R18" s="407"/>
      <c r="S18" s="273"/>
      <c r="T18" s="273"/>
      <c r="U18" s="407"/>
      <c r="V18" s="273"/>
      <c r="W18" s="273"/>
      <c r="X18" s="922"/>
      <c r="Y18" s="923"/>
      <c r="Z18" s="923"/>
    </row>
    <row r="19" spans="1:26" outlineLevel="1" x14ac:dyDescent="0.25">
      <c r="A19" s="367" t="s">
        <v>318</v>
      </c>
      <c r="B19" s="368" t="s">
        <v>353</v>
      </c>
      <c r="C19" s="405">
        <v>0</v>
      </c>
      <c r="D19" s="369">
        <v>0</v>
      </c>
      <c r="E19" s="369">
        <v>0</v>
      </c>
      <c r="F19" s="405">
        <v>0</v>
      </c>
      <c r="G19" s="369">
        <v>0</v>
      </c>
      <c r="H19" s="369">
        <v>0</v>
      </c>
      <c r="I19" s="405">
        <v>0</v>
      </c>
      <c r="J19" s="369">
        <v>0</v>
      </c>
      <c r="K19" s="369">
        <v>0</v>
      </c>
      <c r="L19" s="405">
        <v>0</v>
      </c>
      <c r="M19" s="369">
        <v>0</v>
      </c>
      <c r="N19" s="369">
        <v>0</v>
      </c>
      <c r="O19" s="918">
        <v>0</v>
      </c>
      <c r="P19" s="919">
        <v>0</v>
      </c>
      <c r="Q19" s="919">
        <v>0</v>
      </c>
      <c r="R19" s="405">
        <v>0</v>
      </c>
      <c r="S19" s="369">
        <v>0</v>
      </c>
      <c r="T19" s="369">
        <v>0</v>
      </c>
      <c r="U19" s="405">
        <v>0</v>
      </c>
      <c r="V19" s="369">
        <v>0</v>
      </c>
      <c r="W19" s="369">
        <v>0</v>
      </c>
      <c r="X19" s="918">
        <v>0</v>
      </c>
      <c r="Y19" s="919">
        <v>0</v>
      </c>
      <c r="Z19" s="919">
        <v>0</v>
      </c>
    </row>
    <row r="20" spans="1:26" x14ac:dyDescent="0.25">
      <c r="A20" s="364" t="s">
        <v>1450</v>
      </c>
      <c r="B20" s="365" t="s">
        <v>354</v>
      </c>
      <c r="C20" s="404">
        <v>32</v>
      </c>
      <c r="D20" s="366">
        <v>0</v>
      </c>
      <c r="E20" s="366">
        <v>180639</v>
      </c>
      <c r="F20" s="404">
        <v>32</v>
      </c>
      <c r="G20" s="366">
        <v>0</v>
      </c>
      <c r="H20" s="366">
        <v>182048</v>
      </c>
      <c r="I20" s="404">
        <v>32</v>
      </c>
      <c r="J20" s="366">
        <v>0</v>
      </c>
      <c r="K20" s="366">
        <v>182048</v>
      </c>
      <c r="L20" s="404">
        <v>32</v>
      </c>
      <c r="M20" s="366">
        <v>0</v>
      </c>
      <c r="N20" s="366">
        <v>173046</v>
      </c>
      <c r="O20" s="404">
        <v>32</v>
      </c>
      <c r="P20" s="366">
        <v>0</v>
      </c>
      <c r="Q20" s="366">
        <f>+Q21+Q33</f>
        <v>189078</v>
      </c>
      <c r="R20" s="404">
        <v>32</v>
      </c>
      <c r="S20" s="366">
        <v>0</v>
      </c>
      <c r="T20" s="366">
        <f>+T21+T33</f>
        <v>189310</v>
      </c>
      <c r="U20" s="404">
        <v>32</v>
      </c>
      <c r="V20" s="366">
        <v>0</v>
      </c>
      <c r="W20" s="366">
        <f>+W21+W33</f>
        <v>189310</v>
      </c>
      <c r="X20" s="404">
        <v>32</v>
      </c>
      <c r="Y20" s="366">
        <v>0</v>
      </c>
      <c r="Z20" s="366">
        <f>+Z21+Z33</f>
        <v>189381</v>
      </c>
    </row>
    <row r="21" spans="1:26" outlineLevel="1" x14ac:dyDescent="0.25">
      <c r="A21" s="367" t="s">
        <v>309</v>
      </c>
      <c r="B21" s="368" t="s">
        <v>348</v>
      </c>
      <c r="C21" s="405">
        <v>32</v>
      </c>
      <c r="D21" s="369">
        <v>0</v>
      </c>
      <c r="E21" s="369">
        <v>180639</v>
      </c>
      <c r="F21" s="405">
        <v>32</v>
      </c>
      <c r="G21" s="369">
        <v>0</v>
      </c>
      <c r="H21" s="369">
        <v>182048</v>
      </c>
      <c r="I21" s="405">
        <v>32</v>
      </c>
      <c r="J21" s="369">
        <v>0</v>
      </c>
      <c r="K21" s="369">
        <v>182048</v>
      </c>
      <c r="L21" s="405">
        <v>32</v>
      </c>
      <c r="M21" s="369">
        <v>0</v>
      </c>
      <c r="N21" s="369">
        <v>173046</v>
      </c>
      <c r="O21" s="918">
        <v>32</v>
      </c>
      <c r="P21" s="919">
        <v>0</v>
      </c>
      <c r="Q21" s="919">
        <f>+Q22+Q28</f>
        <v>189078</v>
      </c>
      <c r="R21" s="405">
        <v>32</v>
      </c>
      <c r="S21" s="369">
        <v>0</v>
      </c>
      <c r="T21" s="369">
        <f>+T22+T28</f>
        <v>189310</v>
      </c>
      <c r="U21" s="405">
        <v>32</v>
      </c>
      <c r="V21" s="369">
        <v>0</v>
      </c>
      <c r="W21" s="369">
        <f>+W22+W28</f>
        <v>189310</v>
      </c>
      <c r="X21" s="918">
        <v>32</v>
      </c>
      <c r="Y21" s="919">
        <v>0</v>
      </c>
      <c r="Z21" s="919">
        <f>+Z22+Z28</f>
        <v>189381</v>
      </c>
    </row>
    <row r="22" spans="1:26" outlineLevel="2" x14ac:dyDescent="0.25">
      <c r="A22" s="337" t="s">
        <v>311</v>
      </c>
      <c r="B22" s="338" t="s">
        <v>349</v>
      </c>
      <c r="C22" s="406">
        <v>32</v>
      </c>
      <c r="D22" s="339">
        <v>0</v>
      </c>
      <c r="E22" s="339">
        <v>155634</v>
      </c>
      <c r="F22" s="406">
        <v>32</v>
      </c>
      <c r="G22" s="339">
        <v>0</v>
      </c>
      <c r="H22" s="339">
        <v>157043</v>
      </c>
      <c r="I22" s="406">
        <v>32</v>
      </c>
      <c r="J22" s="339">
        <v>0</v>
      </c>
      <c r="K22" s="339">
        <v>157043</v>
      </c>
      <c r="L22" s="406">
        <v>32</v>
      </c>
      <c r="M22" s="339">
        <v>0</v>
      </c>
      <c r="N22" s="339">
        <v>146118</v>
      </c>
      <c r="O22" s="920">
        <v>32</v>
      </c>
      <c r="P22" s="921">
        <v>0</v>
      </c>
      <c r="Q22" s="921">
        <f>SUM(Q23:Q27)</f>
        <v>161338</v>
      </c>
      <c r="R22" s="406">
        <v>32</v>
      </c>
      <c r="S22" s="339">
        <v>0</v>
      </c>
      <c r="T22" s="339">
        <f>SUM(T23:T27)</f>
        <v>161570</v>
      </c>
      <c r="U22" s="406">
        <v>32</v>
      </c>
      <c r="V22" s="339">
        <v>0</v>
      </c>
      <c r="W22" s="339">
        <f>SUM(W23:W27)</f>
        <v>161570</v>
      </c>
      <c r="X22" s="920">
        <v>32</v>
      </c>
      <c r="Y22" s="921">
        <v>0</v>
      </c>
      <c r="Z22" s="921">
        <f>SUM(Z23:Z27)</f>
        <v>161641</v>
      </c>
    </row>
    <row r="23" spans="1:26" outlineLevel="3" x14ac:dyDescent="0.25">
      <c r="A23" s="340"/>
      <c r="B23" s="341" t="s">
        <v>286</v>
      </c>
      <c r="C23" s="407"/>
      <c r="D23" s="273"/>
      <c r="E23" s="273">
        <v>113815</v>
      </c>
      <c r="F23" s="407"/>
      <c r="G23" s="273"/>
      <c r="H23" s="273">
        <v>113608</v>
      </c>
      <c r="I23" s="407"/>
      <c r="J23" s="273"/>
      <c r="K23" s="273">
        <v>113608</v>
      </c>
      <c r="L23" s="407"/>
      <c r="M23" s="273"/>
      <c r="N23" s="273">
        <v>105498</v>
      </c>
      <c r="O23" s="922"/>
      <c r="P23" s="923"/>
      <c r="Q23" s="923">
        <v>119552</v>
      </c>
      <c r="R23" s="407"/>
      <c r="S23" s="273"/>
      <c r="T23" s="273">
        <v>119552</v>
      </c>
      <c r="U23" s="407"/>
      <c r="V23" s="273"/>
      <c r="W23" s="273">
        <v>119552</v>
      </c>
      <c r="X23" s="922"/>
      <c r="Y23" s="923"/>
      <c r="Z23" s="923">
        <f>119552+60</f>
        <v>119612</v>
      </c>
    </row>
    <row r="24" spans="1:26" outlineLevel="3" x14ac:dyDescent="0.25">
      <c r="A24" s="340"/>
      <c r="B24" s="341" t="s">
        <v>350</v>
      </c>
      <c r="C24" s="407"/>
      <c r="D24" s="273"/>
      <c r="E24" s="273">
        <v>23916</v>
      </c>
      <c r="F24" s="407"/>
      <c r="G24" s="273"/>
      <c r="H24" s="273">
        <v>23916</v>
      </c>
      <c r="I24" s="407"/>
      <c r="J24" s="273"/>
      <c r="K24" s="273">
        <v>23916</v>
      </c>
      <c r="L24" s="407"/>
      <c r="M24" s="273"/>
      <c r="N24" s="273">
        <v>23038</v>
      </c>
      <c r="O24" s="922"/>
      <c r="P24" s="923"/>
      <c r="Q24" s="923">
        <v>24606</v>
      </c>
      <c r="R24" s="407"/>
      <c r="S24" s="273"/>
      <c r="T24" s="273">
        <v>24606</v>
      </c>
      <c r="U24" s="407"/>
      <c r="V24" s="273"/>
      <c r="W24" s="273">
        <v>24606</v>
      </c>
      <c r="X24" s="922"/>
      <c r="Y24" s="923"/>
      <c r="Z24" s="923">
        <f>24606+11</f>
        <v>24617</v>
      </c>
    </row>
    <row r="25" spans="1:26" outlineLevel="3" x14ac:dyDescent="0.25">
      <c r="A25" s="340"/>
      <c r="B25" s="341" t="s">
        <v>292</v>
      </c>
      <c r="C25" s="407"/>
      <c r="D25" s="345"/>
      <c r="E25" s="345">
        <v>17268</v>
      </c>
      <c r="F25" s="407"/>
      <c r="G25" s="345"/>
      <c r="H25" s="345">
        <v>17017</v>
      </c>
      <c r="I25" s="407"/>
      <c r="J25" s="345"/>
      <c r="K25" s="345">
        <v>17017</v>
      </c>
      <c r="L25" s="407"/>
      <c r="M25" s="345"/>
      <c r="N25" s="345">
        <v>15554</v>
      </c>
      <c r="O25" s="922"/>
      <c r="P25" s="924"/>
      <c r="Q25" s="925">
        <v>17180</v>
      </c>
      <c r="R25" s="437"/>
      <c r="S25" s="436"/>
      <c r="T25" s="436">
        <f>17180-169</f>
        <v>17011</v>
      </c>
      <c r="U25" s="437"/>
      <c r="V25" s="436"/>
      <c r="W25" s="436">
        <f>17011-10-3-1316-356-151-40-175-47</f>
        <v>14913</v>
      </c>
      <c r="X25" s="928"/>
      <c r="Y25" s="925"/>
      <c r="Z25" s="925">
        <f>14913-15-50-14-95</f>
        <v>14739</v>
      </c>
    </row>
    <row r="26" spans="1:26" outlineLevel="3" x14ac:dyDescent="0.25">
      <c r="A26" s="340"/>
      <c r="B26" s="341" t="s">
        <v>339</v>
      </c>
      <c r="C26" s="407"/>
      <c r="D26" s="345"/>
      <c r="E26" s="345">
        <v>0</v>
      </c>
      <c r="F26" s="407"/>
      <c r="G26" s="345"/>
      <c r="H26" s="345">
        <v>1399</v>
      </c>
      <c r="I26" s="407"/>
      <c r="J26" s="345"/>
      <c r="K26" s="345">
        <v>1399</v>
      </c>
      <c r="L26" s="407"/>
      <c r="M26" s="345"/>
      <c r="N26" s="345">
        <v>1399</v>
      </c>
      <c r="O26" s="922"/>
      <c r="P26" s="924"/>
      <c r="Q26" s="924">
        <v>0</v>
      </c>
      <c r="R26" s="407"/>
      <c r="S26" s="345"/>
      <c r="T26" s="345">
        <v>0</v>
      </c>
      <c r="U26" s="407"/>
      <c r="V26" s="345"/>
      <c r="W26" s="345">
        <v>0</v>
      </c>
      <c r="X26" s="922"/>
      <c r="Y26" s="924"/>
      <c r="Z26" s="924">
        <v>0</v>
      </c>
    </row>
    <row r="27" spans="1:26" outlineLevel="3" x14ac:dyDescent="0.25">
      <c r="A27" s="340"/>
      <c r="B27" s="341" t="s">
        <v>351</v>
      </c>
      <c r="C27" s="408"/>
      <c r="D27" s="343"/>
      <c r="E27" s="688">
        <v>635</v>
      </c>
      <c r="F27" s="408"/>
      <c r="G27" s="343"/>
      <c r="H27" s="688">
        <v>1103</v>
      </c>
      <c r="I27" s="408"/>
      <c r="J27" s="343"/>
      <c r="K27" s="688">
        <v>1103</v>
      </c>
      <c r="L27" s="408"/>
      <c r="M27" s="343"/>
      <c r="N27" s="343">
        <v>629</v>
      </c>
      <c r="O27" s="926"/>
      <c r="P27" s="927"/>
      <c r="Q27" s="927">
        <v>0</v>
      </c>
      <c r="R27" s="408"/>
      <c r="S27" s="343"/>
      <c r="T27" s="688">
        <f>169+232</f>
        <v>401</v>
      </c>
      <c r="U27" s="408"/>
      <c r="V27" s="343"/>
      <c r="W27" s="688">
        <f>401+10+3+1316+356+151+40+175+47</f>
        <v>2499</v>
      </c>
      <c r="X27" s="926"/>
      <c r="Y27" s="927"/>
      <c r="Z27" s="927">
        <f>2499+15+50+14+95</f>
        <v>2673</v>
      </c>
    </row>
    <row r="28" spans="1:26" outlineLevel="2" x14ac:dyDescent="0.25">
      <c r="A28" s="337" t="s">
        <v>322</v>
      </c>
      <c r="B28" s="338" t="s">
        <v>352</v>
      </c>
      <c r="C28" s="406">
        <v>0</v>
      </c>
      <c r="D28" s="339">
        <v>0</v>
      </c>
      <c r="E28" s="339">
        <v>25005</v>
      </c>
      <c r="F28" s="406">
        <v>0</v>
      </c>
      <c r="G28" s="339">
        <v>0</v>
      </c>
      <c r="H28" s="339">
        <v>25005</v>
      </c>
      <c r="I28" s="406">
        <v>0</v>
      </c>
      <c r="J28" s="339">
        <v>0</v>
      </c>
      <c r="K28" s="339">
        <v>25005</v>
      </c>
      <c r="L28" s="406">
        <v>0</v>
      </c>
      <c r="M28" s="339">
        <v>0</v>
      </c>
      <c r="N28" s="339">
        <v>26928</v>
      </c>
      <c r="O28" s="920">
        <v>0</v>
      </c>
      <c r="P28" s="921">
        <v>0</v>
      </c>
      <c r="Q28" s="921">
        <v>27740</v>
      </c>
      <c r="R28" s="406">
        <v>0</v>
      </c>
      <c r="S28" s="339">
        <v>0</v>
      </c>
      <c r="T28" s="339">
        <v>27740</v>
      </c>
      <c r="U28" s="406">
        <v>0</v>
      </c>
      <c r="V28" s="339">
        <v>0</v>
      </c>
      <c r="W28" s="339">
        <v>27740</v>
      </c>
      <c r="X28" s="920">
        <v>0</v>
      </c>
      <c r="Y28" s="921">
        <v>0</v>
      </c>
      <c r="Z28" s="921">
        <v>27740</v>
      </c>
    </row>
    <row r="29" spans="1:26" outlineLevel="3" x14ac:dyDescent="0.25">
      <c r="A29" s="340"/>
      <c r="B29" s="341" t="s">
        <v>286</v>
      </c>
      <c r="C29" s="407"/>
      <c r="D29" s="345"/>
      <c r="E29" s="345">
        <v>0</v>
      </c>
      <c r="F29" s="407"/>
      <c r="G29" s="345"/>
      <c r="H29" s="345">
        <v>0</v>
      </c>
      <c r="I29" s="407"/>
      <c r="J29" s="345"/>
      <c r="K29" s="345">
        <v>0</v>
      </c>
      <c r="L29" s="407"/>
      <c r="M29" s="345"/>
      <c r="N29" s="345"/>
      <c r="O29" s="922"/>
      <c r="P29" s="924"/>
      <c r="Q29" s="924"/>
      <c r="R29" s="407"/>
      <c r="S29" s="345"/>
      <c r="T29" s="345"/>
      <c r="U29" s="407"/>
      <c r="V29" s="345"/>
      <c r="W29" s="345"/>
      <c r="X29" s="922"/>
      <c r="Y29" s="924"/>
      <c r="Z29" s="924"/>
    </row>
    <row r="30" spans="1:26" outlineLevel="3" x14ac:dyDescent="0.25">
      <c r="A30" s="340"/>
      <c r="B30" s="341" t="s">
        <v>350</v>
      </c>
      <c r="C30" s="408"/>
      <c r="D30" s="343"/>
      <c r="E30" s="343">
        <v>0</v>
      </c>
      <c r="F30" s="408"/>
      <c r="G30" s="343"/>
      <c r="H30" s="343">
        <v>0</v>
      </c>
      <c r="I30" s="408"/>
      <c r="J30" s="343"/>
      <c r="K30" s="343">
        <v>0</v>
      </c>
      <c r="L30" s="408"/>
      <c r="M30" s="343"/>
      <c r="N30" s="343"/>
      <c r="O30" s="926"/>
      <c r="P30" s="927"/>
      <c r="Q30" s="927"/>
      <c r="R30" s="408"/>
      <c r="S30" s="343"/>
      <c r="T30" s="343"/>
      <c r="U30" s="408"/>
      <c r="V30" s="343"/>
      <c r="W30" s="343"/>
      <c r="X30" s="926"/>
      <c r="Y30" s="927"/>
      <c r="Z30" s="927"/>
    </row>
    <row r="31" spans="1:26" outlineLevel="3" x14ac:dyDescent="0.25">
      <c r="A31" s="340"/>
      <c r="B31" s="341" t="s">
        <v>292</v>
      </c>
      <c r="C31" s="408"/>
      <c r="D31" s="343"/>
      <c r="E31" s="343">
        <v>25005</v>
      </c>
      <c r="F31" s="408"/>
      <c r="G31" s="343"/>
      <c r="H31" s="343">
        <v>25005</v>
      </c>
      <c r="I31" s="408"/>
      <c r="J31" s="343"/>
      <c r="K31" s="343">
        <v>25005</v>
      </c>
      <c r="L31" s="408"/>
      <c r="M31" s="343"/>
      <c r="N31" s="343">
        <v>26928</v>
      </c>
      <c r="O31" s="926"/>
      <c r="P31" s="927"/>
      <c r="Q31" s="927">
        <v>27740</v>
      </c>
      <c r="R31" s="408"/>
      <c r="S31" s="343"/>
      <c r="T31" s="343">
        <v>27740</v>
      </c>
      <c r="U31" s="408"/>
      <c r="V31" s="343"/>
      <c r="W31" s="343">
        <v>27740</v>
      </c>
      <c r="X31" s="926"/>
      <c r="Y31" s="927"/>
      <c r="Z31" s="927">
        <v>27740</v>
      </c>
    </row>
    <row r="32" spans="1:26" outlineLevel="3" x14ac:dyDescent="0.25">
      <c r="A32" s="340"/>
      <c r="B32" s="341" t="s">
        <v>351</v>
      </c>
      <c r="C32" s="408"/>
      <c r="D32" s="343"/>
      <c r="E32" s="343">
        <v>0</v>
      </c>
      <c r="F32" s="408"/>
      <c r="G32" s="343"/>
      <c r="H32" s="343">
        <v>0</v>
      </c>
      <c r="I32" s="408"/>
      <c r="J32" s="343"/>
      <c r="K32" s="343">
        <v>0</v>
      </c>
      <c r="L32" s="408"/>
      <c r="M32" s="343"/>
      <c r="N32" s="343"/>
      <c r="O32" s="926"/>
      <c r="P32" s="927"/>
      <c r="Q32" s="927"/>
      <c r="R32" s="408"/>
      <c r="S32" s="343"/>
      <c r="T32" s="343"/>
      <c r="U32" s="408"/>
      <c r="V32" s="343"/>
      <c r="W32" s="343"/>
      <c r="X32" s="926"/>
      <c r="Y32" s="927"/>
      <c r="Z32" s="927"/>
    </row>
    <row r="33" spans="1:26" outlineLevel="1" x14ac:dyDescent="0.25">
      <c r="A33" s="367" t="s">
        <v>318</v>
      </c>
      <c r="B33" s="368" t="s">
        <v>353</v>
      </c>
      <c r="C33" s="405">
        <v>0</v>
      </c>
      <c r="D33" s="369">
        <v>0</v>
      </c>
      <c r="E33" s="369">
        <v>0</v>
      </c>
      <c r="F33" s="405">
        <v>0</v>
      </c>
      <c r="G33" s="369">
        <v>0</v>
      </c>
      <c r="H33" s="369">
        <v>0</v>
      </c>
      <c r="I33" s="405">
        <v>0</v>
      </c>
      <c r="J33" s="369">
        <v>0</v>
      </c>
      <c r="K33" s="369">
        <v>0</v>
      </c>
      <c r="L33" s="405">
        <v>0</v>
      </c>
      <c r="M33" s="369">
        <v>0</v>
      </c>
      <c r="N33" s="369">
        <v>0</v>
      </c>
      <c r="O33" s="918">
        <v>0</v>
      </c>
      <c r="P33" s="919">
        <v>0</v>
      </c>
      <c r="Q33" s="919">
        <v>0</v>
      </c>
      <c r="R33" s="405">
        <v>0</v>
      </c>
      <c r="S33" s="369">
        <v>0</v>
      </c>
      <c r="T33" s="369">
        <v>0</v>
      </c>
      <c r="U33" s="405">
        <v>0</v>
      </c>
      <c r="V33" s="369">
        <v>0</v>
      </c>
      <c r="W33" s="369">
        <v>0</v>
      </c>
      <c r="X33" s="918">
        <v>0</v>
      </c>
      <c r="Y33" s="919">
        <v>0</v>
      </c>
      <c r="Z33" s="919">
        <v>0</v>
      </c>
    </row>
    <row r="34" spans="1:26" x14ac:dyDescent="0.25">
      <c r="A34" s="364" t="s">
        <v>1451</v>
      </c>
      <c r="B34" s="365" t="s">
        <v>355</v>
      </c>
      <c r="C34" s="404">
        <v>56</v>
      </c>
      <c r="D34" s="366">
        <v>0</v>
      </c>
      <c r="E34" s="366">
        <v>319206</v>
      </c>
      <c r="F34" s="404">
        <v>56</v>
      </c>
      <c r="G34" s="366">
        <v>0</v>
      </c>
      <c r="H34" s="366">
        <v>321684</v>
      </c>
      <c r="I34" s="404">
        <v>56</v>
      </c>
      <c r="J34" s="366">
        <v>0</v>
      </c>
      <c r="K34" s="366">
        <v>321684</v>
      </c>
      <c r="L34" s="404">
        <v>56</v>
      </c>
      <c r="M34" s="366">
        <v>0</v>
      </c>
      <c r="N34" s="366">
        <v>308849</v>
      </c>
      <c r="O34" s="404">
        <v>56</v>
      </c>
      <c r="P34" s="366">
        <v>0</v>
      </c>
      <c r="Q34" s="366">
        <f>+Q35+Q47</f>
        <v>334476</v>
      </c>
      <c r="R34" s="404">
        <v>56</v>
      </c>
      <c r="S34" s="366">
        <v>0</v>
      </c>
      <c r="T34" s="366">
        <f>+T35+T47</f>
        <v>332859</v>
      </c>
      <c r="U34" s="890">
        <f>+U35+U47</f>
        <v>56</v>
      </c>
      <c r="V34" s="366">
        <v>0</v>
      </c>
      <c r="W34" s="366">
        <f>+W35+W47</f>
        <v>332859</v>
      </c>
      <c r="X34" s="890">
        <f>+X35+X47</f>
        <v>56</v>
      </c>
      <c r="Y34" s="366">
        <v>0</v>
      </c>
      <c r="Z34" s="366">
        <f>+Z35+Z47</f>
        <v>335664</v>
      </c>
    </row>
    <row r="35" spans="1:26" outlineLevel="1" x14ac:dyDescent="0.25">
      <c r="A35" s="367" t="s">
        <v>309</v>
      </c>
      <c r="B35" s="368" t="s">
        <v>348</v>
      </c>
      <c r="C35" s="405">
        <v>56</v>
      </c>
      <c r="D35" s="369">
        <v>0</v>
      </c>
      <c r="E35" s="369">
        <v>319206</v>
      </c>
      <c r="F35" s="405">
        <v>56</v>
      </c>
      <c r="G35" s="369">
        <v>0</v>
      </c>
      <c r="H35" s="369">
        <v>321684</v>
      </c>
      <c r="I35" s="405">
        <v>56</v>
      </c>
      <c r="J35" s="369">
        <v>0</v>
      </c>
      <c r="K35" s="369">
        <v>321684</v>
      </c>
      <c r="L35" s="405">
        <v>56</v>
      </c>
      <c r="M35" s="369">
        <v>0</v>
      </c>
      <c r="N35" s="369">
        <v>308849</v>
      </c>
      <c r="O35" s="918">
        <v>56</v>
      </c>
      <c r="P35" s="919">
        <v>0</v>
      </c>
      <c r="Q35" s="919">
        <f>+Q36+Q42</f>
        <v>334476</v>
      </c>
      <c r="R35" s="405">
        <v>56</v>
      </c>
      <c r="S35" s="369">
        <v>0</v>
      </c>
      <c r="T35" s="369">
        <f>+T36+T42</f>
        <v>332859</v>
      </c>
      <c r="U35" s="889">
        <f>+U36+U42</f>
        <v>56</v>
      </c>
      <c r="V35" s="369">
        <v>0</v>
      </c>
      <c r="W35" s="369">
        <f>+W36+W42</f>
        <v>332859</v>
      </c>
      <c r="X35" s="929">
        <f>+X36+X42</f>
        <v>56</v>
      </c>
      <c r="Y35" s="919">
        <v>0</v>
      </c>
      <c r="Z35" s="919">
        <f>+Z36+Z42</f>
        <v>335664</v>
      </c>
    </row>
    <row r="36" spans="1:26" outlineLevel="2" x14ac:dyDescent="0.25">
      <c r="A36" s="337" t="s">
        <v>311</v>
      </c>
      <c r="B36" s="338" t="s">
        <v>349</v>
      </c>
      <c r="C36" s="406">
        <v>56</v>
      </c>
      <c r="D36" s="339">
        <v>0</v>
      </c>
      <c r="E36" s="339">
        <v>273632</v>
      </c>
      <c r="F36" s="406">
        <v>56</v>
      </c>
      <c r="G36" s="339">
        <v>0</v>
      </c>
      <c r="H36" s="339">
        <v>276335</v>
      </c>
      <c r="I36" s="406">
        <v>56</v>
      </c>
      <c r="J36" s="339">
        <v>0</v>
      </c>
      <c r="K36" s="339">
        <v>276335</v>
      </c>
      <c r="L36" s="406">
        <v>56</v>
      </c>
      <c r="M36" s="339">
        <v>0</v>
      </c>
      <c r="N36" s="339">
        <v>266203</v>
      </c>
      <c r="O36" s="920">
        <v>56</v>
      </c>
      <c r="P36" s="921">
        <v>0</v>
      </c>
      <c r="Q36" s="921">
        <f>SUM(Q37:Q41)</f>
        <v>289726</v>
      </c>
      <c r="R36" s="406">
        <v>56</v>
      </c>
      <c r="S36" s="339">
        <v>0</v>
      </c>
      <c r="T36" s="339">
        <f>SUM(T37:T41)</f>
        <v>288109</v>
      </c>
      <c r="U36" s="406">
        <v>56</v>
      </c>
      <c r="V36" s="339">
        <v>0</v>
      </c>
      <c r="W36" s="339">
        <f>SUM(W37:W41)</f>
        <v>288109</v>
      </c>
      <c r="X36" s="920">
        <v>56</v>
      </c>
      <c r="Y36" s="921">
        <v>0</v>
      </c>
      <c r="Z36" s="921">
        <f>SUM(Z37:Z41)</f>
        <v>290914</v>
      </c>
    </row>
    <row r="37" spans="1:26" outlineLevel="3" x14ac:dyDescent="0.25">
      <c r="A37" s="340"/>
      <c r="B37" s="341" t="s">
        <v>286</v>
      </c>
      <c r="C37" s="407"/>
      <c r="D37" s="273"/>
      <c r="E37" s="273">
        <v>201035</v>
      </c>
      <c r="F37" s="407"/>
      <c r="G37" s="273"/>
      <c r="H37" s="273">
        <v>201035</v>
      </c>
      <c r="I37" s="407"/>
      <c r="J37" s="273"/>
      <c r="K37" s="273">
        <v>201035</v>
      </c>
      <c r="L37" s="407"/>
      <c r="M37" s="273"/>
      <c r="N37" s="273">
        <v>192634</v>
      </c>
      <c r="O37" s="922"/>
      <c r="P37" s="923"/>
      <c r="Q37" s="923">
        <v>212630</v>
      </c>
      <c r="R37" s="407"/>
      <c r="S37" s="273"/>
      <c r="T37" s="273">
        <f>212630-2100</f>
        <v>210530</v>
      </c>
      <c r="U37" s="407"/>
      <c r="V37" s="273"/>
      <c r="W37" s="273">
        <f>212630-2100</f>
        <v>210530</v>
      </c>
      <c r="X37" s="922"/>
      <c r="Y37" s="923"/>
      <c r="Z37" s="923">
        <f>212630-2100+90-1500</f>
        <v>209120</v>
      </c>
    </row>
    <row r="38" spans="1:26" outlineLevel="3" x14ac:dyDescent="0.25">
      <c r="A38" s="340"/>
      <c r="B38" s="341" t="s">
        <v>350</v>
      </c>
      <c r="C38" s="407"/>
      <c r="D38" s="273"/>
      <c r="E38" s="273">
        <v>42593</v>
      </c>
      <c r="F38" s="407"/>
      <c r="G38" s="273"/>
      <c r="H38" s="273">
        <v>42593</v>
      </c>
      <c r="I38" s="407"/>
      <c r="J38" s="273"/>
      <c r="K38" s="273">
        <v>42593</v>
      </c>
      <c r="L38" s="407"/>
      <c r="M38" s="273"/>
      <c r="N38" s="273">
        <v>42070</v>
      </c>
      <c r="O38" s="922"/>
      <c r="P38" s="923"/>
      <c r="Q38" s="923">
        <v>43712</v>
      </c>
      <c r="R38" s="407"/>
      <c r="S38" s="273"/>
      <c r="T38" s="273">
        <f>43712-430</f>
        <v>43282</v>
      </c>
      <c r="U38" s="407"/>
      <c r="V38" s="273"/>
      <c r="W38" s="273">
        <f>43712-430</f>
        <v>43282</v>
      </c>
      <c r="X38" s="922"/>
      <c r="Y38" s="923"/>
      <c r="Z38" s="923">
        <f>43712-430+16</f>
        <v>43298</v>
      </c>
    </row>
    <row r="39" spans="1:26" outlineLevel="3" x14ac:dyDescent="0.25">
      <c r="A39" s="340"/>
      <c r="B39" s="341" t="s">
        <v>292</v>
      </c>
      <c r="C39" s="407"/>
      <c r="D39" s="273"/>
      <c r="E39" s="273">
        <v>29623</v>
      </c>
      <c r="F39" s="407"/>
      <c r="G39" s="273"/>
      <c r="H39" s="273">
        <v>30029</v>
      </c>
      <c r="I39" s="407"/>
      <c r="J39" s="273"/>
      <c r="K39" s="273">
        <v>30029</v>
      </c>
      <c r="L39" s="407"/>
      <c r="M39" s="273"/>
      <c r="N39" s="273">
        <v>28540</v>
      </c>
      <c r="O39" s="922"/>
      <c r="P39" s="923"/>
      <c r="Q39" s="923">
        <v>33084</v>
      </c>
      <c r="R39" s="407"/>
      <c r="S39" s="273"/>
      <c r="T39" s="273">
        <f>33084+613</f>
        <v>33697</v>
      </c>
      <c r="U39" s="407"/>
      <c r="V39" s="273"/>
      <c r="W39" s="273">
        <f>33697-45-16</f>
        <v>33636</v>
      </c>
      <c r="X39" s="922"/>
      <c r="Y39" s="923"/>
      <c r="Z39" s="923">
        <f>33636+200-1500-60-125-485+1500-20-182</f>
        <v>32964</v>
      </c>
    </row>
    <row r="40" spans="1:26" outlineLevel="3" x14ac:dyDescent="0.25">
      <c r="A40" s="340"/>
      <c r="B40" s="341" t="s">
        <v>339</v>
      </c>
      <c r="C40" s="407"/>
      <c r="D40" s="273"/>
      <c r="E40" s="273">
        <v>0</v>
      </c>
      <c r="F40" s="407"/>
      <c r="G40" s="273"/>
      <c r="H40" s="273">
        <v>2297</v>
      </c>
      <c r="I40" s="407"/>
      <c r="J40" s="273"/>
      <c r="K40" s="273">
        <v>2297</v>
      </c>
      <c r="L40" s="407"/>
      <c r="M40" s="273"/>
      <c r="N40" s="273">
        <v>2296</v>
      </c>
      <c r="O40" s="922"/>
      <c r="P40" s="923"/>
      <c r="Q40" s="923">
        <v>0</v>
      </c>
      <c r="R40" s="407"/>
      <c r="S40" s="273"/>
      <c r="T40" s="273">
        <v>0</v>
      </c>
      <c r="U40" s="407"/>
      <c r="V40" s="273"/>
      <c r="W40" s="273">
        <v>0</v>
      </c>
      <c r="X40" s="922"/>
      <c r="Y40" s="923"/>
      <c r="Z40" s="923">
        <v>0</v>
      </c>
    </row>
    <row r="41" spans="1:26" outlineLevel="3" x14ac:dyDescent="0.25">
      <c r="A41" s="340"/>
      <c r="B41" s="341" t="s">
        <v>351</v>
      </c>
      <c r="C41" s="407"/>
      <c r="D41" s="273"/>
      <c r="E41" s="273">
        <v>381</v>
      </c>
      <c r="F41" s="407"/>
      <c r="G41" s="273"/>
      <c r="H41" s="273">
        <v>381</v>
      </c>
      <c r="I41" s="407"/>
      <c r="J41" s="273"/>
      <c r="K41" s="273">
        <v>381</v>
      </c>
      <c r="L41" s="407"/>
      <c r="M41" s="273"/>
      <c r="N41" s="273">
        <v>663</v>
      </c>
      <c r="O41" s="922"/>
      <c r="P41" s="923"/>
      <c r="Q41" s="923">
        <v>300</v>
      </c>
      <c r="R41" s="407"/>
      <c r="S41" s="273"/>
      <c r="T41" s="273">
        <f>300+300</f>
        <v>600</v>
      </c>
      <c r="U41" s="407"/>
      <c r="V41" s="273"/>
      <c r="W41" s="273">
        <f>600+45+16</f>
        <v>661</v>
      </c>
      <c r="X41" s="922"/>
      <c r="Y41" s="923"/>
      <c r="Z41" s="923">
        <f>600+45+16+2500+1500+60+125+485-1+20+182</f>
        <v>5532</v>
      </c>
    </row>
    <row r="42" spans="1:26" outlineLevel="2" x14ac:dyDescent="0.25">
      <c r="A42" s="337" t="s">
        <v>322</v>
      </c>
      <c r="B42" s="338" t="s">
        <v>352</v>
      </c>
      <c r="C42" s="406">
        <v>0</v>
      </c>
      <c r="D42" s="339">
        <v>0</v>
      </c>
      <c r="E42" s="339">
        <v>45574</v>
      </c>
      <c r="F42" s="406">
        <v>0</v>
      </c>
      <c r="G42" s="339">
        <v>0</v>
      </c>
      <c r="H42" s="339">
        <v>45349</v>
      </c>
      <c r="I42" s="406">
        <v>0</v>
      </c>
      <c r="J42" s="339">
        <v>0</v>
      </c>
      <c r="K42" s="339">
        <v>45349</v>
      </c>
      <c r="L42" s="406">
        <v>0</v>
      </c>
      <c r="M42" s="339">
        <v>0</v>
      </c>
      <c r="N42" s="339">
        <v>42646</v>
      </c>
      <c r="O42" s="920">
        <v>0</v>
      </c>
      <c r="P42" s="921">
        <v>0</v>
      </c>
      <c r="Q42" s="921">
        <f>+Q45</f>
        <v>44750</v>
      </c>
      <c r="R42" s="406">
        <v>0</v>
      </c>
      <c r="S42" s="339">
        <v>0</v>
      </c>
      <c r="T42" s="339">
        <f>+T45</f>
        <v>44750</v>
      </c>
      <c r="U42" s="406">
        <v>0</v>
      </c>
      <c r="V42" s="339">
        <v>0</v>
      </c>
      <c r="W42" s="339">
        <f>+W45</f>
        <v>44750</v>
      </c>
      <c r="X42" s="920">
        <v>0</v>
      </c>
      <c r="Y42" s="921">
        <v>0</v>
      </c>
      <c r="Z42" s="921">
        <f>+Z45</f>
        <v>44750</v>
      </c>
    </row>
    <row r="43" spans="1:26" outlineLevel="3" x14ac:dyDescent="0.25">
      <c r="A43" s="340"/>
      <c r="B43" s="341" t="s">
        <v>286</v>
      </c>
      <c r="C43" s="407"/>
      <c r="D43" s="273"/>
      <c r="E43" s="273">
        <v>0</v>
      </c>
      <c r="F43" s="407"/>
      <c r="G43" s="273"/>
      <c r="H43" s="273">
        <v>0</v>
      </c>
      <c r="I43" s="407"/>
      <c r="J43" s="273"/>
      <c r="K43" s="273">
        <v>0</v>
      </c>
      <c r="L43" s="407"/>
      <c r="M43" s="273"/>
      <c r="N43" s="273">
        <v>0</v>
      </c>
      <c r="O43" s="922"/>
      <c r="P43" s="923"/>
      <c r="Q43" s="923"/>
      <c r="R43" s="407"/>
      <c r="S43" s="273"/>
      <c r="T43" s="273"/>
      <c r="U43" s="407"/>
      <c r="V43" s="273"/>
      <c r="W43" s="273"/>
      <c r="X43" s="922"/>
      <c r="Y43" s="923"/>
      <c r="Z43" s="923"/>
    </row>
    <row r="44" spans="1:26" outlineLevel="3" x14ac:dyDescent="0.25">
      <c r="A44" s="340"/>
      <c r="B44" s="341" t="s">
        <v>350</v>
      </c>
      <c r="C44" s="407"/>
      <c r="D44" s="273"/>
      <c r="E44" s="273">
        <v>0</v>
      </c>
      <c r="F44" s="407"/>
      <c r="G44" s="273"/>
      <c r="H44" s="273">
        <v>0</v>
      </c>
      <c r="I44" s="407"/>
      <c r="J44" s="273"/>
      <c r="K44" s="273">
        <v>0</v>
      </c>
      <c r="L44" s="407"/>
      <c r="M44" s="273"/>
      <c r="N44" s="273">
        <v>0</v>
      </c>
      <c r="O44" s="922"/>
      <c r="P44" s="923"/>
      <c r="Q44" s="923"/>
      <c r="R44" s="407"/>
      <c r="S44" s="273"/>
      <c r="T44" s="273"/>
      <c r="U44" s="407"/>
      <c r="V44" s="273"/>
      <c r="W44" s="273"/>
      <c r="X44" s="922"/>
      <c r="Y44" s="923"/>
      <c r="Z44" s="923"/>
    </row>
    <row r="45" spans="1:26" outlineLevel="3" x14ac:dyDescent="0.25">
      <c r="A45" s="340"/>
      <c r="B45" s="341" t="s">
        <v>292</v>
      </c>
      <c r="C45" s="407"/>
      <c r="D45" s="273"/>
      <c r="E45" s="273">
        <v>45574</v>
      </c>
      <c r="F45" s="407"/>
      <c r="G45" s="273"/>
      <c r="H45" s="273">
        <v>45349</v>
      </c>
      <c r="I45" s="407"/>
      <c r="J45" s="273"/>
      <c r="K45" s="273">
        <v>45349</v>
      </c>
      <c r="L45" s="407"/>
      <c r="M45" s="273"/>
      <c r="N45" s="273">
        <v>42646</v>
      </c>
      <c r="O45" s="922"/>
      <c r="P45" s="923"/>
      <c r="Q45" s="923">
        <v>44750</v>
      </c>
      <c r="R45" s="407"/>
      <c r="S45" s="273"/>
      <c r="T45" s="273">
        <v>44750</v>
      </c>
      <c r="U45" s="407"/>
      <c r="V45" s="273"/>
      <c r="W45" s="273">
        <v>44750</v>
      </c>
      <c r="X45" s="922"/>
      <c r="Y45" s="923"/>
      <c r="Z45" s="923">
        <v>44750</v>
      </c>
    </row>
    <row r="46" spans="1:26" outlineLevel="3" x14ac:dyDescent="0.25">
      <c r="A46" s="340"/>
      <c r="B46" s="341" t="s">
        <v>351</v>
      </c>
      <c r="C46" s="407"/>
      <c r="D46" s="273"/>
      <c r="E46" s="273">
        <v>0</v>
      </c>
      <c r="F46" s="407"/>
      <c r="G46" s="273"/>
      <c r="H46" s="273">
        <v>0</v>
      </c>
      <c r="I46" s="407"/>
      <c r="J46" s="273"/>
      <c r="K46" s="273">
        <v>0</v>
      </c>
      <c r="L46" s="407"/>
      <c r="M46" s="273"/>
      <c r="N46" s="273"/>
      <c r="O46" s="922"/>
      <c r="P46" s="923"/>
      <c r="Q46" s="923"/>
      <c r="R46" s="407"/>
      <c r="S46" s="273"/>
      <c r="T46" s="273"/>
      <c r="U46" s="407"/>
      <c r="V46" s="273"/>
      <c r="W46" s="273"/>
      <c r="X46" s="922"/>
      <c r="Y46" s="923"/>
      <c r="Z46" s="923"/>
    </row>
    <row r="47" spans="1:26" outlineLevel="1" x14ac:dyDescent="0.25">
      <c r="A47" s="367" t="s">
        <v>318</v>
      </c>
      <c r="B47" s="368" t="s">
        <v>353</v>
      </c>
      <c r="C47" s="405">
        <v>0</v>
      </c>
      <c r="D47" s="369">
        <v>0</v>
      </c>
      <c r="E47" s="369">
        <v>0</v>
      </c>
      <c r="F47" s="405">
        <v>0</v>
      </c>
      <c r="G47" s="369">
        <v>0</v>
      </c>
      <c r="H47" s="369">
        <v>0</v>
      </c>
      <c r="I47" s="405">
        <v>0</v>
      </c>
      <c r="J47" s="369">
        <v>0</v>
      </c>
      <c r="K47" s="369">
        <v>0</v>
      </c>
      <c r="L47" s="405">
        <v>0</v>
      </c>
      <c r="M47" s="369">
        <v>0</v>
      </c>
      <c r="N47" s="369">
        <v>0</v>
      </c>
      <c r="O47" s="918">
        <v>0</v>
      </c>
      <c r="P47" s="919">
        <v>0</v>
      </c>
      <c r="Q47" s="919">
        <v>0</v>
      </c>
      <c r="R47" s="405">
        <v>0</v>
      </c>
      <c r="S47" s="369">
        <v>0</v>
      </c>
      <c r="T47" s="369">
        <v>0</v>
      </c>
      <c r="U47" s="405">
        <v>0</v>
      </c>
      <c r="V47" s="369">
        <v>0</v>
      </c>
      <c r="W47" s="369">
        <v>0</v>
      </c>
      <c r="X47" s="918">
        <v>0</v>
      </c>
      <c r="Y47" s="919">
        <v>0</v>
      </c>
      <c r="Z47" s="919">
        <v>0</v>
      </c>
    </row>
    <row r="48" spans="1:26" x14ac:dyDescent="0.25">
      <c r="A48" s="364" t="s">
        <v>1452</v>
      </c>
      <c r="B48" s="365" t="s">
        <v>356</v>
      </c>
      <c r="C48" s="404">
        <v>15</v>
      </c>
      <c r="D48" s="366">
        <v>0</v>
      </c>
      <c r="E48" s="366">
        <v>218462</v>
      </c>
      <c r="F48" s="404">
        <v>15</v>
      </c>
      <c r="G48" s="366">
        <v>0</v>
      </c>
      <c r="H48" s="366">
        <v>231045</v>
      </c>
      <c r="I48" s="404">
        <v>15</v>
      </c>
      <c r="J48" s="366">
        <v>0</v>
      </c>
      <c r="K48" s="366">
        <v>231045</v>
      </c>
      <c r="L48" s="404">
        <v>15</v>
      </c>
      <c r="M48" s="366">
        <v>0</v>
      </c>
      <c r="N48" s="366">
        <v>239509</v>
      </c>
      <c r="O48" s="404">
        <v>17</v>
      </c>
      <c r="P48" s="366">
        <v>0</v>
      </c>
      <c r="Q48" s="366">
        <f>+Q49+Q67</f>
        <v>290893.65000000002</v>
      </c>
      <c r="R48" s="404">
        <v>17</v>
      </c>
      <c r="S48" s="366">
        <v>0</v>
      </c>
      <c r="T48" s="366">
        <f>+T49+T67</f>
        <v>292096.65000000002</v>
      </c>
      <c r="U48" s="404">
        <v>17</v>
      </c>
      <c r="V48" s="366">
        <v>0</v>
      </c>
      <c r="W48" s="366">
        <f>+W49+W67</f>
        <v>292976.65000000002</v>
      </c>
      <c r="X48" s="404">
        <v>17</v>
      </c>
      <c r="Y48" s="366">
        <v>0</v>
      </c>
      <c r="Z48" s="366">
        <f>+Z49+Z67</f>
        <v>298977</v>
      </c>
    </row>
    <row r="49" spans="1:26" outlineLevel="1" x14ac:dyDescent="0.25">
      <c r="A49" s="367" t="s">
        <v>309</v>
      </c>
      <c r="B49" s="368" t="s">
        <v>348</v>
      </c>
      <c r="C49" s="405">
        <v>15</v>
      </c>
      <c r="D49" s="369">
        <v>0</v>
      </c>
      <c r="E49" s="369">
        <v>198920</v>
      </c>
      <c r="F49" s="405">
        <v>15</v>
      </c>
      <c r="G49" s="369">
        <v>0</v>
      </c>
      <c r="H49" s="369">
        <v>211397</v>
      </c>
      <c r="I49" s="405">
        <v>15</v>
      </c>
      <c r="J49" s="369">
        <v>0</v>
      </c>
      <c r="K49" s="369">
        <v>211397</v>
      </c>
      <c r="L49" s="405">
        <v>15</v>
      </c>
      <c r="M49" s="369">
        <v>0</v>
      </c>
      <c r="N49" s="369">
        <v>215562</v>
      </c>
      <c r="O49" s="918">
        <v>17</v>
      </c>
      <c r="P49" s="919">
        <v>0</v>
      </c>
      <c r="Q49" s="919">
        <f>+Q50+Q57</f>
        <v>233781.65</v>
      </c>
      <c r="R49" s="405">
        <v>17</v>
      </c>
      <c r="S49" s="369">
        <v>0</v>
      </c>
      <c r="T49" s="369">
        <f>+T50+T57</f>
        <v>234984.65</v>
      </c>
      <c r="U49" s="405">
        <v>17</v>
      </c>
      <c r="V49" s="369">
        <v>0</v>
      </c>
      <c r="W49" s="369">
        <f>+W50+W57</f>
        <v>235864.65</v>
      </c>
      <c r="X49" s="918">
        <v>17</v>
      </c>
      <c r="Y49" s="919">
        <v>0</v>
      </c>
      <c r="Z49" s="919">
        <f>+Z50+Z57</f>
        <v>241865</v>
      </c>
    </row>
    <row r="50" spans="1:26" outlineLevel="2" x14ac:dyDescent="0.25">
      <c r="A50" s="337" t="s">
        <v>311</v>
      </c>
      <c r="B50" s="338" t="s">
        <v>357</v>
      </c>
      <c r="C50" s="406">
        <v>15</v>
      </c>
      <c r="D50" s="339">
        <v>0</v>
      </c>
      <c r="E50" s="339">
        <v>29302</v>
      </c>
      <c r="F50" s="406">
        <v>15</v>
      </c>
      <c r="G50" s="339">
        <v>0</v>
      </c>
      <c r="H50" s="339">
        <v>41687</v>
      </c>
      <c r="I50" s="406">
        <v>15</v>
      </c>
      <c r="J50" s="339">
        <v>0</v>
      </c>
      <c r="K50" s="339">
        <v>41687</v>
      </c>
      <c r="L50" s="406">
        <v>15</v>
      </c>
      <c r="M50" s="339">
        <v>0</v>
      </c>
      <c r="N50" s="339">
        <v>32838</v>
      </c>
      <c r="O50" s="920">
        <v>17</v>
      </c>
      <c r="P50" s="921">
        <v>0</v>
      </c>
      <c r="Q50" s="921">
        <f>SUM(Q51:Q56)</f>
        <v>51689.65</v>
      </c>
      <c r="R50" s="406">
        <v>17</v>
      </c>
      <c r="S50" s="339">
        <v>0</v>
      </c>
      <c r="T50" s="339">
        <f>SUM(T51:T56)</f>
        <v>51689.65</v>
      </c>
      <c r="U50" s="406">
        <v>17</v>
      </c>
      <c r="V50" s="339">
        <v>0</v>
      </c>
      <c r="W50" s="339">
        <f>SUM(W51:W56)</f>
        <v>52569.65</v>
      </c>
      <c r="X50" s="920">
        <v>17</v>
      </c>
      <c r="Y50" s="921">
        <v>0</v>
      </c>
      <c r="Z50" s="921">
        <f>SUM(Z51:Z56)</f>
        <v>58221</v>
      </c>
    </row>
    <row r="51" spans="1:26" outlineLevel="3" x14ac:dyDescent="0.25">
      <c r="A51" s="340"/>
      <c r="B51" s="341" t="s">
        <v>286</v>
      </c>
      <c r="C51" s="407"/>
      <c r="D51" s="273"/>
      <c r="E51" s="273">
        <v>100</v>
      </c>
      <c r="F51" s="407"/>
      <c r="G51" s="273"/>
      <c r="H51" s="273">
        <v>360</v>
      </c>
      <c r="I51" s="407"/>
      <c r="J51" s="273"/>
      <c r="K51" s="273">
        <v>360</v>
      </c>
      <c r="L51" s="407"/>
      <c r="M51" s="273"/>
      <c r="N51" s="273">
        <v>360</v>
      </c>
      <c r="O51" s="922"/>
      <c r="P51" s="923"/>
      <c r="Q51" s="923"/>
      <c r="R51" s="407"/>
      <c r="S51" s="273"/>
      <c r="T51" s="273"/>
      <c r="U51" s="407"/>
      <c r="V51" s="273"/>
      <c r="W51" s="273"/>
      <c r="X51" s="922"/>
      <c r="Y51" s="923"/>
      <c r="Z51" s="923"/>
    </row>
    <row r="52" spans="1:26" outlineLevel="3" x14ac:dyDescent="0.25">
      <c r="A52" s="340"/>
      <c r="B52" s="341" t="s">
        <v>350</v>
      </c>
      <c r="C52" s="407"/>
      <c r="D52" s="273"/>
      <c r="E52" s="273">
        <v>44</v>
      </c>
      <c r="F52" s="407"/>
      <c r="G52" s="273"/>
      <c r="H52" s="273">
        <v>44</v>
      </c>
      <c r="I52" s="407"/>
      <c r="J52" s="273"/>
      <c r="K52" s="273">
        <v>44</v>
      </c>
      <c r="L52" s="407"/>
      <c r="M52" s="273"/>
      <c r="N52" s="273">
        <v>44</v>
      </c>
      <c r="O52" s="922"/>
      <c r="P52" s="923"/>
      <c r="Q52" s="923"/>
      <c r="R52" s="407"/>
      <c r="S52" s="273"/>
      <c r="T52" s="273"/>
      <c r="U52" s="407"/>
      <c r="V52" s="273"/>
      <c r="W52" s="273"/>
      <c r="X52" s="922"/>
      <c r="Y52" s="923"/>
      <c r="Z52" s="923"/>
    </row>
    <row r="53" spans="1:26" outlineLevel="3" x14ac:dyDescent="0.25">
      <c r="A53" s="340"/>
      <c r="B53" s="341" t="s">
        <v>292</v>
      </c>
      <c r="C53" s="407"/>
      <c r="D53" s="273"/>
      <c r="E53" s="273">
        <v>29158</v>
      </c>
      <c r="F53" s="407"/>
      <c r="G53" s="273"/>
      <c r="H53" s="273">
        <v>37486</v>
      </c>
      <c r="I53" s="407"/>
      <c r="J53" s="273"/>
      <c r="K53" s="273">
        <v>37486</v>
      </c>
      <c r="L53" s="407"/>
      <c r="M53" s="273"/>
      <c r="N53" s="273">
        <v>30872</v>
      </c>
      <c r="O53" s="922"/>
      <c r="P53" s="923"/>
      <c r="Q53" s="923">
        <v>30576</v>
      </c>
      <c r="R53" s="407"/>
      <c r="S53" s="273"/>
      <c r="T53" s="273">
        <v>30576</v>
      </c>
      <c r="U53" s="407"/>
      <c r="V53" s="273"/>
      <c r="W53" s="273">
        <f>30576+880</f>
        <v>31456</v>
      </c>
      <c r="X53" s="922"/>
      <c r="Y53" s="923"/>
      <c r="Z53" s="923">
        <f>30576+880+3430+926+1000+400+135+300+220+5500-1</f>
        <v>43366</v>
      </c>
    </row>
    <row r="54" spans="1:26" outlineLevel="3" x14ac:dyDescent="0.25">
      <c r="A54" s="340"/>
      <c r="B54" s="341" t="s">
        <v>339</v>
      </c>
      <c r="C54" s="407"/>
      <c r="D54" s="273"/>
      <c r="E54" s="273">
        <v>0</v>
      </c>
      <c r="F54" s="407"/>
      <c r="G54" s="273"/>
      <c r="H54" s="273">
        <v>3797</v>
      </c>
      <c r="I54" s="407"/>
      <c r="J54" s="273"/>
      <c r="K54" s="273">
        <v>3797</v>
      </c>
      <c r="L54" s="407"/>
      <c r="M54" s="273"/>
      <c r="N54" s="273"/>
      <c r="O54" s="922"/>
      <c r="P54" s="923"/>
      <c r="Q54" s="923"/>
      <c r="R54" s="407"/>
      <c r="S54" s="273"/>
      <c r="T54" s="273"/>
      <c r="U54" s="407"/>
      <c r="V54" s="273"/>
      <c r="W54" s="273"/>
      <c r="X54" s="922"/>
      <c r="Y54" s="923"/>
      <c r="Z54" s="923"/>
    </row>
    <row r="55" spans="1:26" s="47" customFormat="1" outlineLevel="3" x14ac:dyDescent="0.25">
      <c r="A55" s="340"/>
      <c r="B55" s="341" t="s">
        <v>351</v>
      </c>
      <c r="C55" s="407"/>
      <c r="D55" s="273"/>
      <c r="E55" s="273">
        <v>0</v>
      </c>
      <c r="F55" s="407"/>
      <c r="G55" s="273"/>
      <c r="H55" s="273">
        <v>0</v>
      </c>
      <c r="I55" s="407"/>
      <c r="J55" s="273"/>
      <c r="K55" s="273">
        <v>0</v>
      </c>
      <c r="L55" s="407"/>
      <c r="M55" s="273"/>
      <c r="N55" s="273">
        <v>1562</v>
      </c>
      <c r="O55" s="922"/>
      <c r="P55" s="923"/>
      <c r="Q55" s="923">
        <v>16757.650000000001</v>
      </c>
      <c r="R55" s="407"/>
      <c r="S55" s="273"/>
      <c r="T55" s="273">
        <v>16757.650000000001</v>
      </c>
      <c r="U55" s="407"/>
      <c r="V55" s="273"/>
      <c r="W55" s="273">
        <v>16757.650000000001</v>
      </c>
      <c r="X55" s="922"/>
      <c r="Y55" s="923"/>
      <c r="Z55" s="923">
        <f>16758-1000-400-135-300-220+500-348</f>
        <v>14855</v>
      </c>
    </row>
    <row r="56" spans="1:26" s="47" customFormat="1" outlineLevel="3" x14ac:dyDescent="0.25">
      <c r="A56" s="340"/>
      <c r="B56" s="341" t="s">
        <v>1677</v>
      </c>
      <c r="C56" s="407"/>
      <c r="D56" s="273"/>
      <c r="E56" s="273"/>
      <c r="F56" s="407"/>
      <c r="G56" s="273"/>
      <c r="H56" s="273"/>
      <c r="I56" s="407"/>
      <c r="J56" s="273"/>
      <c r="K56" s="273"/>
      <c r="L56" s="407"/>
      <c r="M56" s="273"/>
      <c r="N56" s="273"/>
      <c r="O56" s="922"/>
      <c r="P56" s="923"/>
      <c r="Q56" s="923">
        <v>4356</v>
      </c>
      <c r="R56" s="407"/>
      <c r="S56" s="273"/>
      <c r="T56" s="273">
        <v>4356</v>
      </c>
      <c r="U56" s="407"/>
      <c r="V56" s="273"/>
      <c r="W56" s="273">
        <v>4356</v>
      </c>
      <c r="X56" s="922"/>
      <c r="Y56" s="923"/>
      <c r="Z56" s="923">
        <f>4356-3430-926</f>
        <v>0</v>
      </c>
    </row>
    <row r="57" spans="1:26" outlineLevel="2" x14ac:dyDescent="0.25">
      <c r="A57" s="337" t="s">
        <v>322</v>
      </c>
      <c r="B57" s="338" t="s">
        <v>358</v>
      </c>
      <c r="C57" s="406">
        <v>0</v>
      </c>
      <c r="D57" s="339">
        <v>0</v>
      </c>
      <c r="E57" s="339">
        <v>144401</v>
      </c>
      <c r="F57" s="406">
        <v>0</v>
      </c>
      <c r="G57" s="339">
        <v>0</v>
      </c>
      <c r="H57" s="339">
        <v>144635</v>
      </c>
      <c r="I57" s="406">
        <v>0</v>
      </c>
      <c r="J57" s="339">
        <v>0</v>
      </c>
      <c r="K57" s="339">
        <v>144635</v>
      </c>
      <c r="L57" s="406">
        <v>0</v>
      </c>
      <c r="M57" s="339">
        <v>0</v>
      </c>
      <c r="N57" s="339">
        <v>159740</v>
      </c>
      <c r="O57" s="920">
        <v>0</v>
      </c>
      <c r="P57" s="921">
        <v>0</v>
      </c>
      <c r="Q57" s="921">
        <f>SUM(Q58:Q61)</f>
        <v>182092</v>
      </c>
      <c r="R57" s="406">
        <v>0</v>
      </c>
      <c r="S57" s="339">
        <v>0</v>
      </c>
      <c r="T57" s="339">
        <f>SUM(T58:T61)</f>
        <v>183295</v>
      </c>
      <c r="U57" s="406">
        <v>0</v>
      </c>
      <c r="V57" s="339">
        <v>0</v>
      </c>
      <c r="W57" s="339">
        <f>SUM(W58:W61)</f>
        <v>183295</v>
      </c>
      <c r="X57" s="920">
        <v>0</v>
      </c>
      <c r="Y57" s="921">
        <v>0</v>
      </c>
      <c r="Z57" s="921">
        <f>SUM(Z58:Z61)</f>
        <v>183644</v>
      </c>
    </row>
    <row r="58" spans="1:26" outlineLevel="3" x14ac:dyDescent="0.25">
      <c r="A58" s="340"/>
      <c r="B58" s="341" t="s">
        <v>286</v>
      </c>
      <c r="C58" s="407"/>
      <c r="D58" s="273"/>
      <c r="E58" s="273">
        <v>58201</v>
      </c>
      <c r="F58" s="407"/>
      <c r="G58" s="273"/>
      <c r="H58" s="273">
        <v>58223</v>
      </c>
      <c r="I58" s="407"/>
      <c r="J58" s="273"/>
      <c r="K58" s="273">
        <v>58223</v>
      </c>
      <c r="L58" s="407"/>
      <c r="M58" s="273"/>
      <c r="N58" s="273">
        <v>57673</v>
      </c>
      <c r="O58" s="922"/>
      <c r="P58" s="923"/>
      <c r="Q58" s="923">
        <v>69632</v>
      </c>
      <c r="R58" s="407"/>
      <c r="S58" s="273"/>
      <c r="T58" s="273">
        <v>69632</v>
      </c>
      <c r="U58" s="407"/>
      <c r="V58" s="273"/>
      <c r="W58" s="273">
        <v>69632</v>
      </c>
      <c r="X58" s="922"/>
      <c r="Y58" s="923"/>
      <c r="Z58" s="923">
        <f>69632+781+150+182+1</f>
        <v>70746</v>
      </c>
    </row>
    <row r="59" spans="1:26" s="47" customFormat="1" outlineLevel="3" x14ac:dyDescent="0.25">
      <c r="A59" s="340"/>
      <c r="B59" s="341" t="s">
        <v>350</v>
      </c>
      <c r="C59" s="407"/>
      <c r="D59" s="273"/>
      <c r="E59" s="273">
        <v>11256</v>
      </c>
      <c r="F59" s="407"/>
      <c r="G59" s="273"/>
      <c r="H59" s="273">
        <v>11256</v>
      </c>
      <c r="I59" s="407"/>
      <c r="J59" s="273"/>
      <c r="K59" s="273">
        <v>11256</v>
      </c>
      <c r="L59" s="407"/>
      <c r="M59" s="273"/>
      <c r="N59" s="273">
        <v>11657</v>
      </c>
      <c r="O59" s="922"/>
      <c r="P59" s="923"/>
      <c r="Q59" s="923">
        <v>13536</v>
      </c>
      <c r="R59" s="407"/>
      <c r="S59" s="273"/>
      <c r="T59" s="273">
        <v>13536</v>
      </c>
      <c r="U59" s="407"/>
      <c r="V59" s="273"/>
      <c r="W59" s="273">
        <v>13536</v>
      </c>
      <c r="X59" s="922"/>
      <c r="Y59" s="923"/>
      <c r="Z59" s="923">
        <f>13536-182</f>
        <v>13354</v>
      </c>
    </row>
    <row r="60" spans="1:26" outlineLevel="3" x14ac:dyDescent="0.25">
      <c r="A60" s="340"/>
      <c r="B60" s="341" t="s">
        <v>292</v>
      </c>
      <c r="C60" s="407"/>
      <c r="D60" s="273"/>
      <c r="E60" s="273">
        <v>69419</v>
      </c>
      <c r="F60" s="407"/>
      <c r="G60" s="273"/>
      <c r="H60" s="273">
        <v>69940</v>
      </c>
      <c r="I60" s="407"/>
      <c r="J60" s="273"/>
      <c r="K60" s="273">
        <v>69940</v>
      </c>
      <c r="L60" s="407"/>
      <c r="M60" s="273"/>
      <c r="N60" s="273">
        <v>86473</v>
      </c>
      <c r="O60" s="922"/>
      <c r="P60" s="923"/>
      <c r="Q60" s="923">
        <v>98924</v>
      </c>
      <c r="R60" s="407"/>
      <c r="S60" s="273"/>
      <c r="T60" s="273">
        <f>98924+1203</f>
        <v>100127</v>
      </c>
      <c r="U60" s="407"/>
      <c r="V60" s="273"/>
      <c r="W60" s="273">
        <f>98924+1203</f>
        <v>100127</v>
      </c>
      <c r="X60" s="922"/>
      <c r="Y60" s="923"/>
      <c r="Z60" s="923">
        <f>98924+1203-781-150+348</f>
        <v>99544</v>
      </c>
    </row>
    <row r="61" spans="1:26" outlineLevel="3" x14ac:dyDescent="0.25">
      <c r="A61" s="340"/>
      <c r="B61" s="341" t="s">
        <v>351</v>
      </c>
      <c r="C61" s="407"/>
      <c r="D61" s="273"/>
      <c r="E61" s="273">
        <v>5525</v>
      </c>
      <c r="F61" s="407"/>
      <c r="G61" s="273"/>
      <c r="H61" s="273">
        <v>5216</v>
      </c>
      <c r="I61" s="407"/>
      <c r="J61" s="273"/>
      <c r="K61" s="273">
        <v>5216</v>
      </c>
      <c r="L61" s="407"/>
      <c r="M61" s="273"/>
      <c r="N61" s="273">
        <v>3937</v>
      </c>
      <c r="O61" s="922"/>
      <c r="P61" s="923"/>
      <c r="Q61" s="923"/>
      <c r="R61" s="407"/>
      <c r="S61" s="273"/>
      <c r="T61" s="273"/>
      <c r="U61" s="407"/>
      <c r="V61" s="273"/>
      <c r="W61" s="273"/>
      <c r="X61" s="922"/>
      <c r="Y61" s="923"/>
      <c r="Z61" s="923"/>
    </row>
    <row r="62" spans="1:26" hidden="1" outlineLevel="2" collapsed="1" x14ac:dyDescent="0.25">
      <c r="A62" s="337" t="s">
        <v>315</v>
      </c>
      <c r="B62" s="338" t="s">
        <v>605</v>
      </c>
      <c r="C62" s="406">
        <v>0</v>
      </c>
      <c r="D62" s="339">
        <v>0</v>
      </c>
      <c r="E62" s="339">
        <v>25217</v>
      </c>
      <c r="F62" s="406">
        <v>0</v>
      </c>
      <c r="G62" s="339">
        <v>0</v>
      </c>
      <c r="H62" s="339">
        <v>25075</v>
      </c>
      <c r="I62" s="406">
        <v>0</v>
      </c>
      <c r="J62" s="339">
        <v>0</v>
      </c>
      <c r="K62" s="339">
        <v>25075</v>
      </c>
      <c r="L62" s="406">
        <v>0</v>
      </c>
      <c r="M62" s="339">
        <v>0</v>
      </c>
      <c r="N62" s="339">
        <v>22984</v>
      </c>
      <c r="O62" s="920">
        <v>0</v>
      </c>
      <c r="P62" s="921">
        <v>0</v>
      </c>
      <c r="Q62" s="921">
        <v>0</v>
      </c>
      <c r="R62" s="406">
        <v>0</v>
      </c>
      <c r="S62" s="339">
        <v>0</v>
      </c>
      <c r="T62" s="339">
        <v>0</v>
      </c>
      <c r="U62" s="406">
        <v>0</v>
      </c>
      <c r="V62" s="339">
        <v>0</v>
      </c>
      <c r="W62" s="339">
        <v>0</v>
      </c>
      <c r="X62" s="920">
        <v>0</v>
      </c>
      <c r="Y62" s="921">
        <v>0</v>
      </c>
      <c r="Z62" s="921">
        <v>0</v>
      </c>
    </row>
    <row r="63" spans="1:26" hidden="1" outlineLevel="3" x14ac:dyDescent="0.25">
      <c r="A63" s="340"/>
      <c r="B63" s="341" t="s">
        <v>286</v>
      </c>
      <c r="C63" s="407"/>
      <c r="D63" s="273"/>
      <c r="E63" s="273">
        <v>500</v>
      </c>
      <c r="F63" s="407"/>
      <c r="G63" s="273"/>
      <c r="H63" s="273">
        <v>500</v>
      </c>
      <c r="I63" s="407"/>
      <c r="J63" s="273"/>
      <c r="K63" s="273">
        <v>500</v>
      </c>
      <c r="L63" s="407"/>
      <c r="M63" s="273"/>
      <c r="N63" s="371">
        <v>465</v>
      </c>
      <c r="O63" s="922"/>
      <c r="P63" s="923"/>
      <c r="Q63" s="930"/>
      <c r="R63" s="407"/>
      <c r="S63" s="273"/>
      <c r="T63" s="371"/>
      <c r="U63" s="407"/>
      <c r="V63" s="273"/>
      <c r="W63" s="371"/>
      <c r="X63" s="922"/>
      <c r="Y63" s="923"/>
      <c r="Z63" s="930"/>
    </row>
    <row r="64" spans="1:26" hidden="1" outlineLevel="3" x14ac:dyDescent="0.25">
      <c r="A64" s="340"/>
      <c r="B64" s="341" t="s">
        <v>350</v>
      </c>
      <c r="C64" s="407"/>
      <c r="D64" s="273"/>
      <c r="E64" s="273">
        <v>220</v>
      </c>
      <c r="F64" s="407"/>
      <c r="G64" s="273"/>
      <c r="H64" s="273">
        <v>220</v>
      </c>
      <c r="I64" s="407"/>
      <c r="J64" s="273"/>
      <c r="K64" s="273">
        <v>220</v>
      </c>
      <c r="L64" s="407"/>
      <c r="M64" s="273"/>
      <c r="N64" s="371">
        <v>198</v>
      </c>
      <c r="O64" s="922"/>
      <c r="P64" s="923"/>
      <c r="Q64" s="930"/>
      <c r="R64" s="407"/>
      <c r="S64" s="273"/>
      <c r="T64" s="371"/>
      <c r="U64" s="407"/>
      <c r="V64" s="273"/>
      <c r="W64" s="371"/>
      <c r="X64" s="922"/>
      <c r="Y64" s="923"/>
      <c r="Z64" s="930"/>
    </row>
    <row r="65" spans="1:26" hidden="1" outlineLevel="3" x14ac:dyDescent="0.25">
      <c r="A65" s="340"/>
      <c r="B65" s="341" t="s">
        <v>292</v>
      </c>
      <c r="C65" s="407"/>
      <c r="D65" s="273"/>
      <c r="E65" s="273">
        <v>24497</v>
      </c>
      <c r="F65" s="407"/>
      <c r="G65" s="273"/>
      <c r="H65" s="273">
        <v>24355</v>
      </c>
      <c r="I65" s="407"/>
      <c r="J65" s="273"/>
      <c r="K65" s="273">
        <v>24355</v>
      </c>
      <c r="L65" s="407"/>
      <c r="M65" s="273"/>
      <c r="N65" s="371">
        <v>22321</v>
      </c>
      <c r="O65" s="922"/>
      <c r="P65" s="923"/>
      <c r="Q65" s="930"/>
      <c r="R65" s="407"/>
      <c r="S65" s="273"/>
      <c r="T65" s="371"/>
      <c r="U65" s="407"/>
      <c r="V65" s="273"/>
      <c r="W65" s="371"/>
      <c r="X65" s="922"/>
      <c r="Y65" s="923"/>
      <c r="Z65" s="930"/>
    </row>
    <row r="66" spans="1:26" hidden="1" outlineLevel="3" x14ac:dyDescent="0.25">
      <c r="A66" s="340"/>
      <c r="B66" s="341" t="s">
        <v>351</v>
      </c>
      <c r="C66" s="407"/>
      <c r="D66" s="273"/>
      <c r="E66" s="273">
        <v>0</v>
      </c>
      <c r="F66" s="407"/>
      <c r="G66" s="273"/>
      <c r="H66" s="273">
        <v>0</v>
      </c>
      <c r="I66" s="407"/>
      <c r="J66" s="273"/>
      <c r="K66" s="273">
        <v>0</v>
      </c>
      <c r="L66" s="407"/>
      <c r="M66" s="273"/>
      <c r="N66" s="273"/>
      <c r="O66" s="922"/>
      <c r="P66" s="923"/>
      <c r="Q66" s="923"/>
      <c r="R66" s="407"/>
      <c r="S66" s="273"/>
      <c r="T66" s="273"/>
      <c r="U66" s="407"/>
      <c r="V66" s="273"/>
      <c r="W66" s="273"/>
      <c r="X66" s="922"/>
      <c r="Y66" s="923"/>
      <c r="Z66" s="923"/>
    </row>
    <row r="67" spans="1:26" outlineLevel="1" x14ac:dyDescent="0.25">
      <c r="A67" s="367" t="s">
        <v>318</v>
      </c>
      <c r="B67" s="368" t="s">
        <v>353</v>
      </c>
      <c r="C67" s="405">
        <v>0</v>
      </c>
      <c r="D67" s="369">
        <v>0</v>
      </c>
      <c r="E67" s="369">
        <v>19542</v>
      </c>
      <c r="F67" s="405">
        <v>0</v>
      </c>
      <c r="G67" s="369">
        <v>0</v>
      </c>
      <c r="H67" s="369">
        <v>19648</v>
      </c>
      <c r="I67" s="405">
        <v>0</v>
      </c>
      <c r="J67" s="369">
        <v>0</v>
      </c>
      <c r="K67" s="369">
        <v>19648</v>
      </c>
      <c r="L67" s="405">
        <v>0</v>
      </c>
      <c r="M67" s="369">
        <v>0</v>
      </c>
      <c r="N67" s="369">
        <v>23947</v>
      </c>
      <c r="O67" s="918">
        <v>0</v>
      </c>
      <c r="P67" s="919">
        <v>0</v>
      </c>
      <c r="Q67" s="919">
        <f>+Q68</f>
        <v>57112</v>
      </c>
      <c r="R67" s="405">
        <v>0</v>
      </c>
      <c r="S67" s="369">
        <v>0</v>
      </c>
      <c r="T67" s="369">
        <f>+T68</f>
        <v>57112</v>
      </c>
      <c r="U67" s="405">
        <v>0</v>
      </c>
      <c r="V67" s="369">
        <v>0</v>
      </c>
      <c r="W67" s="369">
        <f>+W68</f>
        <v>57112</v>
      </c>
      <c r="X67" s="918">
        <v>0</v>
      </c>
      <c r="Y67" s="919">
        <v>0</v>
      </c>
      <c r="Z67" s="919">
        <f>+Z68</f>
        <v>57112</v>
      </c>
    </row>
    <row r="68" spans="1:26" x14ac:dyDescent="0.25">
      <c r="A68" s="337" t="s">
        <v>311</v>
      </c>
      <c r="B68" s="338" t="s">
        <v>1688</v>
      </c>
      <c r="C68" s="406">
        <v>0</v>
      </c>
      <c r="D68" s="339">
        <v>0</v>
      </c>
      <c r="E68" s="339">
        <v>19542</v>
      </c>
      <c r="F68" s="406">
        <v>0</v>
      </c>
      <c r="G68" s="339">
        <v>0</v>
      </c>
      <c r="H68" s="339">
        <v>19648</v>
      </c>
      <c r="I68" s="406">
        <v>0</v>
      </c>
      <c r="J68" s="339">
        <v>0</v>
      </c>
      <c r="K68" s="339">
        <v>19648</v>
      </c>
      <c r="L68" s="406">
        <v>0</v>
      </c>
      <c r="M68" s="339">
        <v>0</v>
      </c>
      <c r="N68" s="339">
        <v>23947</v>
      </c>
      <c r="O68" s="920">
        <v>0</v>
      </c>
      <c r="P68" s="921">
        <v>0</v>
      </c>
      <c r="Q68" s="921">
        <f>SUM(Q69:Q72)</f>
        <v>57112</v>
      </c>
      <c r="R68" s="406">
        <v>0</v>
      </c>
      <c r="S68" s="339">
        <v>0</v>
      </c>
      <c r="T68" s="339">
        <f>SUM(T69:T72)</f>
        <v>57112</v>
      </c>
      <c r="U68" s="406">
        <v>0</v>
      </c>
      <c r="V68" s="339">
        <v>0</v>
      </c>
      <c r="W68" s="339">
        <f>SUM(W69:W72)</f>
        <v>57112</v>
      </c>
      <c r="X68" s="920">
        <v>0</v>
      </c>
      <c r="Y68" s="921">
        <v>0</v>
      </c>
      <c r="Z68" s="921">
        <f>SUM(Z69:Z72)</f>
        <v>57112</v>
      </c>
    </row>
    <row r="69" spans="1:26" outlineLevel="1" x14ac:dyDescent="0.25">
      <c r="A69" s="367"/>
      <c r="B69" s="370" t="s">
        <v>286</v>
      </c>
      <c r="C69" s="409"/>
      <c r="D69" s="371"/>
      <c r="E69" s="371">
        <v>667</v>
      </c>
      <c r="F69" s="409"/>
      <c r="G69" s="371"/>
      <c r="H69" s="371">
        <v>773</v>
      </c>
      <c r="I69" s="409"/>
      <c r="J69" s="371"/>
      <c r="K69" s="371">
        <v>773</v>
      </c>
      <c r="L69" s="409"/>
      <c r="M69" s="371"/>
      <c r="N69" s="371">
        <v>774</v>
      </c>
      <c r="O69" s="926"/>
      <c r="P69" s="930"/>
      <c r="Q69" s="930">
        <v>1500</v>
      </c>
      <c r="R69" s="409"/>
      <c r="S69" s="371"/>
      <c r="T69" s="371">
        <v>1500</v>
      </c>
      <c r="U69" s="409"/>
      <c r="V69" s="371"/>
      <c r="W69" s="371">
        <v>1500</v>
      </c>
      <c r="X69" s="926"/>
      <c r="Y69" s="930"/>
      <c r="Z69" s="930">
        <v>1500</v>
      </c>
    </row>
    <row r="70" spans="1:26" outlineLevel="1" x14ac:dyDescent="0.25">
      <c r="A70" s="367"/>
      <c r="B70" s="370" t="s">
        <v>350</v>
      </c>
      <c r="C70" s="409"/>
      <c r="D70" s="371"/>
      <c r="E70" s="371">
        <v>271</v>
      </c>
      <c r="F70" s="409"/>
      <c r="G70" s="371"/>
      <c r="H70" s="371">
        <v>271</v>
      </c>
      <c r="I70" s="409"/>
      <c r="J70" s="371"/>
      <c r="K70" s="371">
        <v>271</v>
      </c>
      <c r="L70" s="409"/>
      <c r="M70" s="371"/>
      <c r="N70" s="371">
        <v>360</v>
      </c>
      <c r="O70" s="926"/>
      <c r="P70" s="930"/>
      <c r="Q70" s="930">
        <v>612</v>
      </c>
      <c r="R70" s="409"/>
      <c r="S70" s="371"/>
      <c r="T70" s="371">
        <v>612</v>
      </c>
      <c r="U70" s="409"/>
      <c r="V70" s="371"/>
      <c r="W70" s="371">
        <v>612</v>
      </c>
      <c r="X70" s="926"/>
      <c r="Y70" s="930"/>
      <c r="Z70" s="930">
        <v>612</v>
      </c>
    </row>
    <row r="71" spans="1:26" outlineLevel="1" x14ac:dyDescent="0.25">
      <c r="A71" s="367"/>
      <c r="B71" s="370" t="s">
        <v>292</v>
      </c>
      <c r="C71" s="409"/>
      <c r="D71" s="371"/>
      <c r="E71" s="371">
        <v>18604</v>
      </c>
      <c r="F71" s="409"/>
      <c r="G71" s="371"/>
      <c r="H71" s="371">
        <v>18604</v>
      </c>
      <c r="I71" s="409"/>
      <c r="J71" s="371"/>
      <c r="K71" s="371">
        <v>18604</v>
      </c>
      <c r="L71" s="409"/>
      <c r="M71" s="371"/>
      <c r="N71" s="371">
        <v>22813</v>
      </c>
      <c r="O71" s="926"/>
      <c r="P71" s="930"/>
      <c r="Q71" s="930">
        <v>55000</v>
      </c>
      <c r="R71" s="409"/>
      <c r="S71" s="371"/>
      <c r="T71" s="371">
        <v>55000</v>
      </c>
      <c r="U71" s="409"/>
      <c r="V71" s="371"/>
      <c r="W71" s="371">
        <v>55000</v>
      </c>
      <c r="X71" s="926"/>
      <c r="Y71" s="930"/>
      <c r="Z71" s="930">
        <v>55000</v>
      </c>
    </row>
    <row r="72" spans="1:26" outlineLevel="1" x14ac:dyDescent="0.25">
      <c r="A72" s="367"/>
      <c r="B72" s="370" t="s">
        <v>351</v>
      </c>
      <c r="C72" s="409"/>
      <c r="D72" s="371"/>
      <c r="E72" s="371">
        <v>0</v>
      </c>
      <c r="F72" s="409"/>
      <c r="G72" s="371"/>
      <c r="H72" s="371">
        <v>0</v>
      </c>
      <c r="I72" s="409"/>
      <c r="J72" s="371"/>
      <c r="K72" s="371">
        <v>0</v>
      </c>
      <c r="L72" s="409"/>
      <c r="M72" s="371"/>
      <c r="N72" s="371"/>
      <c r="O72" s="926"/>
      <c r="P72" s="930"/>
      <c r="Q72" s="930"/>
      <c r="R72" s="409"/>
      <c r="S72" s="371"/>
      <c r="T72" s="371"/>
      <c r="U72" s="409"/>
      <c r="V72" s="371"/>
      <c r="W72" s="371"/>
      <c r="X72" s="926"/>
      <c r="Y72" s="930"/>
      <c r="Z72" s="930"/>
    </row>
    <row r="73" spans="1:26" x14ac:dyDescent="0.25">
      <c r="A73" s="364" t="s">
        <v>1453</v>
      </c>
      <c r="B73" s="365" t="s">
        <v>359</v>
      </c>
      <c r="C73" s="404">
        <v>5</v>
      </c>
      <c r="D73" s="366">
        <v>0</v>
      </c>
      <c r="E73" s="366">
        <v>37028</v>
      </c>
      <c r="F73" s="404">
        <v>5</v>
      </c>
      <c r="G73" s="366">
        <v>0</v>
      </c>
      <c r="H73" s="366">
        <v>37976</v>
      </c>
      <c r="I73" s="404">
        <v>5</v>
      </c>
      <c r="J73" s="366">
        <v>0</v>
      </c>
      <c r="K73" s="366">
        <v>37976</v>
      </c>
      <c r="L73" s="404">
        <v>5</v>
      </c>
      <c r="M73" s="366">
        <v>0</v>
      </c>
      <c r="N73" s="366">
        <v>32161</v>
      </c>
      <c r="O73" s="404">
        <v>5.5</v>
      </c>
      <c r="P73" s="366">
        <v>0</v>
      </c>
      <c r="Q73" s="366">
        <f>+Q74+Q86</f>
        <v>38223.5</v>
      </c>
      <c r="R73" s="404">
        <v>5.5</v>
      </c>
      <c r="S73" s="366">
        <v>0</v>
      </c>
      <c r="T73" s="366">
        <f>+T74+T86</f>
        <v>39337</v>
      </c>
      <c r="U73" s="404">
        <v>5.5</v>
      </c>
      <c r="V73" s="366">
        <v>0</v>
      </c>
      <c r="W73" s="366">
        <f>+W74+W86</f>
        <v>39944</v>
      </c>
      <c r="X73" s="404">
        <v>5.5</v>
      </c>
      <c r="Y73" s="366">
        <v>0</v>
      </c>
      <c r="Z73" s="366">
        <f>+Z74+Z86</f>
        <v>40024</v>
      </c>
    </row>
    <row r="74" spans="1:26" s="47" customFormat="1" outlineLevel="1" x14ac:dyDescent="0.25">
      <c r="A74" s="367" t="s">
        <v>309</v>
      </c>
      <c r="B74" s="368" t="s">
        <v>348</v>
      </c>
      <c r="C74" s="405">
        <v>4</v>
      </c>
      <c r="D74" s="369">
        <v>0</v>
      </c>
      <c r="E74" s="369">
        <v>26934</v>
      </c>
      <c r="F74" s="405">
        <v>4</v>
      </c>
      <c r="G74" s="369">
        <v>0</v>
      </c>
      <c r="H74" s="369">
        <v>27475</v>
      </c>
      <c r="I74" s="405">
        <v>4</v>
      </c>
      <c r="J74" s="369">
        <v>0</v>
      </c>
      <c r="K74" s="369">
        <v>27475</v>
      </c>
      <c r="L74" s="405">
        <v>4</v>
      </c>
      <c r="M74" s="369">
        <v>0</v>
      </c>
      <c r="N74" s="369">
        <v>25372</v>
      </c>
      <c r="O74" s="918">
        <v>4</v>
      </c>
      <c r="P74" s="919">
        <v>0</v>
      </c>
      <c r="Q74" s="919">
        <f>+Q75+Q81</f>
        <v>28835.5</v>
      </c>
      <c r="R74" s="405">
        <v>4</v>
      </c>
      <c r="S74" s="369">
        <v>0</v>
      </c>
      <c r="T74" s="369">
        <f>+T75+T81</f>
        <v>29949</v>
      </c>
      <c r="U74" s="405">
        <v>4</v>
      </c>
      <c r="V74" s="369">
        <v>0</v>
      </c>
      <c r="W74" s="369">
        <f>+W75+W81</f>
        <v>30496</v>
      </c>
      <c r="X74" s="918">
        <v>4</v>
      </c>
      <c r="Y74" s="919">
        <v>0</v>
      </c>
      <c r="Z74" s="919">
        <f>+Z75+Z81</f>
        <v>30496</v>
      </c>
    </row>
    <row r="75" spans="1:26" outlineLevel="2" x14ac:dyDescent="0.25">
      <c r="A75" s="337" t="s">
        <v>311</v>
      </c>
      <c r="B75" s="338" t="s">
        <v>360</v>
      </c>
      <c r="C75" s="406">
        <v>4</v>
      </c>
      <c r="D75" s="339">
        <v>0</v>
      </c>
      <c r="E75" s="339">
        <v>24007</v>
      </c>
      <c r="F75" s="406">
        <v>4</v>
      </c>
      <c r="G75" s="339">
        <v>0</v>
      </c>
      <c r="H75" s="339">
        <v>24548</v>
      </c>
      <c r="I75" s="406">
        <v>4</v>
      </c>
      <c r="J75" s="339">
        <v>0</v>
      </c>
      <c r="K75" s="339">
        <v>24548</v>
      </c>
      <c r="L75" s="406">
        <v>4</v>
      </c>
      <c r="M75" s="339">
        <v>0</v>
      </c>
      <c r="N75" s="339">
        <v>22687</v>
      </c>
      <c r="O75" s="920">
        <v>4</v>
      </c>
      <c r="P75" s="921">
        <v>0</v>
      </c>
      <c r="Q75" s="921">
        <f>SUM(Q76:Q80)</f>
        <v>27883</v>
      </c>
      <c r="R75" s="406">
        <v>4</v>
      </c>
      <c r="S75" s="339">
        <v>0</v>
      </c>
      <c r="T75" s="339">
        <f>SUM(T76:T80)</f>
        <v>28996</v>
      </c>
      <c r="U75" s="406">
        <v>4</v>
      </c>
      <c r="V75" s="339">
        <v>0</v>
      </c>
      <c r="W75" s="339">
        <f>SUM(W76:W80)</f>
        <v>28936</v>
      </c>
      <c r="X75" s="920">
        <v>4</v>
      </c>
      <c r="Y75" s="921">
        <v>0</v>
      </c>
      <c r="Z75" s="921">
        <f>SUM(Z76:Z80)</f>
        <v>28936</v>
      </c>
    </row>
    <row r="76" spans="1:26" outlineLevel="3" x14ac:dyDescent="0.25">
      <c r="A76" s="340"/>
      <c r="B76" s="341" t="s">
        <v>286</v>
      </c>
      <c r="C76" s="407"/>
      <c r="D76" s="273"/>
      <c r="E76" s="273">
        <v>13135</v>
      </c>
      <c r="F76" s="407"/>
      <c r="G76" s="273"/>
      <c r="H76" s="273">
        <v>13135</v>
      </c>
      <c r="I76" s="407"/>
      <c r="J76" s="273"/>
      <c r="K76" s="273">
        <v>13135</v>
      </c>
      <c r="L76" s="407"/>
      <c r="M76" s="273"/>
      <c r="N76" s="273">
        <v>13086</v>
      </c>
      <c r="O76" s="922"/>
      <c r="P76" s="923"/>
      <c r="Q76" s="923">
        <v>13123</v>
      </c>
      <c r="R76" s="407"/>
      <c r="S76" s="273"/>
      <c r="T76" s="273">
        <v>13123</v>
      </c>
      <c r="U76" s="407"/>
      <c r="V76" s="273"/>
      <c r="W76" s="273">
        <f>13123-60</f>
        <v>13063</v>
      </c>
      <c r="X76" s="922"/>
      <c r="Y76" s="923"/>
      <c r="Z76" s="923">
        <f>13123-60-149</f>
        <v>12914</v>
      </c>
    </row>
    <row r="77" spans="1:26" outlineLevel="3" x14ac:dyDescent="0.25">
      <c r="A77" s="340"/>
      <c r="B77" s="341" t="s">
        <v>350</v>
      </c>
      <c r="C77" s="407"/>
      <c r="D77" s="273"/>
      <c r="E77" s="273">
        <v>2634</v>
      </c>
      <c r="F77" s="407"/>
      <c r="G77" s="273"/>
      <c r="H77" s="273">
        <v>2634</v>
      </c>
      <c r="I77" s="407"/>
      <c r="J77" s="273"/>
      <c r="K77" s="273">
        <v>2634</v>
      </c>
      <c r="L77" s="407"/>
      <c r="M77" s="273"/>
      <c r="N77" s="273">
        <v>2874</v>
      </c>
      <c r="O77" s="922"/>
      <c r="P77" s="923"/>
      <c r="Q77" s="923">
        <v>2493</v>
      </c>
      <c r="R77" s="407"/>
      <c r="S77" s="273"/>
      <c r="T77" s="273">
        <v>2493</v>
      </c>
      <c r="U77" s="407"/>
      <c r="V77" s="273"/>
      <c r="W77" s="273">
        <v>2493</v>
      </c>
      <c r="X77" s="922"/>
      <c r="Y77" s="923"/>
      <c r="Z77" s="923">
        <f>2493+149</f>
        <v>2642</v>
      </c>
    </row>
    <row r="78" spans="1:26" outlineLevel="3" x14ac:dyDescent="0.25">
      <c r="A78" s="340"/>
      <c r="B78" s="341" t="s">
        <v>292</v>
      </c>
      <c r="C78" s="407"/>
      <c r="D78" s="273"/>
      <c r="E78" s="273">
        <v>6892</v>
      </c>
      <c r="F78" s="407"/>
      <c r="G78" s="273"/>
      <c r="H78" s="273">
        <v>7131</v>
      </c>
      <c r="I78" s="407"/>
      <c r="J78" s="273"/>
      <c r="K78" s="273">
        <v>7131</v>
      </c>
      <c r="L78" s="407"/>
      <c r="M78" s="273"/>
      <c r="N78" s="273">
        <v>6392</v>
      </c>
      <c r="O78" s="922"/>
      <c r="P78" s="923"/>
      <c r="Q78" s="923">
        <v>11746</v>
      </c>
      <c r="R78" s="407"/>
      <c r="S78" s="273"/>
      <c r="T78" s="273">
        <v>11746</v>
      </c>
      <c r="U78" s="407"/>
      <c r="V78" s="273"/>
      <c r="W78" s="273">
        <v>11746</v>
      </c>
      <c r="X78" s="922"/>
      <c r="Y78" s="923"/>
      <c r="Z78" s="923">
        <v>11746</v>
      </c>
    </row>
    <row r="79" spans="1:26" outlineLevel="3" x14ac:dyDescent="0.25">
      <c r="A79" s="340"/>
      <c r="B79" s="341" t="s">
        <v>339</v>
      </c>
      <c r="C79" s="407"/>
      <c r="D79" s="273"/>
      <c r="E79" s="273">
        <v>0</v>
      </c>
      <c r="F79" s="407"/>
      <c r="G79" s="273"/>
      <c r="H79" s="273">
        <v>295</v>
      </c>
      <c r="I79" s="407"/>
      <c r="J79" s="273"/>
      <c r="K79" s="273">
        <v>295</v>
      </c>
      <c r="L79" s="407"/>
      <c r="M79" s="273"/>
      <c r="N79" s="273">
        <v>295</v>
      </c>
      <c r="O79" s="922"/>
      <c r="P79" s="923"/>
      <c r="Q79" s="923">
        <v>0</v>
      </c>
      <c r="R79" s="407"/>
      <c r="S79" s="273"/>
      <c r="T79" s="273">
        <v>0</v>
      </c>
      <c r="U79" s="407"/>
      <c r="V79" s="273"/>
      <c r="W79" s="273">
        <v>0</v>
      </c>
      <c r="X79" s="922"/>
      <c r="Y79" s="923"/>
      <c r="Z79" s="923">
        <v>0</v>
      </c>
    </row>
    <row r="80" spans="1:26" s="47" customFormat="1" outlineLevel="3" x14ac:dyDescent="0.25">
      <c r="A80" s="340"/>
      <c r="B80" s="341" t="s">
        <v>351</v>
      </c>
      <c r="C80" s="407"/>
      <c r="D80" s="273"/>
      <c r="E80" s="273">
        <v>1346</v>
      </c>
      <c r="F80" s="407"/>
      <c r="G80" s="273"/>
      <c r="H80" s="273">
        <v>1353</v>
      </c>
      <c r="I80" s="407"/>
      <c r="J80" s="273"/>
      <c r="K80" s="273">
        <v>1353</v>
      </c>
      <c r="L80" s="407"/>
      <c r="M80" s="273"/>
      <c r="N80" s="273">
        <v>40</v>
      </c>
      <c r="O80" s="922"/>
      <c r="P80" s="923"/>
      <c r="Q80" s="923">
        <v>521</v>
      </c>
      <c r="R80" s="407"/>
      <c r="S80" s="273"/>
      <c r="T80" s="273">
        <f>521+1113</f>
        <v>1634</v>
      </c>
      <c r="U80" s="407"/>
      <c r="V80" s="273"/>
      <c r="W80" s="273">
        <f>521+1113</f>
        <v>1634</v>
      </c>
      <c r="X80" s="922"/>
      <c r="Y80" s="923"/>
      <c r="Z80" s="923">
        <f>521+1113</f>
        <v>1634</v>
      </c>
    </row>
    <row r="81" spans="1:26" ht="30" outlineLevel="2" x14ac:dyDescent="0.25">
      <c r="A81" s="337" t="s">
        <v>322</v>
      </c>
      <c r="B81" s="527" t="s">
        <v>1459</v>
      </c>
      <c r="C81" s="406">
        <v>0</v>
      </c>
      <c r="D81" s="339">
        <v>0</v>
      </c>
      <c r="E81" s="339">
        <v>2927</v>
      </c>
      <c r="F81" s="406">
        <v>0</v>
      </c>
      <c r="G81" s="339">
        <v>0</v>
      </c>
      <c r="H81" s="339">
        <v>2927</v>
      </c>
      <c r="I81" s="406">
        <v>0</v>
      </c>
      <c r="J81" s="339">
        <v>0</v>
      </c>
      <c r="K81" s="339">
        <v>2927</v>
      </c>
      <c r="L81" s="406">
        <v>0</v>
      </c>
      <c r="M81" s="339">
        <v>0</v>
      </c>
      <c r="N81" s="339">
        <v>2685</v>
      </c>
      <c r="O81" s="920">
        <v>0</v>
      </c>
      <c r="P81" s="921">
        <v>0</v>
      </c>
      <c r="Q81" s="921">
        <f>+Q84</f>
        <v>952.5</v>
      </c>
      <c r="R81" s="406">
        <v>0</v>
      </c>
      <c r="S81" s="339">
        <v>0</v>
      </c>
      <c r="T81" s="339">
        <f>SUM(T82:T85)</f>
        <v>953</v>
      </c>
      <c r="U81" s="406">
        <v>0</v>
      </c>
      <c r="V81" s="339">
        <v>0</v>
      </c>
      <c r="W81" s="339">
        <f>SUM(W82:W85)</f>
        <v>1560</v>
      </c>
      <c r="X81" s="920">
        <v>0</v>
      </c>
      <c r="Y81" s="921">
        <v>0</v>
      </c>
      <c r="Z81" s="921">
        <f>SUM(Z82:Z85)</f>
        <v>1560</v>
      </c>
    </row>
    <row r="82" spans="1:26" outlineLevel="3" x14ac:dyDescent="0.25">
      <c r="A82" s="340"/>
      <c r="B82" s="341" t="s">
        <v>286</v>
      </c>
      <c r="C82" s="407"/>
      <c r="D82" s="273"/>
      <c r="E82" s="273">
        <v>0</v>
      </c>
      <c r="F82" s="407"/>
      <c r="G82" s="273"/>
      <c r="H82" s="273">
        <v>0</v>
      </c>
      <c r="I82" s="407"/>
      <c r="J82" s="273"/>
      <c r="K82" s="273">
        <v>0</v>
      </c>
      <c r="L82" s="407"/>
      <c r="M82" s="273"/>
      <c r="N82" s="273"/>
      <c r="O82" s="922"/>
      <c r="P82" s="923"/>
      <c r="Q82" s="923"/>
      <c r="R82" s="407"/>
      <c r="S82" s="273"/>
      <c r="T82" s="273"/>
      <c r="U82" s="407"/>
      <c r="V82" s="273"/>
      <c r="W82" s="273"/>
      <c r="X82" s="922"/>
      <c r="Y82" s="923"/>
      <c r="Z82" s="923"/>
    </row>
    <row r="83" spans="1:26" outlineLevel="3" x14ac:dyDescent="0.25">
      <c r="A83" s="340"/>
      <c r="B83" s="341" t="s">
        <v>350</v>
      </c>
      <c r="C83" s="407"/>
      <c r="D83" s="273"/>
      <c r="E83" s="273">
        <v>0</v>
      </c>
      <c r="F83" s="407"/>
      <c r="G83" s="273"/>
      <c r="H83" s="273">
        <v>0</v>
      </c>
      <c r="I83" s="407"/>
      <c r="J83" s="273"/>
      <c r="K83" s="273">
        <v>0</v>
      </c>
      <c r="L83" s="407"/>
      <c r="M83" s="273"/>
      <c r="N83" s="273"/>
      <c r="O83" s="922"/>
      <c r="P83" s="923"/>
      <c r="Q83" s="923"/>
      <c r="R83" s="407"/>
      <c r="S83" s="273"/>
      <c r="T83" s="273"/>
      <c r="U83" s="407"/>
      <c r="V83" s="273"/>
      <c r="W83" s="273"/>
      <c r="X83" s="922"/>
      <c r="Y83" s="923"/>
      <c r="Z83" s="923"/>
    </row>
    <row r="84" spans="1:26" outlineLevel="3" x14ac:dyDescent="0.25">
      <c r="A84" s="340"/>
      <c r="B84" s="341" t="s">
        <v>292</v>
      </c>
      <c r="C84" s="407"/>
      <c r="D84" s="273"/>
      <c r="E84" s="273">
        <v>927</v>
      </c>
      <c r="F84" s="407"/>
      <c r="G84" s="273"/>
      <c r="H84" s="273">
        <v>927</v>
      </c>
      <c r="I84" s="407"/>
      <c r="J84" s="273"/>
      <c r="K84" s="273">
        <v>927</v>
      </c>
      <c r="L84" s="407"/>
      <c r="M84" s="273"/>
      <c r="N84" s="273">
        <v>646</v>
      </c>
      <c r="O84" s="922"/>
      <c r="P84" s="923"/>
      <c r="Q84" s="923">
        <v>952.5</v>
      </c>
      <c r="R84" s="407"/>
      <c r="S84" s="273"/>
      <c r="T84" s="273">
        <f>953-410</f>
        <v>543</v>
      </c>
      <c r="U84" s="407"/>
      <c r="V84" s="273"/>
      <c r="W84" s="273">
        <f>953-410</f>
        <v>543</v>
      </c>
      <c r="X84" s="922"/>
      <c r="Y84" s="923"/>
      <c r="Z84" s="923">
        <f>953-410</f>
        <v>543</v>
      </c>
    </row>
    <row r="85" spans="1:26" s="47" customFormat="1" outlineLevel="3" x14ac:dyDescent="0.25">
      <c r="A85" s="340"/>
      <c r="B85" s="341" t="s">
        <v>351</v>
      </c>
      <c r="C85" s="407"/>
      <c r="D85" s="273"/>
      <c r="E85" s="273">
        <v>2000</v>
      </c>
      <c r="F85" s="407"/>
      <c r="G85" s="273"/>
      <c r="H85" s="273">
        <v>2000</v>
      </c>
      <c r="I85" s="407"/>
      <c r="J85" s="273"/>
      <c r="K85" s="273">
        <v>2000</v>
      </c>
      <c r="L85" s="407"/>
      <c r="M85" s="273"/>
      <c r="N85" s="273">
        <v>2039</v>
      </c>
      <c r="O85" s="922"/>
      <c r="P85" s="923"/>
      <c r="Q85" s="923">
        <v>0</v>
      </c>
      <c r="R85" s="407"/>
      <c r="S85" s="273"/>
      <c r="T85" s="273">
        <v>410</v>
      </c>
      <c r="U85" s="407"/>
      <c r="V85" s="273"/>
      <c r="W85" s="273">
        <f>410+607</f>
        <v>1017</v>
      </c>
      <c r="X85" s="922"/>
      <c r="Y85" s="923"/>
      <c r="Z85" s="923">
        <f>410+607</f>
        <v>1017</v>
      </c>
    </row>
    <row r="86" spans="1:26" outlineLevel="1" x14ac:dyDescent="0.25">
      <c r="A86" s="367" t="s">
        <v>318</v>
      </c>
      <c r="B86" s="368" t="s">
        <v>353</v>
      </c>
      <c r="C86" s="405">
        <v>1</v>
      </c>
      <c r="D86" s="369">
        <v>0</v>
      </c>
      <c r="E86" s="369">
        <v>10094</v>
      </c>
      <c r="F86" s="405">
        <v>1</v>
      </c>
      <c r="G86" s="369">
        <v>0</v>
      </c>
      <c r="H86" s="369">
        <v>10501</v>
      </c>
      <c r="I86" s="405">
        <v>1</v>
      </c>
      <c r="J86" s="369">
        <v>0</v>
      </c>
      <c r="K86" s="369">
        <v>10501</v>
      </c>
      <c r="L86" s="405">
        <v>1</v>
      </c>
      <c r="M86" s="369">
        <v>0</v>
      </c>
      <c r="N86" s="369">
        <v>6789</v>
      </c>
      <c r="O86" s="918">
        <v>1.5</v>
      </c>
      <c r="P86" s="919">
        <v>0</v>
      </c>
      <c r="Q86" s="919">
        <f>+Q87</f>
        <v>9388</v>
      </c>
      <c r="R86" s="405">
        <v>1.5</v>
      </c>
      <c r="S86" s="369">
        <v>0</v>
      </c>
      <c r="T86" s="369">
        <f>+T87</f>
        <v>9388</v>
      </c>
      <c r="U86" s="405">
        <v>1.5</v>
      </c>
      <c r="V86" s="369">
        <v>0</v>
      </c>
      <c r="W86" s="369">
        <f>+W87</f>
        <v>9448</v>
      </c>
      <c r="X86" s="918">
        <v>1.5</v>
      </c>
      <c r="Y86" s="919">
        <v>0</v>
      </c>
      <c r="Z86" s="919">
        <f>+Z87</f>
        <v>9528</v>
      </c>
    </row>
    <row r="87" spans="1:26" x14ac:dyDescent="0.25">
      <c r="A87" s="367" t="s">
        <v>311</v>
      </c>
      <c r="B87" s="368" t="s">
        <v>361</v>
      </c>
      <c r="C87" s="406">
        <v>1</v>
      </c>
      <c r="D87" s="339">
        <v>0</v>
      </c>
      <c r="E87" s="339">
        <v>10094</v>
      </c>
      <c r="F87" s="406">
        <v>1</v>
      </c>
      <c r="G87" s="339">
        <v>0</v>
      </c>
      <c r="H87" s="339">
        <v>10501</v>
      </c>
      <c r="I87" s="406">
        <v>1</v>
      </c>
      <c r="J87" s="339">
        <v>0</v>
      </c>
      <c r="K87" s="339">
        <v>10501</v>
      </c>
      <c r="L87" s="406">
        <v>1</v>
      </c>
      <c r="M87" s="339">
        <v>0</v>
      </c>
      <c r="N87" s="339">
        <v>6789</v>
      </c>
      <c r="O87" s="920">
        <v>1.5</v>
      </c>
      <c r="P87" s="921">
        <v>0</v>
      </c>
      <c r="Q87" s="921">
        <f>SUM(Q88:Q91)</f>
        <v>9388</v>
      </c>
      <c r="R87" s="406">
        <v>1.5</v>
      </c>
      <c r="S87" s="339">
        <v>0</v>
      </c>
      <c r="T87" s="339">
        <f>SUM(T88:T91)</f>
        <v>9388</v>
      </c>
      <c r="U87" s="406">
        <v>1.5</v>
      </c>
      <c r="V87" s="339">
        <v>0</v>
      </c>
      <c r="W87" s="339">
        <f>SUM(W88:W91)</f>
        <v>9448</v>
      </c>
      <c r="X87" s="920">
        <v>1.5</v>
      </c>
      <c r="Y87" s="921">
        <v>0</v>
      </c>
      <c r="Z87" s="921">
        <f>SUM(Z88:Z91)</f>
        <v>9528</v>
      </c>
    </row>
    <row r="88" spans="1:26" s="47" customFormat="1" outlineLevel="1" x14ac:dyDescent="0.25">
      <c r="A88" s="340"/>
      <c r="B88" s="341" t="s">
        <v>286</v>
      </c>
      <c r="C88" s="407"/>
      <c r="D88" s="273"/>
      <c r="E88" s="273">
        <v>4252</v>
      </c>
      <c r="F88" s="407"/>
      <c r="G88" s="273"/>
      <c r="H88" s="273">
        <v>4252</v>
      </c>
      <c r="I88" s="407"/>
      <c r="J88" s="273"/>
      <c r="K88" s="273">
        <v>4252</v>
      </c>
      <c r="L88" s="407"/>
      <c r="M88" s="273"/>
      <c r="N88" s="273">
        <v>3002</v>
      </c>
      <c r="O88" s="922"/>
      <c r="P88" s="923"/>
      <c r="Q88" s="923">
        <v>6146</v>
      </c>
      <c r="R88" s="407"/>
      <c r="S88" s="273"/>
      <c r="T88" s="273">
        <v>6146</v>
      </c>
      <c r="U88" s="407"/>
      <c r="V88" s="273"/>
      <c r="W88" s="273">
        <f>6146+60</f>
        <v>6206</v>
      </c>
      <c r="X88" s="922"/>
      <c r="Y88" s="923"/>
      <c r="Z88" s="923">
        <f>6146+60</f>
        <v>6206</v>
      </c>
    </row>
    <row r="89" spans="1:26" s="47" customFormat="1" outlineLevel="1" x14ac:dyDescent="0.25">
      <c r="A89" s="340"/>
      <c r="B89" s="341" t="s">
        <v>350</v>
      </c>
      <c r="C89" s="407"/>
      <c r="D89" s="273"/>
      <c r="E89" s="273">
        <v>1011</v>
      </c>
      <c r="F89" s="407"/>
      <c r="G89" s="273"/>
      <c r="H89" s="273">
        <v>1011</v>
      </c>
      <c r="I89" s="407"/>
      <c r="J89" s="273"/>
      <c r="K89" s="273">
        <v>1011</v>
      </c>
      <c r="L89" s="407"/>
      <c r="M89" s="273"/>
      <c r="N89" s="273">
        <v>696</v>
      </c>
      <c r="O89" s="922"/>
      <c r="P89" s="923"/>
      <c r="Q89" s="923">
        <v>1168</v>
      </c>
      <c r="R89" s="407"/>
      <c r="S89" s="273"/>
      <c r="T89" s="273">
        <v>1168</v>
      </c>
      <c r="U89" s="407"/>
      <c r="V89" s="273"/>
      <c r="W89" s="273">
        <v>1168</v>
      </c>
      <c r="X89" s="922"/>
      <c r="Y89" s="923"/>
      <c r="Z89" s="923">
        <v>1168</v>
      </c>
    </row>
    <row r="90" spans="1:26" s="47" customFormat="1" outlineLevel="1" x14ac:dyDescent="0.25">
      <c r="A90" s="340"/>
      <c r="B90" s="341" t="s">
        <v>292</v>
      </c>
      <c r="C90" s="407"/>
      <c r="D90" s="273"/>
      <c r="E90" s="273">
        <v>4831</v>
      </c>
      <c r="F90" s="407"/>
      <c r="G90" s="273"/>
      <c r="H90" s="273">
        <v>4831</v>
      </c>
      <c r="I90" s="407"/>
      <c r="J90" s="273"/>
      <c r="K90" s="273">
        <v>4831</v>
      </c>
      <c r="L90" s="407"/>
      <c r="M90" s="273"/>
      <c r="N90" s="273">
        <v>2962</v>
      </c>
      <c r="O90" s="922"/>
      <c r="P90" s="923"/>
      <c r="Q90" s="923">
        <v>1824</v>
      </c>
      <c r="R90" s="407"/>
      <c r="S90" s="273"/>
      <c r="T90" s="273">
        <v>1824</v>
      </c>
      <c r="U90" s="407"/>
      <c r="V90" s="273"/>
      <c r="W90" s="273">
        <v>1824</v>
      </c>
      <c r="X90" s="922"/>
      <c r="Y90" s="923"/>
      <c r="Z90" s="923">
        <f>1824+80</f>
        <v>1904</v>
      </c>
    </row>
    <row r="91" spans="1:26" s="47" customFormat="1" outlineLevel="1" x14ac:dyDescent="0.25">
      <c r="A91" s="340"/>
      <c r="B91" s="341" t="s">
        <v>351</v>
      </c>
      <c r="C91" s="407"/>
      <c r="D91" s="273"/>
      <c r="E91" s="273">
        <v>0</v>
      </c>
      <c r="F91" s="407"/>
      <c r="G91" s="273"/>
      <c r="H91" s="273">
        <v>407</v>
      </c>
      <c r="I91" s="407"/>
      <c r="J91" s="273"/>
      <c r="K91" s="273">
        <v>407</v>
      </c>
      <c r="L91" s="407"/>
      <c r="M91" s="273"/>
      <c r="N91" s="273">
        <v>129</v>
      </c>
      <c r="O91" s="922"/>
      <c r="P91" s="923"/>
      <c r="Q91" s="923">
        <v>250</v>
      </c>
      <c r="R91" s="407"/>
      <c r="S91" s="273"/>
      <c r="T91" s="273">
        <v>250</v>
      </c>
      <c r="U91" s="407"/>
      <c r="V91" s="273"/>
      <c r="W91" s="273">
        <v>250</v>
      </c>
      <c r="X91" s="922"/>
      <c r="Y91" s="923"/>
      <c r="Z91" s="923">
        <v>250</v>
      </c>
    </row>
    <row r="92" spans="1:26" x14ac:dyDescent="0.25">
      <c r="A92" s="364" t="s">
        <v>1454</v>
      </c>
      <c r="B92" s="365" t="s">
        <v>362</v>
      </c>
      <c r="C92" s="404">
        <v>17</v>
      </c>
      <c r="D92" s="366">
        <v>0</v>
      </c>
      <c r="E92" s="366">
        <v>126547</v>
      </c>
      <c r="F92" s="404">
        <v>17</v>
      </c>
      <c r="G92" s="366">
        <v>0</v>
      </c>
      <c r="H92" s="366">
        <v>132439</v>
      </c>
      <c r="I92" s="404">
        <v>17</v>
      </c>
      <c r="J92" s="366">
        <v>0</v>
      </c>
      <c r="K92" s="366">
        <v>132439</v>
      </c>
      <c r="L92" s="404">
        <v>17</v>
      </c>
      <c r="M92" s="366">
        <v>0</v>
      </c>
      <c r="N92" s="366">
        <v>125928</v>
      </c>
      <c r="O92" s="404">
        <v>17</v>
      </c>
      <c r="P92" s="366">
        <v>0</v>
      </c>
      <c r="Q92" s="366">
        <f>+Q93+Q110</f>
        <v>139906.68</v>
      </c>
      <c r="R92" s="404">
        <v>17</v>
      </c>
      <c r="S92" s="366">
        <v>0</v>
      </c>
      <c r="T92" s="366">
        <f>+T93+T110</f>
        <v>142000.68</v>
      </c>
      <c r="U92" s="404">
        <f>+U93</f>
        <v>18</v>
      </c>
      <c r="V92" s="366">
        <v>0</v>
      </c>
      <c r="W92" s="366">
        <f>+W93+W110</f>
        <v>142800.68</v>
      </c>
      <c r="X92" s="404">
        <f>+X93</f>
        <v>18</v>
      </c>
      <c r="Y92" s="366">
        <v>0</v>
      </c>
      <c r="Z92" s="366">
        <f>+Z93+Z110</f>
        <v>144448.68</v>
      </c>
    </row>
    <row r="93" spans="1:26" s="47" customFormat="1" outlineLevel="1" x14ac:dyDescent="0.25">
      <c r="A93" s="367" t="s">
        <v>309</v>
      </c>
      <c r="B93" s="368" t="s">
        <v>348</v>
      </c>
      <c r="C93" s="405">
        <v>17</v>
      </c>
      <c r="D93" s="369">
        <v>0</v>
      </c>
      <c r="E93" s="369">
        <v>126547</v>
      </c>
      <c r="F93" s="405">
        <v>17</v>
      </c>
      <c r="G93" s="369">
        <v>0</v>
      </c>
      <c r="H93" s="369">
        <v>130227</v>
      </c>
      <c r="I93" s="405">
        <v>17</v>
      </c>
      <c r="J93" s="369">
        <v>0</v>
      </c>
      <c r="K93" s="369">
        <v>130227</v>
      </c>
      <c r="L93" s="405">
        <v>17</v>
      </c>
      <c r="M93" s="369">
        <v>0</v>
      </c>
      <c r="N93" s="369">
        <v>125928</v>
      </c>
      <c r="O93" s="918">
        <v>17</v>
      </c>
      <c r="P93" s="919">
        <v>0</v>
      </c>
      <c r="Q93" s="919">
        <f>+Q94+Q100+Q105</f>
        <v>139906.68</v>
      </c>
      <c r="R93" s="405">
        <v>17</v>
      </c>
      <c r="S93" s="369">
        <v>0</v>
      </c>
      <c r="T93" s="369">
        <f>+T94+T100+T105</f>
        <v>142000.68</v>
      </c>
      <c r="U93" s="405">
        <f>+U94+U100</f>
        <v>18</v>
      </c>
      <c r="V93" s="369">
        <v>0</v>
      </c>
      <c r="W93" s="369">
        <f>+W94+W100+W105</f>
        <v>142800.68</v>
      </c>
      <c r="X93" s="918">
        <f>+X94+X100</f>
        <v>18</v>
      </c>
      <c r="Y93" s="919">
        <v>0</v>
      </c>
      <c r="Z93" s="919">
        <f>+Z94+Z100+Z105</f>
        <v>144448.68</v>
      </c>
    </row>
    <row r="94" spans="1:26" outlineLevel="2" x14ac:dyDescent="0.25">
      <c r="A94" s="337" t="s">
        <v>311</v>
      </c>
      <c r="B94" s="338" t="s">
        <v>363</v>
      </c>
      <c r="C94" s="406">
        <v>11</v>
      </c>
      <c r="D94" s="339">
        <v>0</v>
      </c>
      <c r="E94" s="339">
        <v>83247</v>
      </c>
      <c r="F94" s="406">
        <v>11</v>
      </c>
      <c r="G94" s="339">
        <v>0</v>
      </c>
      <c r="H94" s="339">
        <v>87653</v>
      </c>
      <c r="I94" s="406">
        <v>11</v>
      </c>
      <c r="J94" s="339">
        <v>0</v>
      </c>
      <c r="K94" s="339">
        <v>87653</v>
      </c>
      <c r="L94" s="406">
        <v>11</v>
      </c>
      <c r="M94" s="339">
        <v>0</v>
      </c>
      <c r="N94" s="339">
        <v>82682</v>
      </c>
      <c r="O94" s="920">
        <v>11</v>
      </c>
      <c r="P94" s="921">
        <v>0</v>
      </c>
      <c r="Q94" s="921">
        <f>SUM(Q95:Q99)</f>
        <v>94016</v>
      </c>
      <c r="R94" s="406">
        <v>11</v>
      </c>
      <c r="S94" s="339">
        <v>0</v>
      </c>
      <c r="T94" s="339">
        <f>SUM(T95:T99)</f>
        <v>96110</v>
      </c>
      <c r="U94" s="406">
        <f>11+1</f>
        <v>12</v>
      </c>
      <c r="V94" s="339">
        <v>0</v>
      </c>
      <c r="W94" s="339">
        <f>SUM(W95:W99)</f>
        <v>96910</v>
      </c>
      <c r="X94" s="920">
        <f>11+1</f>
        <v>12</v>
      </c>
      <c r="Y94" s="921">
        <v>0</v>
      </c>
      <c r="Z94" s="921">
        <f>SUM(Z95:Z99)</f>
        <v>98558</v>
      </c>
    </row>
    <row r="95" spans="1:26" outlineLevel="3" x14ac:dyDescent="0.25">
      <c r="A95" s="340"/>
      <c r="B95" s="341" t="s">
        <v>286</v>
      </c>
      <c r="C95" s="407"/>
      <c r="D95" s="273"/>
      <c r="E95" s="273">
        <v>53222</v>
      </c>
      <c r="F95" s="407"/>
      <c r="G95" s="273"/>
      <c r="H95" s="273">
        <v>55999</v>
      </c>
      <c r="I95" s="407"/>
      <c r="J95" s="273"/>
      <c r="K95" s="273">
        <v>55999</v>
      </c>
      <c r="L95" s="407"/>
      <c r="M95" s="273"/>
      <c r="N95" s="273">
        <v>53239</v>
      </c>
      <c r="O95" s="922"/>
      <c r="P95" s="923"/>
      <c r="Q95" s="923">
        <v>56100</v>
      </c>
      <c r="R95" s="407"/>
      <c r="S95" s="273"/>
      <c r="T95" s="273">
        <f>56100+1373</f>
        <v>57473</v>
      </c>
      <c r="U95" s="407"/>
      <c r="V95" s="273"/>
      <c r="W95" s="273">
        <f>56100+1373</f>
        <v>57473</v>
      </c>
      <c r="X95" s="922"/>
      <c r="Y95" s="923"/>
      <c r="Z95" s="923">
        <f>56100+1373</f>
        <v>57473</v>
      </c>
    </row>
    <row r="96" spans="1:26" outlineLevel="3" x14ac:dyDescent="0.25">
      <c r="A96" s="340"/>
      <c r="B96" s="341" t="s">
        <v>350</v>
      </c>
      <c r="C96" s="407"/>
      <c r="D96" s="273"/>
      <c r="E96" s="273">
        <v>10283</v>
      </c>
      <c r="F96" s="407"/>
      <c r="G96" s="273"/>
      <c r="H96" s="273">
        <v>10538</v>
      </c>
      <c r="I96" s="407"/>
      <c r="J96" s="273"/>
      <c r="K96" s="273">
        <v>10538</v>
      </c>
      <c r="L96" s="407"/>
      <c r="M96" s="273"/>
      <c r="N96" s="273">
        <v>9662</v>
      </c>
      <c r="O96" s="922"/>
      <c r="P96" s="923"/>
      <c r="Q96" s="923">
        <v>10659</v>
      </c>
      <c r="R96" s="407"/>
      <c r="S96" s="273"/>
      <c r="T96" s="273">
        <f>10659+267</f>
        <v>10926</v>
      </c>
      <c r="U96" s="407"/>
      <c r="V96" s="273"/>
      <c r="W96" s="273">
        <f>10659+267</f>
        <v>10926</v>
      </c>
      <c r="X96" s="922"/>
      <c r="Y96" s="923"/>
      <c r="Z96" s="923">
        <f>10659+267</f>
        <v>10926</v>
      </c>
    </row>
    <row r="97" spans="1:26" outlineLevel="3" x14ac:dyDescent="0.25">
      <c r="A97" s="340"/>
      <c r="B97" s="341" t="s">
        <v>292</v>
      </c>
      <c r="C97" s="407"/>
      <c r="D97" s="273"/>
      <c r="E97" s="273">
        <v>19107</v>
      </c>
      <c r="F97" s="407"/>
      <c r="G97" s="273"/>
      <c r="H97" s="273">
        <v>20431</v>
      </c>
      <c r="I97" s="407"/>
      <c r="J97" s="273"/>
      <c r="K97" s="273">
        <v>20431</v>
      </c>
      <c r="L97" s="407"/>
      <c r="M97" s="273"/>
      <c r="N97" s="273">
        <v>19781</v>
      </c>
      <c r="O97" s="922"/>
      <c r="P97" s="923"/>
      <c r="Q97" s="923">
        <v>27007</v>
      </c>
      <c r="R97" s="407"/>
      <c r="S97" s="273"/>
      <c r="T97" s="273">
        <f>27007-635</f>
        <v>26372</v>
      </c>
      <c r="U97" s="407"/>
      <c r="V97" s="273"/>
      <c r="W97" s="273">
        <f>26372+100+100+600</f>
        <v>27172</v>
      </c>
      <c r="X97" s="922"/>
      <c r="Y97" s="923"/>
      <c r="Z97" s="923">
        <f>27172+1648-11-38</f>
        <v>28771</v>
      </c>
    </row>
    <row r="98" spans="1:26" outlineLevel="3" x14ac:dyDescent="0.25">
      <c r="A98" s="340"/>
      <c r="B98" s="341" t="s">
        <v>339</v>
      </c>
      <c r="C98" s="407"/>
      <c r="D98" s="273"/>
      <c r="E98" s="273">
        <v>0</v>
      </c>
      <c r="F98" s="407"/>
      <c r="G98" s="273"/>
      <c r="H98" s="273">
        <v>0</v>
      </c>
      <c r="I98" s="407"/>
      <c r="J98" s="273"/>
      <c r="K98" s="273">
        <v>0</v>
      </c>
      <c r="L98" s="407"/>
      <c r="M98" s="273"/>
      <c r="N98" s="273">
        <v>0</v>
      </c>
      <c r="O98" s="922"/>
      <c r="P98" s="923"/>
      <c r="Q98" s="923">
        <v>0</v>
      </c>
      <c r="R98" s="407"/>
      <c r="S98" s="273"/>
      <c r="T98" s="273">
        <v>0</v>
      </c>
      <c r="U98" s="407"/>
      <c r="V98" s="273"/>
      <c r="W98" s="273">
        <v>0</v>
      </c>
      <c r="X98" s="922"/>
      <c r="Y98" s="923"/>
      <c r="Z98" s="923">
        <v>0</v>
      </c>
    </row>
    <row r="99" spans="1:26" outlineLevel="3" x14ac:dyDescent="0.25">
      <c r="A99" s="340"/>
      <c r="B99" s="341" t="s">
        <v>351</v>
      </c>
      <c r="C99" s="407"/>
      <c r="D99" s="273"/>
      <c r="E99" s="687">
        <v>635</v>
      </c>
      <c r="F99" s="407"/>
      <c r="G99" s="273"/>
      <c r="H99" s="687">
        <v>685</v>
      </c>
      <c r="I99" s="407"/>
      <c r="J99" s="273"/>
      <c r="K99" s="687">
        <v>685</v>
      </c>
      <c r="L99" s="407"/>
      <c r="M99" s="273"/>
      <c r="N99" s="273">
        <v>0</v>
      </c>
      <c r="O99" s="922"/>
      <c r="P99" s="923"/>
      <c r="Q99" s="923">
        <v>250</v>
      </c>
      <c r="R99" s="407"/>
      <c r="S99" s="273"/>
      <c r="T99" s="687">
        <f>250+635+454</f>
        <v>1339</v>
      </c>
      <c r="U99" s="407"/>
      <c r="V99" s="273"/>
      <c r="W99" s="687">
        <f>250+635+454</f>
        <v>1339</v>
      </c>
      <c r="X99" s="922"/>
      <c r="Y99" s="923"/>
      <c r="Z99" s="923">
        <f>250+635+454+11+38</f>
        <v>1388</v>
      </c>
    </row>
    <row r="100" spans="1:26" outlineLevel="2" x14ac:dyDescent="0.25">
      <c r="A100" s="337" t="s">
        <v>322</v>
      </c>
      <c r="B100" s="338" t="s">
        <v>364</v>
      </c>
      <c r="C100" s="406">
        <v>6</v>
      </c>
      <c r="D100" s="339">
        <v>0</v>
      </c>
      <c r="E100" s="339">
        <v>28276</v>
      </c>
      <c r="F100" s="406">
        <v>6</v>
      </c>
      <c r="G100" s="339">
        <v>0</v>
      </c>
      <c r="H100" s="339">
        <v>27316</v>
      </c>
      <c r="I100" s="406">
        <v>6</v>
      </c>
      <c r="J100" s="339">
        <v>0</v>
      </c>
      <c r="K100" s="339">
        <v>27316</v>
      </c>
      <c r="L100" s="406">
        <v>6</v>
      </c>
      <c r="M100" s="339">
        <v>0</v>
      </c>
      <c r="N100" s="339">
        <v>25172</v>
      </c>
      <c r="O100" s="920">
        <v>6</v>
      </c>
      <c r="P100" s="921">
        <v>0</v>
      </c>
      <c r="Q100" s="921">
        <f>SUM(Q101:Q104)</f>
        <v>28601</v>
      </c>
      <c r="R100" s="406">
        <v>6</v>
      </c>
      <c r="S100" s="339">
        <v>0</v>
      </c>
      <c r="T100" s="339">
        <f>SUM(T101:T104)</f>
        <v>28601</v>
      </c>
      <c r="U100" s="406">
        <v>6</v>
      </c>
      <c r="V100" s="339">
        <v>0</v>
      </c>
      <c r="W100" s="339">
        <f>SUM(W101:W104)</f>
        <v>28601</v>
      </c>
      <c r="X100" s="920">
        <v>6</v>
      </c>
      <c r="Y100" s="921">
        <v>0</v>
      </c>
      <c r="Z100" s="921">
        <f>SUM(Z101:Z104)</f>
        <v>28601</v>
      </c>
    </row>
    <row r="101" spans="1:26" outlineLevel="3" x14ac:dyDescent="0.25">
      <c r="A101" s="340"/>
      <c r="B101" s="341" t="s">
        <v>286</v>
      </c>
      <c r="C101" s="407"/>
      <c r="D101" s="273"/>
      <c r="E101" s="273">
        <v>19406</v>
      </c>
      <c r="F101" s="407"/>
      <c r="G101" s="273"/>
      <c r="H101" s="273">
        <v>19412</v>
      </c>
      <c r="I101" s="407"/>
      <c r="J101" s="273"/>
      <c r="K101" s="273">
        <v>19412</v>
      </c>
      <c r="L101" s="407"/>
      <c r="M101" s="273"/>
      <c r="N101" s="273">
        <v>18776</v>
      </c>
      <c r="O101" s="922"/>
      <c r="P101" s="923"/>
      <c r="Q101" s="923">
        <v>20094</v>
      </c>
      <c r="R101" s="407"/>
      <c r="S101" s="273"/>
      <c r="T101" s="273">
        <v>20094</v>
      </c>
      <c r="U101" s="407"/>
      <c r="V101" s="273"/>
      <c r="W101" s="273">
        <v>20094</v>
      </c>
      <c r="X101" s="922"/>
      <c r="Y101" s="923"/>
      <c r="Z101" s="923">
        <v>20094</v>
      </c>
    </row>
    <row r="102" spans="1:26" outlineLevel="3" x14ac:dyDescent="0.25">
      <c r="A102" s="340"/>
      <c r="B102" s="341" t="s">
        <v>350</v>
      </c>
      <c r="C102" s="407"/>
      <c r="D102" s="273"/>
      <c r="E102" s="273">
        <v>3776</v>
      </c>
      <c r="F102" s="407"/>
      <c r="G102" s="273"/>
      <c r="H102" s="273">
        <v>3776</v>
      </c>
      <c r="I102" s="407"/>
      <c r="J102" s="273"/>
      <c r="K102" s="273">
        <v>3776</v>
      </c>
      <c r="L102" s="407"/>
      <c r="M102" s="273"/>
      <c r="N102" s="273">
        <v>3207</v>
      </c>
      <c r="O102" s="922"/>
      <c r="P102" s="923"/>
      <c r="Q102" s="923">
        <v>3818</v>
      </c>
      <c r="R102" s="407"/>
      <c r="S102" s="273"/>
      <c r="T102" s="273">
        <v>3818</v>
      </c>
      <c r="U102" s="407"/>
      <c r="V102" s="273"/>
      <c r="W102" s="273">
        <v>3818</v>
      </c>
      <c r="X102" s="922"/>
      <c r="Y102" s="923"/>
      <c r="Z102" s="923">
        <v>3818</v>
      </c>
    </row>
    <row r="103" spans="1:26" outlineLevel="3" x14ac:dyDescent="0.25">
      <c r="A103" s="340"/>
      <c r="B103" s="341" t="s">
        <v>292</v>
      </c>
      <c r="C103" s="407"/>
      <c r="D103" s="273"/>
      <c r="E103" s="273">
        <v>4459</v>
      </c>
      <c r="F103" s="407"/>
      <c r="G103" s="273"/>
      <c r="H103" s="273">
        <v>3793</v>
      </c>
      <c r="I103" s="407"/>
      <c r="J103" s="273"/>
      <c r="K103" s="273">
        <v>3793</v>
      </c>
      <c r="L103" s="407"/>
      <c r="M103" s="273"/>
      <c r="N103" s="273">
        <v>3189</v>
      </c>
      <c r="O103" s="922"/>
      <c r="P103" s="923"/>
      <c r="Q103" s="923">
        <v>4689</v>
      </c>
      <c r="R103" s="407"/>
      <c r="S103" s="273"/>
      <c r="T103" s="273">
        <v>4689</v>
      </c>
      <c r="U103" s="407"/>
      <c r="V103" s="273"/>
      <c r="W103" s="273">
        <v>4689</v>
      </c>
      <c r="X103" s="922"/>
      <c r="Y103" s="923"/>
      <c r="Z103" s="923">
        <v>4689</v>
      </c>
    </row>
    <row r="104" spans="1:26" outlineLevel="3" x14ac:dyDescent="0.25">
      <c r="A104" s="340"/>
      <c r="B104" s="341" t="s">
        <v>351</v>
      </c>
      <c r="C104" s="407"/>
      <c r="D104" s="273"/>
      <c r="E104" s="273">
        <v>635</v>
      </c>
      <c r="F104" s="407"/>
      <c r="G104" s="273"/>
      <c r="H104" s="273">
        <v>335</v>
      </c>
      <c r="I104" s="407"/>
      <c r="J104" s="273"/>
      <c r="K104" s="273">
        <v>335</v>
      </c>
      <c r="L104" s="407"/>
      <c r="M104" s="273"/>
      <c r="N104" s="273">
        <v>0</v>
      </c>
      <c r="O104" s="922"/>
      <c r="P104" s="923"/>
      <c r="Q104" s="923">
        <v>0</v>
      </c>
      <c r="R104" s="407"/>
      <c r="S104" s="273"/>
      <c r="T104" s="273">
        <v>0</v>
      </c>
      <c r="U104" s="407"/>
      <c r="V104" s="273"/>
      <c r="W104" s="273">
        <v>0</v>
      </c>
      <c r="X104" s="922"/>
      <c r="Y104" s="923"/>
      <c r="Z104" s="923">
        <v>0</v>
      </c>
    </row>
    <row r="105" spans="1:26" outlineLevel="2" x14ac:dyDescent="0.25">
      <c r="A105" s="337" t="s">
        <v>315</v>
      </c>
      <c r="B105" s="338" t="s">
        <v>365</v>
      </c>
      <c r="C105" s="406">
        <v>0</v>
      </c>
      <c r="D105" s="339">
        <v>0</v>
      </c>
      <c r="E105" s="339">
        <v>15024</v>
      </c>
      <c r="F105" s="406">
        <v>0</v>
      </c>
      <c r="G105" s="339">
        <v>0</v>
      </c>
      <c r="H105" s="339">
        <v>15258</v>
      </c>
      <c r="I105" s="406">
        <v>0</v>
      </c>
      <c r="J105" s="339">
        <v>0</v>
      </c>
      <c r="K105" s="339">
        <v>15258</v>
      </c>
      <c r="L105" s="406">
        <v>0</v>
      </c>
      <c r="M105" s="339">
        <v>0</v>
      </c>
      <c r="N105" s="339">
        <v>18074</v>
      </c>
      <c r="O105" s="920">
        <v>0</v>
      </c>
      <c r="P105" s="921">
        <v>0</v>
      </c>
      <c r="Q105" s="921">
        <f>SUM(Q108)</f>
        <v>17289.68</v>
      </c>
      <c r="R105" s="406">
        <v>0</v>
      </c>
      <c r="S105" s="339">
        <v>0</v>
      </c>
      <c r="T105" s="339">
        <f>SUM(T108)</f>
        <v>17289.68</v>
      </c>
      <c r="U105" s="406">
        <v>0</v>
      </c>
      <c r="V105" s="339">
        <v>0</v>
      </c>
      <c r="W105" s="339">
        <f>SUM(W108)</f>
        <v>17289.68</v>
      </c>
      <c r="X105" s="920">
        <v>0</v>
      </c>
      <c r="Y105" s="921">
        <v>0</v>
      </c>
      <c r="Z105" s="921">
        <f>SUM(Z108)</f>
        <v>17289.68</v>
      </c>
    </row>
    <row r="106" spans="1:26" outlineLevel="3" x14ac:dyDescent="0.25">
      <c r="A106" s="340"/>
      <c r="B106" s="341" t="s">
        <v>286</v>
      </c>
      <c r="C106" s="407"/>
      <c r="D106" s="273"/>
      <c r="E106" s="273">
        <v>0</v>
      </c>
      <c r="F106" s="407"/>
      <c r="G106" s="273"/>
      <c r="H106" s="273">
        <v>0</v>
      </c>
      <c r="I106" s="407"/>
      <c r="J106" s="273"/>
      <c r="K106" s="273">
        <v>0</v>
      </c>
      <c r="L106" s="407"/>
      <c r="M106" s="273"/>
      <c r="N106" s="273"/>
      <c r="O106" s="922"/>
      <c r="P106" s="923"/>
      <c r="Q106" s="923"/>
      <c r="R106" s="407"/>
      <c r="S106" s="273"/>
      <c r="T106" s="273"/>
      <c r="U106" s="407"/>
      <c r="V106" s="273"/>
      <c r="W106" s="273"/>
      <c r="X106" s="922"/>
      <c r="Y106" s="923"/>
      <c r="Z106" s="923"/>
    </row>
    <row r="107" spans="1:26" outlineLevel="3" x14ac:dyDescent="0.25">
      <c r="A107" s="340"/>
      <c r="B107" s="341" t="s">
        <v>350</v>
      </c>
      <c r="C107" s="407"/>
      <c r="D107" s="273"/>
      <c r="E107" s="273">
        <v>0</v>
      </c>
      <c r="F107" s="407"/>
      <c r="G107" s="273"/>
      <c r="H107" s="273">
        <v>0</v>
      </c>
      <c r="I107" s="407"/>
      <c r="J107" s="273"/>
      <c r="K107" s="273">
        <v>0</v>
      </c>
      <c r="L107" s="407"/>
      <c r="M107" s="273"/>
      <c r="N107" s="273"/>
      <c r="O107" s="922"/>
      <c r="P107" s="923"/>
      <c r="Q107" s="923"/>
      <c r="R107" s="407"/>
      <c r="S107" s="273"/>
      <c r="T107" s="273"/>
      <c r="U107" s="407"/>
      <c r="V107" s="273"/>
      <c r="W107" s="273"/>
      <c r="X107" s="922"/>
      <c r="Y107" s="923"/>
      <c r="Z107" s="923"/>
    </row>
    <row r="108" spans="1:26" outlineLevel="3" x14ac:dyDescent="0.25">
      <c r="A108" s="340"/>
      <c r="B108" s="341" t="s">
        <v>292</v>
      </c>
      <c r="C108" s="407"/>
      <c r="D108" s="273"/>
      <c r="E108" s="273">
        <v>15024</v>
      </c>
      <c r="F108" s="407"/>
      <c r="G108" s="273"/>
      <c r="H108" s="273">
        <v>15258</v>
      </c>
      <c r="I108" s="407"/>
      <c r="J108" s="273"/>
      <c r="K108" s="273">
        <v>15258</v>
      </c>
      <c r="L108" s="407"/>
      <c r="M108" s="273"/>
      <c r="N108" s="273">
        <v>18074</v>
      </c>
      <c r="O108" s="922"/>
      <c r="P108" s="923"/>
      <c r="Q108" s="923">
        <v>17289.68</v>
      </c>
      <c r="R108" s="407"/>
      <c r="S108" s="273"/>
      <c r="T108" s="273">
        <v>17289.68</v>
      </c>
      <c r="U108" s="407"/>
      <c r="V108" s="273"/>
      <c r="W108" s="273">
        <v>17289.68</v>
      </c>
      <c r="X108" s="922"/>
      <c r="Y108" s="923"/>
      <c r="Z108" s="923">
        <v>17289.68</v>
      </c>
    </row>
    <row r="109" spans="1:26" outlineLevel="3" x14ac:dyDescent="0.25">
      <c r="A109" s="340"/>
      <c r="B109" s="341" t="s">
        <v>351</v>
      </c>
      <c r="C109" s="407"/>
      <c r="D109" s="273"/>
      <c r="E109" s="273">
        <v>0</v>
      </c>
      <c r="F109" s="407"/>
      <c r="G109" s="273"/>
      <c r="H109" s="273">
        <v>0</v>
      </c>
      <c r="I109" s="407"/>
      <c r="J109" s="273"/>
      <c r="K109" s="273">
        <v>0</v>
      </c>
      <c r="L109" s="407"/>
      <c r="M109" s="273"/>
      <c r="N109" s="273"/>
      <c r="O109" s="922"/>
      <c r="P109" s="923"/>
      <c r="Q109" s="923"/>
      <c r="R109" s="407"/>
      <c r="S109" s="273"/>
      <c r="T109" s="273"/>
      <c r="U109" s="407"/>
      <c r="V109" s="273"/>
      <c r="W109" s="273"/>
      <c r="X109" s="922"/>
      <c r="Y109" s="923"/>
      <c r="Z109" s="923"/>
    </row>
    <row r="110" spans="1:26" outlineLevel="1" x14ac:dyDescent="0.25">
      <c r="A110" s="337" t="s">
        <v>318</v>
      </c>
      <c r="B110" s="338" t="s">
        <v>353</v>
      </c>
      <c r="C110" s="406">
        <v>0</v>
      </c>
      <c r="D110" s="339">
        <v>0</v>
      </c>
      <c r="E110" s="339">
        <v>0</v>
      </c>
      <c r="F110" s="406">
        <v>0</v>
      </c>
      <c r="G110" s="339">
        <v>0</v>
      </c>
      <c r="H110" s="339">
        <v>2212</v>
      </c>
      <c r="I110" s="406">
        <v>0</v>
      </c>
      <c r="J110" s="339">
        <v>0</v>
      </c>
      <c r="K110" s="339">
        <v>2212</v>
      </c>
      <c r="L110" s="406">
        <v>0</v>
      </c>
      <c r="M110" s="339">
        <v>0</v>
      </c>
      <c r="N110" s="339">
        <v>0</v>
      </c>
      <c r="O110" s="920">
        <v>0</v>
      </c>
      <c r="P110" s="921">
        <v>0</v>
      </c>
      <c r="Q110" s="921">
        <v>0</v>
      </c>
      <c r="R110" s="406">
        <v>0</v>
      </c>
      <c r="S110" s="339">
        <v>0</v>
      </c>
      <c r="T110" s="339">
        <v>0</v>
      </c>
      <c r="U110" s="406">
        <v>0</v>
      </c>
      <c r="V110" s="339">
        <v>0</v>
      </c>
      <c r="W110" s="339">
        <v>0</v>
      </c>
      <c r="X110" s="920">
        <v>0</v>
      </c>
      <c r="Y110" s="921">
        <v>0</v>
      </c>
      <c r="Z110" s="921">
        <v>0</v>
      </c>
    </row>
    <row r="111" spans="1:26" s="47" customFormat="1" collapsed="1" x14ac:dyDescent="0.25">
      <c r="A111" s="337" t="s">
        <v>311</v>
      </c>
      <c r="B111" s="338" t="s">
        <v>1501</v>
      </c>
      <c r="C111" s="406"/>
      <c r="D111" s="339"/>
      <c r="E111" s="339"/>
      <c r="F111" s="406"/>
      <c r="G111" s="339"/>
      <c r="H111" s="339">
        <v>2212</v>
      </c>
      <c r="I111" s="406"/>
      <c r="J111" s="339"/>
      <c r="K111" s="339">
        <v>2212</v>
      </c>
      <c r="L111" s="406"/>
      <c r="M111" s="339"/>
      <c r="N111" s="339">
        <v>0</v>
      </c>
      <c r="O111" s="920"/>
      <c r="P111" s="921"/>
      <c r="Q111" s="921">
        <v>0</v>
      </c>
      <c r="R111" s="406"/>
      <c r="S111" s="339"/>
      <c r="T111" s="339">
        <v>0</v>
      </c>
      <c r="U111" s="406"/>
      <c r="V111" s="339"/>
      <c r="W111" s="339">
        <v>0</v>
      </c>
      <c r="X111" s="920"/>
      <c r="Y111" s="921"/>
      <c r="Z111" s="921">
        <v>0</v>
      </c>
    </row>
    <row r="112" spans="1:26" s="160" customFormat="1" hidden="1" outlineLevel="1" x14ac:dyDescent="0.25">
      <c r="A112" s="729"/>
      <c r="B112" s="370" t="s">
        <v>286</v>
      </c>
      <c r="C112" s="730"/>
      <c r="D112" s="345"/>
      <c r="E112" s="345"/>
      <c r="F112" s="730"/>
      <c r="G112" s="345"/>
      <c r="H112" s="345">
        <v>128</v>
      </c>
      <c r="I112" s="730"/>
      <c r="J112" s="345"/>
      <c r="K112" s="345">
        <v>128</v>
      </c>
      <c r="L112" s="730"/>
      <c r="M112" s="345"/>
      <c r="N112" s="339">
        <v>0</v>
      </c>
      <c r="O112" s="730"/>
      <c r="P112" s="345"/>
      <c r="Q112" s="345">
        <v>0</v>
      </c>
      <c r="R112" s="730"/>
      <c r="S112" s="345"/>
      <c r="T112" s="345">
        <v>0</v>
      </c>
      <c r="U112" s="730"/>
      <c r="V112" s="345"/>
      <c r="W112" s="345">
        <v>0</v>
      </c>
      <c r="X112" s="730"/>
      <c r="Y112" s="345"/>
      <c r="Z112" s="345">
        <v>0</v>
      </c>
    </row>
    <row r="113" spans="1:26" s="160" customFormat="1" hidden="1" outlineLevel="1" x14ac:dyDescent="0.25">
      <c r="A113" s="729"/>
      <c r="B113" s="370" t="s">
        <v>350</v>
      </c>
      <c r="C113" s="730"/>
      <c r="D113" s="345"/>
      <c r="E113" s="345"/>
      <c r="F113" s="730"/>
      <c r="G113" s="345"/>
      <c r="H113" s="345">
        <v>49</v>
      </c>
      <c r="I113" s="730"/>
      <c r="J113" s="345"/>
      <c r="K113" s="345">
        <v>49</v>
      </c>
      <c r="L113" s="730"/>
      <c r="M113" s="345"/>
      <c r="N113" s="345">
        <v>0</v>
      </c>
      <c r="O113" s="730"/>
      <c r="P113" s="345"/>
      <c r="Q113" s="345">
        <v>0</v>
      </c>
      <c r="R113" s="730"/>
      <c r="S113" s="345"/>
      <c r="T113" s="345">
        <v>0</v>
      </c>
      <c r="U113" s="730"/>
      <c r="V113" s="345"/>
      <c r="W113" s="345">
        <v>0</v>
      </c>
      <c r="X113" s="730"/>
      <c r="Y113" s="345"/>
      <c r="Z113" s="345">
        <v>0</v>
      </c>
    </row>
    <row r="114" spans="1:26" s="160" customFormat="1" hidden="1" outlineLevel="1" x14ac:dyDescent="0.25">
      <c r="A114" s="729"/>
      <c r="B114" s="370" t="s">
        <v>292</v>
      </c>
      <c r="C114" s="730"/>
      <c r="D114" s="345"/>
      <c r="E114" s="345"/>
      <c r="F114" s="730"/>
      <c r="G114" s="345"/>
      <c r="H114" s="345">
        <v>1960</v>
      </c>
      <c r="I114" s="730"/>
      <c r="J114" s="345"/>
      <c r="K114" s="345">
        <v>1960</v>
      </c>
      <c r="L114" s="730"/>
      <c r="M114" s="345"/>
      <c r="N114" s="345">
        <v>0</v>
      </c>
      <c r="O114" s="730"/>
      <c r="P114" s="345"/>
      <c r="Q114" s="345">
        <v>0</v>
      </c>
      <c r="R114" s="730"/>
      <c r="S114" s="345"/>
      <c r="T114" s="345">
        <v>0</v>
      </c>
      <c r="U114" s="730"/>
      <c r="V114" s="345"/>
      <c r="W114" s="345">
        <v>0</v>
      </c>
      <c r="X114" s="730"/>
      <c r="Y114" s="345"/>
      <c r="Z114" s="345">
        <v>0</v>
      </c>
    </row>
    <row r="115" spans="1:26" s="160" customFormat="1" hidden="1" outlineLevel="1" x14ac:dyDescent="0.25">
      <c r="A115" s="729"/>
      <c r="B115" s="370" t="s">
        <v>351</v>
      </c>
      <c r="C115" s="730"/>
      <c r="D115" s="345"/>
      <c r="E115" s="345"/>
      <c r="F115" s="730"/>
      <c r="G115" s="345"/>
      <c r="H115" s="345">
        <v>75</v>
      </c>
      <c r="I115" s="730"/>
      <c r="J115" s="345"/>
      <c r="K115" s="345">
        <v>75</v>
      </c>
      <c r="L115" s="730"/>
      <c r="M115" s="345"/>
      <c r="N115" s="345"/>
      <c r="O115" s="730"/>
      <c r="P115" s="345"/>
      <c r="Q115" s="345"/>
      <c r="R115" s="730"/>
      <c r="S115" s="345"/>
      <c r="T115" s="345"/>
      <c r="U115" s="730"/>
      <c r="V115" s="345"/>
      <c r="W115" s="345"/>
      <c r="X115" s="730"/>
      <c r="Y115" s="345"/>
      <c r="Z115" s="345"/>
    </row>
    <row r="116" spans="1:26" x14ac:dyDescent="0.25">
      <c r="A116" s="364" t="s">
        <v>1455</v>
      </c>
      <c r="B116" s="365" t="s">
        <v>1301</v>
      </c>
      <c r="C116" s="404">
        <v>24</v>
      </c>
      <c r="D116" s="366">
        <v>0</v>
      </c>
      <c r="E116" s="366">
        <v>124624</v>
      </c>
      <c r="F116" s="404">
        <v>24</v>
      </c>
      <c r="G116" s="366">
        <v>0</v>
      </c>
      <c r="H116" s="366">
        <v>125924</v>
      </c>
      <c r="I116" s="404">
        <v>24</v>
      </c>
      <c r="J116" s="366">
        <v>0</v>
      </c>
      <c r="K116" s="366">
        <v>125924</v>
      </c>
      <c r="L116" s="404">
        <v>24</v>
      </c>
      <c r="M116" s="366">
        <v>0</v>
      </c>
      <c r="N116" s="366">
        <v>121547</v>
      </c>
      <c r="O116" s="404">
        <v>24</v>
      </c>
      <c r="P116" s="366">
        <v>0</v>
      </c>
      <c r="Q116" s="366">
        <f>+Q117+Q129</f>
        <v>134852</v>
      </c>
      <c r="R116" s="404">
        <v>24</v>
      </c>
      <c r="S116" s="366">
        <v>0</v>
      </c>
      <c r="T116" s="366">
        <f>+T117+T129</f>
        <v>136284</v>
      </c>
      <c r="U116" s="404">
        <v>24</v>
      </c>
      <c r="V116" s="366">
        <v>0</v>
      </c>
      <c r="W116" s="366">
        <f>+W117+W129</f>
        <v>136284</v>
      </c>
      <c r="X116" s="404">
        <v>24</v>
      </c>
      <c r="Y116" s="366">
        <v>0</v>
      </c>
      <c r="Z116" s="366">
        <f>+Z117+Z129</f>
        <v>136284</v>
      </c>
    </row>
    <row r="117" spans="1:26" outlineLevel="1" x14ac:dyDescent="0.25">
      <c r="A117" s="337" t="s">
        <v>309</v>
      </c>
      <c r="B117" s="338" t="s">
        <v>348</v>
      </c>
      <c r="C117" s="406">
        <v>24</v>
      </c>
      <c r="D117" s="339">
        <v>0</v>
      </c>
      <c r="E117" s="339">
        <v>124624</v>
      </c>
      <c r="F117" s="406">
        <v>24</v>
      </c>
      <c r="G117" s="339">
        <v>0</v>
      </c>
      <c r="H117" s="339">
        <v>125924</v>
      </c>
      <c r="I117" s="406">
        <v>24</v>
      </c>
      <c r="J117" s="339">
        <v>0</v>
      </c>
      <c r="K117" s="339">
        <v>125924</v>
      </c>
      <c r="L117" s="406">
        <v>24</v>
      </c>
      <c r="M117" s="339">
        <v>0</v>
      </c>
      <c r="N117" s="339">
        <v>121547</v>
      </c>
      <c r="O117" s="920">
        <v>24</v>
      </c>
      <c r="P117" s="921">
        <v>0</v>
      </c>
      <c r="Q117" s="921">
        <f>+Q118+Q124</f>
        <v>134852</v>
      </c>
      <c r="R117" s="406">
        <v>24</v>
      </c>
      <c r="S117" s="339">
        <v>0</v>
      </c>
      <c r="T117" s="339">
        <f>+T118+T124</f>
        <v>136284</v>
      </c>
      <c r="U117" s="406">
        <v>24</v>
      </c>
      <c r="V117" s="339">
        <v>0</v>
      </c>
      <c r="W117" s="339">
        <f>+W118+W124</f>
        <v>136284</v>
      </c>
      <c r="X117" s="920">
        <v>24</v>
      </c>
      <c r="Y117" s="921">
        <v>0</v>
      </c>
      <c r="Z117" s="921">
        <f>+Z118+Z124</f>
        <v>136284</v>
      </c>
    </row>
    <row r="118" spans="1:26" outlineLevel="2" x14ac:dyDescent="0.25">
      <c r="A118" s="337" t="s">
        <v>311</v>
      </c>
      <c r="B118" s="338" t="s">
        <v>366</v>
      </c>
      <c r="C118" s="406">
        <v>24</v>
      </c>
      <c r="D118" s="339">
        <v>0</v>
      </c>
      <c r="E118" s="339">
        <v>116396</v>
      </c>
      <c r="F118" s="406">
        <v>24</v>
      </c>
      <c r="G118" s="339">
        <v>0</v>
      </c>
      <c r="H118" s="339">
        <v>117696</v>
      </c>
      <c r="I118" s="406">
        <v>24</v>
      </c>
      <c r="J118" s="339">
        <v>0</v>
      </c>
      <c r="K118" s="339">
        <v>117696</v>
      </c>
      <c r="L118" s="406">
        <v>24</v>
      </c>
      <c r="M118" s="339">
        <v>0</v>
      </c>
      <c r="N118" s="339">
        <v>113978</v>
      </c>
      <c r="O118" s="920">
        <v>24</v>
      </c>
      <c r="P118" s="921">
        <v>0</v>
      </c>
      <c r="Q118" s="921">
        <f>SUM(Q119:Q123)</f>
        <v>126365</v>
      </c>
      <c r="R118" s="406">
        <v>24</v>
      </c>
      <c r="S118" s="339">
        <v>0</v>
      </c>
      <c r="T118" s="339">
        <f>SUM(T119:T123)</f>
        <v>127797</v>
      </c>
      <c r="U118" s="406">
        <v>24</v>
      </c>
      <c r="V118" s="339">
        <v>0</v>
      </c>
      <c r="W118" s="339">
        <f>SUM(W119:W123)</f>
        <v>127797</v>
      </c>
      <c r="X118" s="920">
        <v>24</v>
      </c>
      <c r="Y118" s="921">
        <v>0</v>
      </c>
      <c r="Z118" s="921">
        <f>SUM(Z119:Z123)</f>
        <v>127797</v>
      </c>
    </row>
    <row r="119" spans="1:26" outlineLevel="3" x14ac:dyDescent="0.25">
      <c r="A119" s="340"/>
      <c r="B119" s="341" t="s">
        <v>286</v>
      </c>
      <c r="C119" s="407"/>
      <c r="D119" s="273"/>
      <c r="E119" s="273">
        <v>81237</v>
      </c>
      <c r="F119" s="407"/>
      <c r="G119" s="273"/>
      <c r="H119" s="273">
        <v>81237</v>
      </c>
      <c r="I119" s="407"/>
      <c r="J119" s="273"/>
      <c r="K119" s="273">
        <v>81237</v>
      </c>
      <c r="L119" s="407"/>
      <c r="M119" s="273"/>
      <c r="N119" s="273">
        <v>80375</v>
      </c>
      <c r="O119" s="922"/>
      <c r="P119" s="923"/>
      <c r="Q119" s="923">
        <v>89678</v>
      </c>
      <c r="R119" s="407"/>
      <c r="S119" s="273"/>
      <c r="T119" s="273">
        <v>89678</v>
      </c>
      <c r="U119" s="407"/>
      <c r="V119" s="273"/>
      <c r="W119" s="273">
        <v>89678</v>
      </c>
      <c r="X119" s="922"/>
      <c r="Y119" s="923"/>
      <c r="Z119" s="923">
        <f>89678+637-226+195-1</f>
        <v>90283</v>
      </c>
    </row>
    <row r="120" spans="1:26" outlineLevel="3" x14ac:dyDescent="0.25">
      <c r="A120" s="337"/>
      <c r="B120" s="341" t="s">
        <v>350</v>
      </c>
      <c r="C120" s="407"/>
      <c r="D120" s="345"/>
      <c r="E120" s="345">
        <v>15948</v>
      </c>
      <c r="F120" s="407"/>
      <c r="G120" s="345"/>
      <c r="H120" s="345">
        <v>15948</v>
      </c>
      <c r="I120" s="407"/>
      <c r="J120" s="345"/>
      <c r="K120" s="345">
        <v>15948</v>
      </c>
      <c r="L120" s="407"/>
      <c r="M120" s="345"/>
      <c r="N120" s="345">
        <v>16146</v>
      </c>
      <c r="O120" s="922"/>
      <c r="P120" s="924"/>
      <c r="Q120" s="924">
        <v>17039</v>
      </c>
      <c r="R120" s="407"/>
      <c r="S120" s="345"/>
      <c r="T120" s="345">
        <v>17039</v>
      </c>
      <c r="U120" s="407"/>
      <c r="V120" s="345"/>
      <c r="W120" s="345">
        <v>17039</v>
      </c>
      <c r="X120" s="922"/>
      <c r="Y120" s="924"/>
      <c r="Z120" s="924">
        <f>17039+226</f>
        <v>17265</v>
      </c>
    </row>
    <row r="121" spans="1:26" outlineLevel="3" x14ac:dyDescent="0.25">
      <c r="A121" s="340"/>
      <c r="B121" s="341" t="s">
        <v>292</v>
      </c>
      <c r="C121" s="407"/>
      <c r="D121" s="273"/>
      <c r="E121" s="273">
        <v>17599</v>
      </c>
      <c r="F121" s="407"/>
      <c r="G121" s="273"/>
      <c r="H121" s="273">
        <v>17506</v>
      </c>
      <c r="I121" s="407"/>
      <c r="J121" s="273"/>
      <c r="K121" s="273">
        <v>17506</v>
      </c>
      <c r="L121" s="407"/>
      <c r="M121" s="273"/>
      <c r="N121" s="273">
        <v>13622</v>
      </c>
      <c r="O121" s="922"/>
      <c r="P121" s="923"/>
      <c r="Q121" s="923">
        <v>16663</v>
      </c>
      <c r="R121" s="407"/>
      <c r="S121" s="273"/>
      <c r="T121" s="273">
        <f>16663+1432</f>
        <v>18095</v>
      </c>
      <c r="U121" s="407"/>
      <c r="V121" s="273"/>
      <c r="W121" s="273">
        <f>16663+1432</f>
        <v>18095</v>
      </c>
      <c r="X121" s="922"/>
      <c r="Y121" s="923"/>
      <c r="Z121" s="923">
        <f>16663+1432-637-195+1</f>
        <v>17264</v>
      </c>
    </row>
    <row r="122" spans="1:26" outlineLevel="3" x14ac:dyDescent="0.25">
      <c r="A122" s="340"/>
      <c r="B122" s="341" t="s">
        <v>339</v>
      </c>
      <c r="C122" s="407"/>
      <c r="D122" s="273"/>
      <c r="E122" s="273">
        <v>0</v>
      </c>
      <c r="F122" s="407"/>
      <c r="G122" s="273"/>
      <c r="H122" s="273">
        <v>1225</v>
      </c>
      <c r="I122" s="407"/>
      <c r="J122" s="273"/>
      <c r="K122" s="273">
        <v>1225</v>
      </c>
      <c r="L122" s="407"/>
      <c r="M122" s="273"/>
      <c r="N122" s="273">
        <v>1225</v>
      </c>
      <c r="O122" s="922"/>
      <c r="P122" s="923"/>
      <c r="Q122" s="923">
        <v>0</v>
      </c>
      <c r="R122" s="407"/>
      <c r="S122" s="273"/>
      <c r="T122" s="273">
        <v>0</v>
      </c>
      <c r="U122" s="407"/>
      <c r="V122" s="273"/>
      <c r="W122" s="273">
        <v>0</v>
      </c>
      <c r="X122" s="922"/>
      <c r="Y122" s="923"/>
      <c r="Z122" s="923">
        <v>0</v>
      </c>
    </row>
    <row r="123" spans="1:26" outlineLevel="3" x14ac:dyDescent="0.25">
      <c r="A123" s="340"/>
      <c r="B123" s="341" t="s">
        <v>351</v>
      </c>
      <c r="C123" s="407"/>
      <c r="D123" s="273"/>
      <c r="E123" s="273">
        <v>1612</v>
      </c>
      <c r="F123" s="407"/>
      <c r="G123" s="273"/>
      <c r="H123" s="273">
        <v>1780</v>
      </c>
      <c r="I123" s="407"/>
      <c r="J123" s="273"/>
      <c r="K123" s="273">
        <v>1780</v>
      </c>
      <c r="L123" s="407"/>
      <c r="M123" s="273"/>
      <c r="N123" s="273">
        <v>2610</v>
      </c>
      <c r="O123" s="922"/>
      <c r="P123" s="923"/>
      <c r="Q123" s="923">
        <v>2985</v>
      </c>
      <c r="R123" s="407"/>
      <c r="S123" s="273"/>
      <c r="T123" s="273">
        <v>2985</v>
      </c>
      <c r="U123" s="407"/>
      <c r="V123" s="273"/>
      <c r="W123" s="273">
        <v>2985</v>
      </c>
      <c r="X123" s="922"/>
      <c r="Y123" s="923"/>
      <c r="Z123" s="923">
        <v>2985</v>
      </c>
    </row>
    <row r="124" spans="1:26" outlineLevel="2" x14ac:dyDescent="0.25">
      <c r="A124" s="337" t="s">
        <v>322</v>
      </c>
      <c r="B124" s="338" t="s">
        <v>367</v>
      </c>
      <c r="C124" s="406">
        <v>0</v>
      </c>
      <c r="D124" s="339">
        <v>0</v>
      </c>
      <c r="E124" s="339">
        <v>8228</v>
      </c>
      <c r="F124" s="406">
        <v>0</v>
      </c>
      <c r="G124" s="339">
        <v>0</v>
      </c>
      <c r="H124" s="339">
        <v>8228</v>
      </c>
      <c r="I124" s="406">
        <v>0</v>
      </c>
      <c r="J124" s="339">
        <v>0</v>
      </c>
      <c r="K124" s="339">
        <v>8228</v>
      </c>
      <c r="L124" s="406">
        <v>0</v>
      </c>
      <c r="M124" s="339">
        <v>0</v>
      </c>
      <c r="N124" s="339">
        <v>7569</v>
      </c>
      <c r="O124" s="920">
        <v>0</v>
      </c>
      <c r="P124" s="921">
        <v>0</v>
      </c>
      <c r="Q124" s="921">
        <f>+Q127</f>
        <v>8487</v>
      </c>
      <c r="R124" s="406">
        <v>0</v>
      </c>
      <c r="S124" s="339">
        <v>0</v>
      </c>
      <c r="T124" s="339">
        <f>+T127</f>
        <v>8487</v>
      </c>
      <c r="U124" s="406">
        <v>0</v>
      </c>
      <c r="V124" s="339">
        <v>0</v>
      </c>
      <c r="W124" s="339">
        <f>+W127</f>
        <v>8487</v>
      </c>
      <c r="X124" s="920">
        <v>0</v>
      </c>
      <c r="Y124" s="921">
        <v>0</v>
      </c>
      <c r="Z124" s="921">
        <f>+Z127</f>
        <v>8487</v>
      </c>
    </row>
    <row r="125" spans="1:26" outlineLevel="3" x14ac:dyDescent="0.25">
      <c r="A125" s="340"/>
      <c r="B125" s="341" t="s">
        <v>286</v>
      </c>
      <c r="C125" s="407"/>
      <c r="D125" s="273"/>
      <c r="E125" s="273">
        <v>0</v>
      </c>
      <c r="F125" s="407"/>
      <c r="G125" s="273"/>
      <c r="H125" s="273">
        <v>0</v>
      </c>
      <c r="I125" s="407"/>
      <c r="J125" s="273"/>
      <c r="K125" s="273">
        <v>0</v>
      </c>
      <c r="L125" s="407"/>
      <c r="M125" s="273"/>
      <c r="N125" s="273">
        <v>0</v>
      </c>
      <c r="O125" s="922"/>
      <c r="P125" s="923"/>
      <c r="Q125" s="923">
        <v>0</v>
      </c>
      <c r="R125" s="407"/>
      <c r="S125" s="273"/>
      <c r="T125" s="273">
        <v>0</v>
      </c>
      <c r="U125" s="407"/>
      <c r="V125" s="273"/>
      <c r="W125" s="273">
        <v>0</v>
      </c>
      <c r="X125" s="922"/>
      <c r="Y125" s="923"/>
      <c r="Z125" s="923">
        <v>0</v>
      </c>
    </row>
    <row r="126" spans="1:26" outlineLevel="3" x14ac:dyDescent="0.25">
      <c r="A126" s="367"/>
      <c r="B126" s="341" t="s">
        <v>350</v>
      </c>
      <c r="C126" s="409"/>
      <c r="D126" s="371"/>
      <c r="E126" s="371">
        <v>0</v>
      </c>
      <c r="F126" s="409"/>
      <c r="G126" s="371"/>
      <c r="H126" s="371">
        <v>0</v>
      </c>
      <c r="I126" s="409"/>
      <c r="J126" s="371"/>
      <c r="K126" s="371">
        <v>0</v>
      </c>
      <c r="L126" s="409"/>
      <c r="M126" s="371"/>
      <c r="N126" s="371">
        <v>0</v>
      </c>
      <c r="O126" s="926"/>
      <c r="P126" s="930"/>
      <c r="Q126" s="930">
        <v>0</v>
      </c>
      <c r="R126" s="409"/>
      <c r="S126" s="371"/>
      <c r="T126" s="371">
        <v>0</v>
      </c>
      <c r="U126" s="409"/>
      <c r="V126" s="371"/>
      <c r="W126" s="371">
        <v>0</v>
      </c>
      <c r="X126" s="926"/>
      <c r="Y126" s="930"/>
      <c r="Z126" s="930">
        <v>0</v>
      </c>
    </row>
    <row r="127" spans="1:26" s="47" customFormat="1" outlineLevel="3" x14ac:dyDescent="0.25">
      <c r="A127" s="337"/>
      <c r="B127" s="341" t="s">
        <v>292</v>
      </c>
      <c r="C127" s="407"/>
      <c r="D127" s="345"/>
      <c r="E127" s="345">
        <v>8228</v>
      </c>
      <c r="F127" s="407"/>
      <c r="G127" s="345"/>
      <c r="H127" s="345">
        <v>8228</v>
      </c>
      <c r="I127" s="407"/>
      <c r="J127" s="345"/>
      <c r="K127" s="345">
        <v>8228</v>
      </c>
      <c r="L127" s="407"/>
      <c r="M127" s="345"/>
      <c r="N127" s="345">
        <v>7569</v>
      </c>
      <c r="O127" s="922"/>
      <c r="P127" s="924"/>
      <c r="Q127" s="924">
        <v>8487</v>
      </c>
      <c r="R127" s="407"/>
      <c r="S127" s="345"/>
      <c r="T127" s="345">
        <v>8487</v>
      </c>
      <c r="U127" s="407"/>
      <c r="V127" s="345"/>
      <c r="W127" s="345">
        <v>8487</v>
      </c>
      <c r="X127" s="922"/>
      <c r="Y127" s="924"/>
      <c r="Z127" s="924">
        <v>8487</v>
      </c>
    </row>
    <row r="128" spans="1:26" outlineLevel="3" x14ac:dyDescent="0.25">
      <c r="A128" s="340"/>
      <c r="B128" s="341" t="s">
        <v>351</v>
      </c>
      <c r="C128" s="407"/>
      <c r="D128" s="273"/>
      <c r="E128" s="273">
        <v>0</v>
      </c>
      <c r="F128" s="407"/>
      <c r="G128" s="273"/>
      <c r="H128" s="273">
        <v>0</v>
      </c>
      <c r="I128" s="407"/>
      <c r="J128" s="273"/>
      <c r="K128" s="273">
        <v>0</v>
      </c>
      <c r="L128" s="407"/>
      <c r="M128" s="273"/>
      <c r="N128" s="273">
        <v>0</v>
      </c>
      <c r="O128" s="922"/>
      <c r="P128" s="923"/>
      <c r="Q128" s="923">
        <v>0</v>
      </c>
      <c r="R128" s="407"/>
      <c r="S128" s="273"/>
      <c r="T128" s="273">
        <v>0</v>
      </c>
      <c r="U128" s="407"/>
      <c r="V128" s="273"/>
      <c r="W128" s="273">
        <v>0</v>
      </c>
      <c r="X128" s="922"/>
      <c r="Y128" s="923"/>
      <c r="Z128" s="923">
        <v>0</v>
      </c>
    </row>
    <row r="129" spans="1:26" outlineLevel="1" x14ac:dyDescent="0.25">
      <c r="A129" s="337" t="s">
        <v>318</v>
      </c>
      <c r="B129" s="338" t="s">
        <v>353</v>
      </c>
      <c r="C129" s="406">
        <v>0</v>
      </c>
      <c r="D129" s="339">
        <v>0</v>
      </c>
      <c r="E129" s="339">
        <v>0</v>
      </c>
      <c r="F129" s="406">
        <v>0</v>
      </c>
      <c r="G129" s="339">
        <v>0</v>
      </c>
      <c r="H129" s="339">
        <v>0</v>
      </c>
      <c r="I129" s="406">
        <v>0</v>
      </c>
      <c r="J129" s="339">
        <v>0</v>
      </c>
      <c r="K129" s="339">
        <v>0</v>
      </c>
      <c r="L129" s="406">
        <v>0</v>
      </c>
      <c r="M129" s="339">
        <v>0</v>
      </c>
      <c r="N129" s="339">
        <v>0</v>
      </c>
      <c r="O129" s="920">
        <v>0</v>
      </c>
      <c r="P129" s="921">
        <v>0</v>
      </c>
      <c r="Q129" s="921">
        <v>0</v>
      </c>
      <c r="R129" s="406">
        <v>0</v>
      </c>
      <c r="S129" s="339">
        <v>0</v>
      </c>
      <c r="T129" s="339">
        <v>0</v>
      </c>
      <c r="U129" s="406">
        <v>0</v>
      </c>
      <c r="V129" s="339">
        <v>0</v>
      </c>
      <c r="W129" s="339">
        <v>0</v>
      </c>
      <c r="X129" s="920">
        <v>0</v>
      </c>
      <c r="Y129" s="921">
        <v>0</v>
      </c>
      <c r="Z129" s="921">
        <v>0</v>
      </c>
    </row>
    <row r="130" spans="1:26" x14ac:dyDescent="0.25">
      <c r="A130" s="364" t="s">
        <v>1456</v>
      </c>
      <c r="B130" s="365" t="s">
        <v>554</v>
      </c>
      <c r="C130" s="404">
        <v>69.5</v>
      </c>
      <c r="D130" s="366">
        <v>0</v>
      </c>
      <c r="E130" s="366">
        <v>747310.2</v>
      </c>
      <c r="F130" s="404">
        <v>69.5</v>
      </c>
      <c r="G130" s="366">
        <v>0</v>
      </c>
      <c r="H130" s="366">
        <v>780502</v>
      </c>
      <c r="I130" s="404">
        <v>69.5</v>
      </c>
      <c r="J130" s="366">
        <v>0</v>
      </c>
      <c r="K130" s="366">
        <v>780502</v>
      </c>
      <c r="L130" s="404">
        <v>69.5</v>
      </c>
      <c r="M130" s="366">
        <v>0</v>
      </c>
      <c r="N130" s="366">
        <v>710182</v>
      </c>
      <c r="O130" s="404">
        <v>69.5</v>
      </c>
      <c r="P130" s="366">
        <v>0</v>
      </c>
      <c r="Q130" s="366">
        <f>+Q131</f>
        <v>754089</v>
      </c>
      <c r="R130" s="404">
        <v>69.5</v>
      </c>
      <c r="S130" s="366">
        <v>0</v>
      </c>
      <c r="T130" s="366">
        <f>+T131</f>
        <v>760711</v>
      </c>
      <c r="U130" s="404">
        <f>+U131</f>
        <v>68.5</v>
      </c>
      <c r="V130" s="366">
        <v>0</v>
      </c>
      <c r="W130" s="366">
        <f>+W131</f>
        <v>760711</v>
      </c>
      <c r="X130" s="983">
        <f>+X131</f>
        <v>68.75</v>
      </c>
      <c r="Y130" s="366">
        <v>0</v>
      </c>
      <c r="Z130" s="366">
        <f>+Z131</f>
        <v>765239</v>
      </c>
    </row>
    <row r="131" spans="1:26" outlineLevel="1" x14ac:dyDescent="0.25">
      <c r="A131" s="337" t="s">
        <v>309</v>
      </c>
      <c r="B131" s="338" t="s">
        <v>348</v>
      </c>
      <c r="C131" s="434">
        <v>69.5</v>
      </c>
      <c r="D131" s="339">
        <v>0</v>
      </c>
      <c r="E131" s="339">
        <v>747310.2</v>
      </c>
      <c r="F131" s="434">
        <v>69.5</v>
      </c>
      <c r="G131" s="339">
        <v>0</v>
      </c>
      <c r="H131" s="339">
        <v>780502</v>
      </c>
      <c r="I131" s="434">
        <v>69.5</v>
      </c>
      <c r="J131" s="339">
        <v>0</v>
      </c>
      <c r="K131" s="339">
        <v>780502</v>
      </c>
      <c r="L131" s="434">
        <v>69.5</v>
      </c>
      <c r="M131" s="339">
        <v>0</v>
      </c>
      <c r="N131" s="339">
        <v>710182</v>
      </c>
      <c r="O131" s="931">
        <v>69.5</v>
      </c>
      <c r="P131" s="921">
        <v>0</v>
      </c>
      <c r="Q131" s="921">
        <f>+Q132+Q137+Q142+Q145+Q148+Q151+Q156+Q161+Q165+Q171+Q176</f>
        <v>754089</v>
      </c>
      <c r="R131" s="434">
        <v>69.5</v>
      </c>
      <c r="S131" s="339">
        <v>0</v>
      </c>
      <c r="T131" s="339">
        <f>+T132+T137+T142+T145+T148+T151+T156+T161+T165+T171+T176</f>
        <v>760711</v>
      </c>
      <c r="U131" s="888">
        <f>+U132+U137+U142+U145+U148+U151+U156+U161+U165+U171+U176</f>
        <v>68.5</v>
      </c>
      <c r="V131" s="339">
        <v>0</v>
      </c>
      <c r="W131" s="339">
        <f>+W132+W137+W142+W145+W148+W151+W156+W161+W165+W171+W176</f>
        <v>760711</v>
      </c>
      <c r="X131" s="982">
        <f>+X132+X137+X142+X145+X148+X151+X156+X161+X165+X171+X176</f>
        <v>68.75</v>
      </c>
      <c r="Y131" s="921">
        <v>0</v>
      </c>
      <c r="Z131" s="921">
        <f>+Z132+Z137+Z142+Z145+Z148+Z151+Z156+Z161+Z165+Z171+Z176</f>
        <v>765239</v>
      </c>
    </row>
    <row r="132" spans="1:26" outlineLevel="2" x14ac:dyDescent="0.25">
      <c r="A132" s="431" t="s">
        <v>311</v>
      </c>
      <c r="B132" s="432" t="s">
        <v>555</v>
      </c>
      <c r="C132" s="434">
        <v>5</v>
      </c>
      <c r="D132" s="434"/>
      <c r="E132" s="433">
        <v>72321.700000000012</v>
      </c>
      <c r="F132" s="434">
        <v>5</v>
      </c>
      <c r="G132" s="339">
        <v>0</v>
      </c>
      <c r="H132" s="433">
        <v>80918</v>
      </c>
      <c r="I132" s="434">
        <v>5</v>
      </c>
      <c r="J132" s="339">
        <v>0</v>
      </c>
      <c r="K132" s="433">
        <v>80918</v>
      </c>
      <c r="L132" s="434">
        <v>5</v>
      </c>
      <c r="M132" s="339">
        <v>0</v>
      </c>
      <c r="N132" s="339">
        <v>70992</v>
      </c>
      <c r="O132" s="931">
        <v>5</v>
      </c>
      <c r="P132" s="921">
        <v>0</v>
      </c>
      <c r="Q132" s="921">
        <f>SUM(Q133:Q136)</f>
        <v>82313</v>
      </c>
      <c r="R132" s="434">
        <v>5</v>
      </c>
      <c r="S132" s="339">
        <v>0</v>
      </c>
      <c r="T132" s="339">
        <f>SUM(T133:T136)</f>
        <v>82313</v>
      </c>
      <c r="U132" s="434">
        <v>5</v>
      </c>
      <c r="V132" s="339">
        <v>0</v>
      </c>
      <c r="W132" s="339">
        <f>SUM(W133:W136)</f>
        <v>82313</v>
      </c>
      <c r="X132" s="931">
        <v>5</v>
      </c>
      <c r="Y132" s="921">
        <v>0</v>
      </c>
      <c r="Z132" s="921">
        <f>SUM(Z133:Z136)</f>
        <v>82313</v>
      </c>
    </row>
    <row r="133" spans="1:26" outlineLevel="3" x14ac:dyDescent="0.25">
      <c r="A133" s="435"/>
      <c r="B133" s="418" t="s">
        <v>286</v>
      </c>
      <c r="C133" s="437"/>
      <c r="D133" s="437"/>
      <c r="E133" s="436">
        <v>19990</v>
      </c>
      <c r="F133" s="407"/>
      <c r="G133" s="273"/>
      <c r="H133" s="436">
        <v>21080</v>
      </c>
      <c r="I133" s="407"/>
      <c r="J133" s="273"/>
      <c r="K133" s="436">
        <v>21080</v>
      </c>
      <c r="L133" s="407"/>
      <c r="M133" s="273"/>
      <c r="N133" s="273">
        <v>18330</v>
      </c>
      <c r="O133" s="922"/>
      <c r="P133" s="923"/>
      <c r="Q133" s="923">
        <v>18510</v>
      </c>
      <c r="R133" s="407"/>
      <c r="S133" s="273"/>
      <c r="T133" s="273">
        <v>18510</v>
      </c>
      <c r="U133" s="407"/>
      <c r="V133" s="273"/>
      <c r="W133" s="273">
        <v>18510</v>
      </c>
      <c r="X133" s="922"/>
      <c r="Y133" s="923"/>
      <c r="Z133" s="923">
        <v>18510</v>
      </c>
    </row>
    <row r="134" spans="1:26" outlineLevel="3" x14ac:dyDescent="0.25">
      <c r="A134" s="435"/>
      <c r="B134" s="418" t="s">
        <v>350</v>
      </c>
      <c r="C134" s="437"/>
      <c r="D134" s="437"/>
      <c r="E134" s="436">
        <v>3904</v>
      </c>
      <c r="F134" s="407"/>
      <c r="G134" s="345"/>
      <c r="H134" s="436">
        <v>4160</v>
      </c>
      <c r="I134" s="407"/>
      <c r="J134" s="345"/>
      <c r="K134" s="436">
        <v>4160</v>
      </c>
      <c r="L134" s="407"/>
      <c r="M134" s="345"/>
      <c r="N134" s="345">
        <v>3277</v>
      </c>
      <c r="O134" s="922"/>
      <c r="P134" s="924"/>
      <c r="Q134" s="924">
        <v>3517</v>
      </c>
      <c r="R134" s="407"/>
      <c r="S134" s="345"/>
      <c r="T134" s="345">
        <v>3517</v>
      </c>
      <c r="U134" s="407"/>
      <c r="V134" s="345"/>
      <c r="W134" s="345">
        <v>3517</v>
      </c>
      <c r="X134" s="922"/>
      <c r="Y134" s="924"/>
      <c r="Z134" s="924">
        <v>3517</v>
      </c>
    </row>
    <row r="135" spans="1:26" outlineLevel="3" x14ac:dyDescent="0.25">
      <c r="A135" s="435"/>
      <c r="B135" s="418" t="s">
        <v>292</v>
      </c>
      <c r="C135" s="437"/>
      <c r="D135" s="437"/>
      <c r="E135" s="436">
        <v>48427.700000000004</v>
      </c>
      <c r="F135" s="407"/>
      <c r="G135" s="273"/>
      <c r="H135" s="436">
        <v>55678</v>
      </c>
      <c r="I135" s="407"/>
      <c r="J135" s="273"/>
      <c r="K135" s="436">
        <v>55678</v>
      </c>
      <c r="L135" s="407"/>
      <c r="M135" s="273"/>
      <c r="N135" s="273">
        <v>49385</v>
      </c>
      <c r="O135" s="922"/>
      <c r="P135" s="923"/>
      <c r="Q135" s="923">
        <v>60286</v>
      </c>
      <c r="R135" s="407"/>
      <c r="S135" s="273"/>
      <c r="T135" s="273">
        <v>60286</v>
      </c>
      <c r="U135" s="407"/>
      <c r="V135" s="273"/>
      <c r="W135" s="273">
        <v>60286</v>
      </c>
      <c r="X135" s="922"/>
      <c r="Y135" s="923"/>
      <c r="Z135" s="923">
        <v>60286</v>
      </c>
    </row>
    <row r="136" spans="1:26" outlineLevel="3" x14ac:dyDescent="0.25">
      <c r="A136" s="435"/>
      <c r="B136" s="418" t="s">
        <v>351</v>
      </c>
      <c r="C136" s="437"/>
      <c r="D136" s="437"/>
      <c r="E136" s="436">
        <v>0</v>
      </c>
      <c r="F136" s="407"/>
      <c r="G136" s="273"/>
      <c r="H136" s="436">
        <v>0</v>
      </c>
      <c r="I136" s="407"/>
      <c r="J136" s="273"/>
      <c r="K136" s="436">
        <v>0</v>
      </c>
      <c r="L136" s="407"/>
      <c r="M136" s="273"/>
      <c r="N136" s="273"/>
      <c r="O136" s="922"/>
      <c r="P136" s="923"/>
      <c r="Q136" s="923">
        <v>0</v>
      </c>
      <c r="R136" s="407"/>
      <c r="S136" s="273"/>
      <c r="T136" s="273">
        <v>0</v>
      </c>
      <c r="U136" s="407"/>
      <c r="V136" s="273"/>
      <c r="W136" s="273">
        <v>0</v>
      </c>
      <c r="X136" s="922"/>
      <c r="Y136" s="923"/>
      <c r="Z136" s="923">
        <v>0</v>
      </c>
    </row>
    <row r="137" spans="1:26" outlineLevel="2" x14ac:dyDescent="0.25">
      <c r="A137" s="431" t="s">
        <v>322</v>
      </c>
      <c r="B137" s="432" t="s">
        <v>556</v>
      </c>
      <c r="C137" s="434">
        <v>21</v>
      </c>
      <c r="D137" s="434"/>
      <c r="E137" s="433">
        <v>94208.5</v>
      </c>
      <c r="F137" s="434">
        <v>21</v>
      </c>
      <c r="G137" s="273"/>
      <c r="H137" s="433">
        <v>105695</v>
      </c>
      <c r="I137" s="434">
        <v>21</v>
      </c>
      <c r="J137" s="273"/>
      <c r="K137" s="433">
        <v>105695</v>
      </c>
      <c r="L137" s="434">
        <v>21</v>
      </c>
      <c r="M137" s="339">
        <v>0</v>
      </c>
      <c r="N137" s="339">
        <v>102436</v>
      </c>
      <c r="O137" s="931">
        <v>21</v>
      </c>
      <c r="P137" s="921">
        <v>0</v>
      </c>
      <c r="Q137" s="921">
        <f>SUM(Q138:Q141)</f>
        <v>115624</v>
      </c>
      <c r="R137" s="434">
        <v>21</v>
      </c>
      <c r="S137" s="339">
        <v>0</v>
      </c>
      <c r="T137" s="339">
        <f>SUM(T138:T141)</f>
        <v>115624</v>
      </c>
      <c r="U137" s="434">
        <v>21</v>
      </c>
      <c r="V137" s="339">
        <v>0</v>
      </c>
      <c r="W137" s="339">
        <f>SUM(W138:W141)</f>
        <v>115624</v>
      </c>
      <c r="X137" s="931">
        <v>21</v>
      </c>
      <c r="Y137" s="921">
        <v>0</v>
      </c>
      <c r="Z137" s="921">
        <f>SUM(Z138:Z141)</f>
        <v>119624</v>
      </c>
    </row>
    <row r="138" spans="1:26" outlineLevel="3" x14ac:dyDescent="0.25">
      <c r="A138" s="435"/>
      <c r="B138" s="418" t="s">
        <v>286</v>
      </c>
      <c r="C138" s="437"/>
      <c r="D138" s="437"/>
      <c r="E138" s="436">
        <v>55268</v>
      </c>
      <c r="F138" s="437"/>
      <c r="G138" s="339">
        <v>0</v>
      </c>
      <c r="H138" s="436">
        <v>59178</v>
      </c>
      <c r="I138" s="437"/>
      <c r="J138" s="339">
        <v>0</v>
      </c>
      <c r="K138" s="436">
        <v>59178</v>
      </c>
      <c r="L138" s="437"/>
      <c r="M138" s="339"/>
      <c r="N138" s="345">
        <v>54260</v>
      </c>
      <c r="O138" s="928"/>
      <c r="P138" s="921"/>
      <c r="Q138" s="924">
        <v>70556</v>
      </c>
      <c r="R138" s="437"/>
      <c r="S138" s="339"/>
      <c r="T138" s="345">
        <v>70556</v>
      </c>
      <c r="U138" s="437"/>
      <c r="V138" s="339"/>
      <c r="W138" s="345">
        <v>70556</v>
      </c>
      <c r="X138" s="928"/>
      <c r="Y138" s="921"/>
      <c r="Z138" s="924">
        <v>70556</v>
      </c>
    </row>
    <row r="139" spans="1:26" outlineLevel="4" x14ac:dyDescent="0.25">
      <c r="A139" s="435"/>
      <c r="B139" s="418" t="s">
        <v>350</v>
      </c>
      <c r="C139" s="437"/>
      <c r="D139" s="437"/>
      <c r="E139" s="436">
        <v>10937</v>
      </c>
      <c r="F139" s="437"/>
      <c r="G139" s="273"/>
      <c r="H139" s="436">
        <v>11656</v>
      </c>
      <c r="I139" s="437"/>
      <c r="J139" s="273"/>
      <c r="K139" s="436">
        <v>11656</v>
      </c>
      <c r="L139" s="437"/>
      <c r="M139" s="273"/>
      <c r="N139" s="273">
        <v>11831</v>
      </c>
      <c r="O139" s="928"/>
      <c r="P139" s="923"/>
      <c r="Q139" s="923">
        <v>13406</v>
      </c>
      <c r="R139" s="437"/>
      <c r="S139" s="273"/>
      <c r="T139" s="273">
        <v>13406</v>
      </c>
      <c r="U139" s="437"/>
      <c r="V139" s="273"/>
      <c r="W139" s="273">
        <v>13406</v>
      </c>
      <c r="X139" s="928"/>
      <c r="Y139" s="923"/>
      <c r="Z139" s="923">
        <v>13406</v>
      </c>
    </row>
    <row r="140" spans="1:26" outlineLevel="4" x14ac:dyDescent="0.25">
      <c r="A140" s="435"/>
      <c r="B140" s="418" t="s">
        <v>292</v>
      </c>
      <c r="C140" s="437"/>
      <c r="D140" s="437"/>
      <c r="E140" s="436">
        <v>28003.5</v>
      </c>
      <c r="F140" s="437"/>
      <c r="G140" s="371"/>
      <c r="H140" s="436">
        <v>28004</v>
      </c>
      <c r="I140" s="437"/>
      <c r="J140" s="371"/>
      <c r="K140" s="436">
        <v>28004</v>
      </c>
      <c r="L140" s="437"/>
      <c r="M140" s="371"/>
      <c r="N140" s="371">
        <v>29488</v>
      </c>
      <c r="O140" s="928"/>
      <c r="P140" s="930"/>
      <c r="Q140" s="930">
        <v>31662</v>
      </c>
      <c r="R140" s="437"/>
      <c r="S140" s="371"/>
      <c r="T140" s="371">
        <v>31662</v>
      </c>
      <c r="U140" s="437"/>
      <c r="V140" s="371"/>
      <c r="W140" s="371">
        <v>31662</v>
      </c>
      <c r="X140" s="928"/>
      <c r="Y140" s="930"/>
      <c r="Z140" s="930">
        <v>31662</v>
      </c>
    </row>
    <row r="141" spans="1:26" outlineLevel="4" x14ac:dyDescent="0.25">
      <c r="A141" s="435"/>
      <c r="B141" s="418" t="s">
        <v>351</v>
      </c>
      <c r="C141" s="437"/>
      <c r="D141" s="437"/>
      <c r="E141" s="436">
        <v>0</v>
      </c>
      <c r="F141" s="437"/>
      <c r="G141" s="345"/>
      <c r="H141" s="436">
        <v>6857</v>
      </c>
      <c r="I141" s="437"/>
      <c r="J141" s="345"/>
      <c r="K141" s="436">
        <v>6857</v>
      </c>
      <c r="L141" s="437"/>
      <c r="M141" s="345"/>
      <c r="N141" s="345">
        <v>6857</v>
      </c>
      <c r="O141" s="928"/>
      <c r="P141" s="924"/>
      <c r="Q141" s="924">
        <v>0</v>
      </c>
      <c r="R141" s="437"/>
      <c r="S141" s="345"/>
      <c r="T141" s="345">
        <v>0</v>
      </c>
      <c r="U141" s="437"/>
      <c r="V141" s="345"/>
      <c r="W141" s="345">
        <v>0</v>
      </c>
      <c r="X141" s="928"/>
      <c r="Y141" s="924"/>
      <c r="Z141" s="924">
        <v>4000</v>
      </c>
    </row>
    <row r="142" spans="1:26" outlineLevel="3" x14ac:dyDescent="0.25">
      <c r="A142" s="431" t="s">
        <v>315</v>
      </c>
      <c r="B142" s="432" t="s">
        <v>557</v>
      </c>
      <c r="C142" s="434"/>
      <c r="D142" s="434"/>
      <c r="E142" s="433">
        <v>55677.8</v>
      </c>
      <c r="F142" s="434"/>
      <c r="G142" s="273"/>
      <c r="H142" s="433">
        <v>55678</v>
      </c>
      <c r="I142" s="434"/>
      <c r="J142" s="273"/>
      <c r="K142" s="433">
        <v>55678</v>
      </c>
      <c r="L142" s="434"/>
      <c r="M142" s="339">
        <v>0</v>
      </c>
      <c r="N142" s="339">
        <v>47577</v>
      </c>
      <c r="O142" s="928"/>
      <c r="P142" s="921">
        <v>0</v>
      </c>
      <c r="Q142" s="921">
        <v>57550</v>
      </c>
      <c r="R142" s="437"/>
      <c r="S142" s="339">
        <v>0</v>
      </c>
      <c r="T142" s="339">
        <v>57550</v>
      </c>
      <c r="U142" s="437"/>
      <c r="V142" s="339">
        <v>0</v>
      </c>
      <c r="W142" s="339">
        <v>57550</v>
      </c>
      <c r="X142" s="928"/>
      <c r="Y142" s="921">
        <v>0</v>
      </c>
      <c r="Z142" s="921">
        <v>57550</v>
      </c>
    </row>
    <row r="143" spans="1:26" outlineLevel="3" x14ac:dyDescent="0.25">
      <c r="A143" s="435"/>
      <c r="B143" s="418" t="s">
        <v>292</v>
      </c>
      <c r="C143" s="437"/>
      <c r="D143" s="437"/>
      <c r="E143" s="436">
        <v>53137.8</v>
      </c>
      <c r="F143" s="437"/>
      <c r="G143" s="339">
        <v>0</v>
      </c>
      <c r="H143" s="436">
        <v>53138</v>
      </c>
      <c r="I143" s="437"/>
      <c r="J143" s="339">
        <v>0</v>
      </c>
      <c r="K143" s="436">
        <v>53138</v>
      </c>
      <c r="L143" s="437"/>
      <c r="M143" s="339"/>
      <c r="N143" s="345">
        <v>47188</v>
      </c>
      <c r="O143" s="928"/>
      <c r="P143" s="921"/>
      <c r="Q143" s="924">
        <v>53750</v>
      </c>
      <c r="R143" s="437"/>
      <c r="S143" s="339"/>
      <c r="T143" s="345">
        <v>53750</v>
      </c>
      <c r="U143" s="437"/>
      <c r="V143" s="339"/>
      <c r="W143" s="345">
        <v>53750</v>
      </c>
      <c r="X143" s="928"/>
      <c r="Y143" s="921"/>
      <c r="Z143" s="924">
        <v>53750</v>
      </c>
    </row>
    <row r="144" spans="1:26" outlineLevel="3" x14ac:dyDescent="0.25">
      <c r="A144" s="435"/>
      <c r="B144" s="418" t="s">
        <v>351</v>
      </c>
      <c r="C144" s="437"/>
      <c r="D144" s="437"/>
      <c r="E144" s="436">
        <v>2540</v>
      </c>
      <c r="F144" s="437"/>
      <c r="H144" s="436">
        <v>2540</v>
      </c>
      <c r="I144" s="437"/>
      <c r="K144" s="436">
        <v>2540</v>
      </c>
      <c r="L144" s="437"/>
      <c r="N144">
        <v>389</v>
      </c>
      <c r="O144" s="928"/>
      <c r="P144" s="932"/>
      <c r="Q144" s="933">
        <v>3800</v>
      </c>
      <c r="R144" s="437"/>
      <c r="T144" s="40">
        <v>3800</v>
      </c>
      <c r="U144" s="437"/>
      <c r="W144" s="40">
        <v>3800</v>
      </c>
      <c r="X144" s="928"/>
      <c r="Y144" s="932"/>
      <c r="Z144" s="933">
        <v>3800</v>
      </c>
    </row>
    <row r="145" spans="1:26" outlineLevel="2" x14ac:dyDescent="0.25">
      <c r="A145" s="431" t="s">
        <v>336</v>
      </c>
      <c r="B145" s="432" t="s">
        <v>558</v>
      </c>
      <c r="C145" s="434"/>
      <c r="D145" s="434"/>
      <c r="E145" s="433">
        <v>21145.5</v>
      </c>
      <c r="F145" s="434"/>
      <c r="H145" s="433">
        <v>20646</v>
      </c>
      <c r="I145" s="434"/>
      <c r="K145" s="433">
        <v>20646</v>
      </c>
      <c r="L145" s="434"/>
      <c r="N145" s="339">
        <v>34375</v>
      </c>
      <c r="O145" s="931"/>
      <c r="P145" s="932"/>
      <c r="Q145" s="921">
        <v>26000</v>
      </c>
      <c r="R145" s="434"/>
      <c r="T145" s="339">
        <v>26000</v>
      </c>
      <c r="U145" s="434"/>
      <c r="W145" s="339">
        <v>26000</v>
      </c>
      <c r="X145" s="931"/>
      <c r="Y145" s="932"/>
      <c r="Z145" s="921">
        <v>26000</v>
      </c>
    </row>
    <row r="146" spans="1:26" outlineLevel="3" x14ac:dyDescent="0.25">
      <c r="A146" s="435"/>
      <c r="B146" s="418" t="s">
        <v>292</v>
      </c>
      <c r="C146" s="437"/>
      <c r="D146" s="437"/>
      <c r="E146" s="436">
        <v>21145.5</v>
      </c>
      <c r="F146" s="437"/>
      <c r="H146" s="436">
        <v>20646</v>
      </c>
      <c r="I146" s="437"/>
      <c r="K146" s="436">
        <v>20646</v>
      </c>
      <c r="L146" s="437"/>
      <c r="N146" s="345">
        <v>16752</v>
      </c>
      <c r="O146" s="928"/>
      <c r="P146" s="932"/>
      <c r="Q146" s="933">
        <v>26000</v>
      </c>
      <c r="R146" s="437"/>
      <c r="T146" s="40">
        <v>26000</v>
      </c>
      <c r="U146" s="437"/>
      <c r="W146" s="40">
        <v>26000</v>
      </c>
      <c r="X146" s="928"/>
      <c r="Y146" s="932"/>
      <c r="Z146" s="933">
        <v>26000</v>
      </c>
    </row>
    <row r="147" spans="1:26" outlineLevel="3" x14ac:dyDescent="0.25">
      <c r="A147" s="435"/>
      <c r="B147" s="418" t="s">
        <v>351</v>
      </c>
      <c r="C147" s="437"/>
      <c r="D147" s="437"/>
      <c r="E147" s="436">
        <v>0</v>
      </c>
      <c r="F147" s="437"/>
      <c r="H147" s="436">
        <v>0</v>
      </c>
      <c r="I147" s="437"/>
      <c r="K147" s="436">
        <v>0</v>
      </c>
      <c r="L147" s="437"/>
      <c r="N147" s="345">
        <v>17623</v>
      </c>
      <c r="O147" s="928"/>
      <c r="P147" s="932"/>
      <c r="Q147" s="933">
        <v>0</v>
      </c>
      <c r="R147" s="437"/>
      <c r="T147" s="40">
        <v>0</v>
      </c>
      <c r="U147" s="437"/>
      <c r="W147" s="40">
        <v>0</v>
      </c>
      <c r="X147" s="928"/>
      <c r="Y147" s="932"/>
      <c r="Z147" s="933">
        <v>0</v>
      </c>
    </row>
    <row r="148" spans="1:26" outlineLevel="2" x14ac:dyDescent="0.25">
      <c r="A148" s="431" t="s">
        <v>338</v>
      </c>
      <c r="B148" s="432" t="s">
        <v>559</v>
      </c>
      <c r="C148" s="434"/>
      <c r="D148" s="434"/>
      <c r="E148" s="433">
        <v>7561.8</v>
      </c>
      <c r="F148" s="434"/>
      <c r="H148" s="433">
        <v>8174</v>
      </c>
      <c r="I148" s="434"/>
      <c r="K148" s="433">
        <v>8174</v>
      </c>
      <c r="L148" s="434"/>
      <c r="N148" s="339">
        <v>7641</v>
      </c>
      <c r="O148" s="931"/>
      <c r="P148" s="932"/>
      <c r="Q148" s="921">
        <f>SUM(Q149:Q150)</f>
        <v>14500</v>
      </c>
      <c r="R148" s="434"/>
      <c r="T148" s="339">
        <f>SUM(T149:T150)</f>
        <v>14500</v>
      </c>
      <c r="U148" s="434"/>
      <c r="W148" s="339">
        <f>SUM(W149:W150)</f>
        <v>14500</v>
      </c>
      <c r="X148" s="931"/>
      <c r="Y148" s="932"/>
      <c r="Z148" s="921">
        <f>SUM(Z149:Z150)</f>
        <v>14500</v>
      </c>
    </row>
    <row r="149" spans="1:26" outlineLevel="3" x14ac:dyDescent="0.25">
      <c r="A149" s="435"/>
      <c r="B149" s="438" t="s">
        <v>292</v>
      </c>
      <c r="C149" s="415"/>
      <c r="D149" s="415"/>
      <c r="E149" s="344">
        <v>7561.8</v>
      </c>
      <c r="F149" s="415"/>
      <c r="H149" s="344">
        <v>8174</v>
      </c>
      <c r="I149" s="415"/>
      <c r="K149" s="344">
        <v>8174</v>
      </c>
      <c r="L149" s="415"/>
      <c r="N149" s="345">
        <v>7404</v>
      </c>
      <c r="O149" s="934"/>
      <c r="P149" s="932"/>
      <c r="Q149" s="933">
        <v>14500</v>
      </c>
      <c r="R149" s="415"/>
      <c r="T149" s="40">
        <v>14500</v>
      </c>
      <c r="U149" s="415"/>
      <c r="W149" s="40">
        <v>14500</v>
      </c>
      <c r="X149" s="934"/>
      <c r="Y149" s="932"/>
      <c r="Z149" s="933">
        <v>14500</v>
      </c>
    </row>
    <row r="150" spans="1:26" outlineLevel="3" x14ac:dyDescent="0.25">
      <c r="A150" s="435"/>
      <c r="B150" s="438" t="s">
        <v>351</v>
      </c>
      <c r="C150" s="415"/>
      <c r="D150" s="415"/>
      <c r="E150" s="344">
        <v>0</v>
      </c>
      <c r="F150" s="415"/>
      <c r="H150" s="344">
        <v>0</v>
      </c>
      <c r="I150" s="415"/>
      <c r="K150" s="344">
        <v>0</v>
      </c>
      <c r="L150" s="415"/>
      <c r="N150" s="345">
        <v>237</v>
      </c>
      <c r="O150" s="934"/>
      <c r="P150" s="932"/>
      <c r="Q150" s="933">
        <v>0</v>
      </c>
      <c r="R150" s="415"/>
      <c r="T150" s="40">
        <v>0</v>
      </c>
      <c r="U150" s="415"/>
      <c r="W150" s="40">
        <v>0</v>
      </c>
      <c r="X150" s="934"/>
      <c r="Y150" s="932"/>
      <c r="Z150" s="933">
        <v>0</v>
      </c>
    </row>
    <row r="151" spans="1:26" outlineLevel="2" x14ac:dyDescent="0.25">
      <c r="A151" s="431" t="s">
        <v>560</v>
      </c>
      <c r="B151" s="432" t="s">
        <v>561</v>
      </c>
      <c r="C151" s="434">
        <v>2.5</v>
      </c>
      <c r="D151" s="434"/>
      <c r="E151" s="433">
        <v>16927</v>
      </c>
      <c r="F151" s="434">
        <v>2.5</v>
      </c>
      <c r="H151" s="433">
        <v>16927</v>
      </c>
      <c r="I151" s="434">
        <v>2.5</v>
      </c>
      <c r="K151" s="433">
        <v>16927</v>
      </c>
      <c r="L151" s="434">
        <v>2.5</v>
      </c>
      <c r="N151" s="339">
        <v>14908</v>
      </c>
      <c r="O151" s="931">
        <v>2.5</v>
      </c>
      <c r="P151" s="932"/>
      <c r="Q151" s="921">
        <f>SUM(Q152:Q155)</f>
        <v>13770</v>
      </c>
      <c r="R151" s="434">
        <v>2.5</v>
      </c>
      <c r="T151" s="339">
        <f>SUM(T152:T155)</f>
        <v>13770</v>
      </c>
      <c r="U151" s="434">
        <v>1.5</v>
      </c>
      <c r="W151" s="339">
        <f>SUM(W152:W155)</f>
        <v>13770</v>
      </c>
      <c r="X151" s="981">
        <f>1.5+0.25</f>
        <v>1.75</v>
      </c>
      <c r="Y151" s="932"/>
      <c r="Z151" s="921">
        <f>SUM(Z152:Z155)</f>
        <v>13770</v>
      </c>
    </row>
    <row r="152" spans="1:26" outlineLevel="3" x14ac:dyDescent="0.25">
      <c r="A152" s="435"/>
      <c r="B152" s="418" t="s">
        <v>286</v>
      </c>
      <c r="C152" s="415"/>
      <c r="D152" s="415"/>
      <c r="E152" s="344">
        <v>7227</v>
      </c>
      <c r="F152" s="415"/>
      <c r="H152" s="344">
        <v>7227</v>
      </c>
      <c r="I152" s="415"/>
      <c r="K152" s="344">
        <v>7227</v>
      </c>
      <c r="L152" s="415"/>
      <c r="N152" s="840">
        <v>6019</v>
      </c>
      <c r="O152" s="934"/>
      <c r="P152" s="932"/>
      <c r="Q152" s="933">
        <v>6025</v>
      </c>
      <c r="R152" s="415"/>
      <c r="T152" s="40">
        <v>6025</v>
      </c>
      <c r="U152" s="415"/>
      <c r="W152" s="40">
        <v>6025</v>
      </c>
      <c r="X152" s="934"/>
      <c r="Y152" s="932"/>
      <c r="Z152" s="933">
        <v>6025</v>
      </c>
    </row>
    <row r="153" spans="1:26" outlineLevel="3" x14ac:dyDescent="0.25">
      <c r="A153" s="431"/>
      <c r="B153" s="418" t="s">
        <v>350</v>
      </c>
      <c r="C153" s="415"/>
      <c r="D153" s="415"/>
      <c r="E153" s="344">
        <v>1359</v>
      </c>
      <c r="F153" s="415"/>
      <c r="H153" s="344">
        <v>1359</v>
      </c>
      <c r="I153" s="415"/>
      <c r="K153" s="344">
        <v>1359</v>
      </c>
      <c r="L153" s="415"/>
      <c r="N153" s="840">
        <v>1051</v>
      </c>
      <c r="O153" s="934"/>
      <c r="P153" s="932"/>
      <c r="Q153" s="933">
        <v>1145</v>
      </c>
      <c r="R153" s="415"/>
      <c r="T153" s="40">
        <v>1145</v>
      </c>
      <c r="U153" s="415"/>
      <c r="W153" s="40">
        <v>1145</v>
      </c>
      <c r="X153" s="934"/>
      <c r="Y153" s="932"/>
      <c r="Z153" s="933">
        <v>1145</v>
      </c>
    </row>
    <row r="154" spans="1:26" outlineLevel="3" x14ac:dyDescent="0.25">
      <c r="A154" s="431"/>
      <c r="B154" s="418" t="s">
        <v>292</v>
      </c>
      <c r="C154" s="415"/>
      <c r="D154" s="415"/>
      <c r="E154" s="344">
        <v>8341</v>
      </c>
      <c r="F154" s="415"/>
      <c r="H154" s="344">
        <v>8341</v>
      </c>
      <c r="I154" s="415"/>
      <c r="K154" s="344">
        <v>8341</v>
      </c>
      <c r="L154" s="415"/>
      <c r="N154" s="840">
        <v>7763</v>
      </c>
      <c r="O154" s="934"/>
      <c r="P154" s="932"/>
      <c r="Q154" s="933">
        <v>5600</v>
      </c>
      <c r="R154" s="415"/>
      <c r="T154" s="40">
        <v>5600</v>
      </c>
      <c r="U154" s="415"/>
      <c r="W154" s="40">
        <v>5600</v>
      </c>
      <c r="X154" s="934"/>
      <c r="Y154" s="932"/>
      <c r="Z154" s="933">
        <v>5600</v>
      </c>
    </row>
    <row r="155" spans="1:26" outlineLevel="3" x14ac:dyDescent="0.25">
      <c r="A155" s="431"/>
      <c r="B155" s="418" t="s">
        <v>351</v>
      </c>
      <c r="C155" s="415"/>
      <c r="D155" s="415"/>
      <c r="E155" s="344">
        <v>0</v>
      </c>
      <c r="F155" s="415"/>
      <c r="H155" s="344">
        <v>0</v>
      </c>
      <c r="I155" s="415"/>
      <c r="K155" s="344">
        <v>0</v>
      </c>
      <c r="L155" s="415"/>
      <c r="N155" s="840">
        <v>75</v>
      </c>
      <c r="O155" s="934"/>
      <c r="P155" s="932"/>
      <c r="Q155" s="933">
        <v>1000</v>
      </c>
      <c r="R155" s="415"/>
      <c r="T155" s="40">
        <v>1000</v>
      </c>
      <c r="U155" s="415"/>
      <c r="W155" s="40">
        <v>1000</v>
      </c>
      <c r="X155" s="934"/>
      <c r="Y155" s="932"/>
      <c r="Z155" s="933">
        <v>1000</v>
      </c>
    </row>
    <row r="156" spans="1:26" outlineLevel="2" x14ac:dyDescent="0.25">
      <c r="A156" s="431" t="s">
        <v>562</v>
      </c>
      <c r="B156" s="432" t="s">
        <v>563</v>
      </c>
      <c r="C156" s="434">
        <v>2</v>
      </c>
      <c r="D156" s="434"/>
      <c r="E156" s="433">
        <v>15205.3</v>
      </c>
      <c r="F156" s="434">
        <v>2</v>
      </c>
      <c r="H156" s="433">
        <v>15205</v>
      </c>
      <c r="I156" s="434">
        <v>2</v>
      </c>
      <c r="K156" s="433">
        <v>15205</v>
      </c>
      <c r="L156" s="434">
        <v>2</v>
      </c>
      <c r="N156" s="339">
        <v>14119</v>
      </c>
      <c r="O156" s="931">
        <v>2</v>
      </c>
      <c r="P156" s="932"/>
      <c r="Q156" s="921">
        <f>SUM(Q157:Q160)</f>
        <v>16316</v>
      </c>
      <c r="R156" s="434">
        <v>2</v>
      </c>
      <c r="T156" s="339">
        <f>SUM(T157:T160)</f>
        <v>16316</v>
      </c>
      <c r="U156" s="434">
        <v>2</v>
      </c>
      <c r="W156" s="339">
        <f>SUM(W157:W160)</f>
        <v>16316</v>
      </c>
      <c r="X156" s="931">
        <v>2</v>
      </c>
      <c r="Y156" s="932"/>
      <c r="Z156" s="921">
        <f>SUM(Z157:Z160)</f>
        <v>16316</v>
      </c>
    </row>
    <row r="157" spans="1:26" outlineLevel="3" x14ac:dyDescent="0.25">
      <c r="A157" s="431"/>
      <c r="B157" s="418" t="s">
        <v>286</v>
      </c>
      <c r="C157" s="437"/>
      <c r="D157" s="437"/>
      <c r="E157" s="436">
        <v>5917</v>
      </c>
      <c r="F157" s="437"/>
      <c r="H157" s="436">
        <v>5917</v>
      </c>
      <c r="I157" s="437"/>
      <c r="K157" s="436">
        <v>5917</v>
      </c>
      <c r="L157" s="437"/>
      <c r="N157" s="345">
        <v>5092</v>
      </c>
      <c r="O157" s="928"/>
      <c r="P157" s="932"/>
      <c r="Q157" s="933">
        <v>5728</v>
      </c>
      <c r="R157" s="437"/>
      <c r="T157" s="40">
        <v>5728</v>
      </c>
      <c r="U157" s="437"/>
      <c r="W157" s="40">
        <v>5728</v>
      </c>
      <c r="X157" s="928"/>
      <c r="Y157" s="932"/>
      <c r="Z157" s="933">
        <v>5728</v>
      </c>
    </row>
    <row r="158" spans="1:26" outlineLevel="3" x14ac:dyDescent="0.25">
      <c r="A158" s="431"/>
      <c r="B158" s="418" t="s">
        <v>350</v>
      </c>
      <c r="C158" s="437"/>
      <c r="D158" s="437"/>
      <c r="E158" s="436">
        <v>1173</v>
      </c>
      <c r="F158" s="437"/>
      <c r="H158" s="436">
        <v>1173</v>
      </c>
      <c r="I158" s="437"/>
      <c r="K158" s="436">
        <v>1173</v>
      </c>
      <c r="L158" s="437"/>
      <c r="N158" s="345">
        <v>1077</v>
      </c>
      <c r="O158" s="928"/>
      <c r="P158" s="932"/>
      <c r="Q158" s="933">
        <v>1088</v>
      </c>
      <c r="R158" s="437"/>
      <c r="T158" s="40">
        <v>1088</v>
      </c>
      <c r="U158" s="437"/>
      <c r="W158" s="40">
        <v>1088</v>
      </c>
      <c r="X158" s="928"/>
      <c r="Y158" s="932"/>
      <c r="Z158" s="933">
        <v>1088</v>
      </c>
    </row>
    <row r="159" spans="1:26" outlineLevel="3" x14ac:dyDescent="0.25">
      <c r="A159" s="431"/>
      <c r="B159" s="418" t="s">
        <v>292</v>
      </c>
      <c r="C159" s="437"/>
      <c r="D159" s="437"/>
      <c r="E159" s="436">
        <v>8115.3</v>
      </c>
      <c r="F159" s="437"/>
      <c r="H159" s="436">
        <v>8115</v>
      </c>
      <c r="I159" s="437"/>
      <c r="K159" s="436">
        <v>8115</v>
      </c>
      <c r="L159" s="437"/>
      <c r="N159" s="345">
        <v>7923</v>
      </c>
      <c r="O159" s="928"/>
      <c r="P159" s="932"/>
      <c r="Q159" s="933">
        <v>5500</v>
      </c>
      <c r="R159" s="437"/>
      <c r="T159" s="40">
        <v>5500</v>
      </c>
      <c r="U159" s="437"/>
      <c r="W159" s="40">
        <v>5500</v>
      </c>
      <c r="X159" s="928"/>
      <c r="Y159" s="932"/>
      <c r="Z159" s="933">
        <v>5500</v>
      </c>
    </row>
    <row r="160" spans="1:26" outlineLevel="3" x14ac:dyDescent="0.25">
      <c r="A160" s="431"/>
      <c r="B160" s="418" t="s">
        <v>351</v>
      </c>
      <c r="C160" s="437"/>
      <c r="D160" s="437"/>
      <c r="E160" s="436">
        <v>0</v>
      </c>
      <c r="F160" s="437"/>
      <c r="H160" s="436">
        <v>0</v>
      </c>
      <c r="I160" s="437"/>
      <c r="K160" s="436">
        <v>0</v>
      </c>
      <c r="L160" s="437"/>
      <c r="N160" s="345">
        <v>27</v>
      </c>
      <c r="O160" s="928"/>
      <c r="P160" s="932"/>
      <c r="Q160" s="933">
        <v>4000</v>
      </c>
      <c r="R160" s="437"/>
      <c r="T160" s="40">
        <v>4000</v>
      </c>
      <c r="U160" s="437"/>
      <c r="W160" s="40">
        <v>4000</v>
      </c>
      <c r="X160" s="928"/>
      <c r="Y160" s="932"/>
      <c r="Z160" s="933">
        <v>4000</v>
      </c>
    </row>
    <row r="161" spans="1:26" outlineLevel="2" x14ac:dyDescent="0.25">
      <c r="A161" s="431" t="s">
        <v>564</v>
      </c>
      <c r="B161" s="432" t="s">
        <v>566</v>
      </c>
      <c r="C161" s="434"/>
      <c r="D161" s="434"/>
      <c r="E161" s="433">
        <v>10172.700000000001</v>
      </c>
      <c r="F161" s="434"/>
      <c r="H161" s="433">
        <v>10190</v>
      </c>
      <c r="I161" s="434"/>
      <c r="K161" s="433">
        <v>10190</v>
      </c>
      <c r="L161" s="434"/>
      <c r="N161" s="339">
        <v>7618</v>
      </c>
      <c r="O161" s="931"/>
      <c r="P161" s="932"/>
      <c r="Q161" s="921">
        <v>7999.9999999999991</v>
      </c>
      <c r="R161" s="434"/>
      <c r="T161" s="339">
        <v>7999.9999999999991</v>
      </c>
      <c r="U161" s="434"/>
      <c r="W161" s="339">
        <v>7999.9999999999991</v>
      </c>
      <c r="X161" s="931"/>
      <c r="Y161" s="932"/>
      <c r="Z161" s="921">
        <v>7999.9999999999991</v>
      </c>
    </row>
    <row r="162" spans="1:26" outlineLevel="3" x14ac:dyDescent="0.25">
      <c r="A162" s="431"/>
      <c r="B162" s="418" t="s">
        <v>292</v>
      </c>
      <c r="C162" s="437"/>
      <c r="D162" s="437"/>
      <c r="E162" s="436">
        <v>10172.700000000001</v>
      </c>
      <c r="F162" s="437"/>
      <c r="H162" s="436">
        <v>10190</v>
      </c>
      <c r="I162" s="437"/>
      <c r="K162" s="436">
        <v>10190</v>
      </c>
      <c r="L162" s="437"/>
      <c r="N162" s="40">
        <v>7528</v>
      </c>
      <c r="O162" s="928"/>
      <c r="P162" s="932"/>
      <c r="Q162" s="933">
        <v>7999.9999999999991</v>
      </c>
      <c r="R162" s="437"/>
      <c r="T162" s="40">
        <v>7999.9999999999991</v>
      </c>
      <c r="U162" s="437"/>
      <c r="W162" s="40">
        <v>7999.9999999999991</v>
      </c>
      <c r="X162" s="928"/>
      <c r="Y162" s="932"/>
      <c r="Z162" s="933">
        <v>7999.9999999999991</v>
      </c>
    </row>
    <row r="163" spans="1:26" outlineLevel="3" x14ac:dyDescent="0.25">
      <c r="A163" s="431"/>
      <c r="B163" s="418" t="s">
        <v>351</v>
      </c>
      <c r="C163" s="437"/>
      <c r="D163" s="437"/>
      <c r="E163" s="436">
        <v>0</v>
      </c>
      <c r="F163" s="437"/>
      <c r="H163" s="436">
        <v>0</v>
      </c>
      <c r="I163" s="437"/>
      <c r="K163" s="436">
        <v>0</v>
      </c>
      <c r="L163" s="437"/>
      <c r="N163">
        <v>90</v>
      </c>
      <c r="O163" s="928"/>
      <c r="P163" s="932"/>
      <c r="Q163" s="933">
        <v>0</v>
      </c>
      <c r="R163" s="437"/>
      <c r="T163" s="40">
        <v>0</v>
      </c>
      <c r="U163" s="437"/>
      <c r="W163" s="40">
        <v>0</v>
      </c>
      <c r="X163" s="928"/>
      <c r="Y163" s="932"/>
      <c r="Z163" s="933">
        <v>0</v>
      </c>
    </row>
    <row r="164" spans="1:26" outlineLevel="3" x14ac:dyDescent="0.25">
      <c r="A164" s="431"/>
      <c r="B164" s="418" t="s">
        <v>342</v>
      </c>
      <c r="C164" s="437"/>
      <c r="D164" s="437"/>
      <c r="E164" s="436">
        <v>0</v>
      </c>
      <c r="F164" s="437"/>
      <c r="H164" s="436">
        <v>0</v>
      </c>
      <c r="I164" s="437"/>
      <c r="K164" s="436">
        <v>0</v>
      </c>
      <c r="L164" s="437"/>
      <c r="O164" s="928"/>
      <c r="P164" s="932"/>
      <c r="Q164" s="933">
        <v>0</v>
      </c>
      <c r="R164" s="437"/>
      <c r="T164" s="40">
        <v>0</v>
      </c>
      <c r="U164" s="437"/>
      <c r="W164" s="40">
        <v>0</v>
      </c>
      <c r="X164" s="928"/>
      <c r="Y164" s="932"/>
      <c r="Z164" s="933">
        <v>0</v>
      </c>
    </row>
    <row r="165" spans="1:26" outlineLevel="2" x14ac:dyDescent="0.25">
      <c r="A165" s="431" t="s">
        <v>565</v>
      </c>
      <c r="B165" s="432" t="s">
        <v>1416</v>
      </c>
      <c r="C165" s="434">
        <v>11</v>
      </c>
      <c r="D165" s="434"/>
      <c r="E165" s="433">
        <v>111339.9</v>
      </c>
      <c r="F165" s="434">
        <v>11</v>
      </c>
      <c r="H165" s="433">
        <v>134319</v>
      </c>
      <c r="I165" s="434">
        <v>11</v>
      </c>
      <c r="K165" s="433">
        <v>134319</v>
      </c>
      <c r="L165" s="434">
        <v>11</v>
      </c>
      <c r="N165" s="339">
        <v>96705</v>
      </c>
      <c r="O165" s="931">
        <v>11</v>
      </c>
      <c r="P165" s="932"/>
      <c r="Q165" s="921">
        <f>SUM(Q166:Q170)</f>
        <v>101933</v>
      </c>
      <c r="R165" s="434">
        <v>11</v>
      </c>
      <c r="T165" s="339">
        <f>SUM(T166:T170)</f>
        <v>108555</v>
      </c>
      <c r="U165" s="434">
        <v>11</v>
      </c>
      <c r="W165" s="339">
        <f>SUM(W166:W170)</f>
        <v>108555</v>
      </c>
      <c r="X165" s="931">
        <v>11</v>
      </c>
      <c r="Y165" s="932"/>
      <c r="Z165" s="921">
        <f>SUM(Z166:Z170)</f>
        <v>108555</v>
      </c>
    </row>
    <row r="166" spans="1:26" outlineLevel="3" x14ac:dyDescent="0.25">
      <c r="A166" s="431"/>
      <c r="B166" s="418" t="s">
        <v>286</v>
      </c>
      <c r="C166" s="437"/>
      <c r="D166" s="437"/>
      <c r="E166" s="436">
        <v>51204</v>
      </c>
      <c r="F166" s="437"/>
      <c r="H166" s="436">
        <v>51204</v>
      </c>
      <c r="I166" s="437"/>
      <c r="K166" s="436">
        <v>51204</v>
      </c>
      <c r="L166" s="437"/>
      <c r="N166" s="40">
        <v>37066</v>
      </c>
      <c r="O166" s="928"/>
      <c r="P166" s="932"/>
      <c r="Q166" s="933">
        <v>56246</v>
      </c>
      <c r="R166" s="437"/>
      <c r="T166" s="40">
        <v>56246</v>
      </c>
      <c r="U166" s="437"/>
      <c r="W166" s="40">
        <v>56246</v>
      </c>
      <c r="X166" s="928"/>
      <c r="Y166" s="932"/>
      <c r="Z166" s="933">
        <f>56246+150-3382</f>
        <v>53014</v>
      </c>
    </row>
    <row r="167" spans="1:26" outlineLevel="3" x14ac:dyDescent="0.25">
      <c r="A167" s="435"/>
      <c r="B167" s="418" t="s">
        <v>350</v>
      </c>
      <c r="C167" s="437"/>
      <c r="D167" s="437"/>
      <c r="E167" s="436">
        <v>16294</v>
      </c>
      <c r="F167" s="437"/>
      <c r="H167" s="436">
        <v>16294</v>
      </c>
      <c r="I167" s="437"/>
      <c r="K167" s="436">
        <v>16294</v>
      </c>
      <c r="L167" s="437"/>
      <c r="N167" s="40">
        <v>11351</v>
      </c>
      <c r="O167" s="928"/>
      <c r="P167" s="932"/>
      <c r="Q167" s="933">
        <v>10687</v>
      </c>
      <c r="R167" s="437"/>
      <c r="T167" s="40">
        <v>10687</v>
      </c>
      <c r="U167" s="437"/>
      <c r="W167" s="40">
        <v>10687</v>
      </c>
      <c r="X167" s="928"/>
      <c r="Y167" s="932"/>
      <c r="Z167" s="933">
        <f>10687+3382</f>
        <v>14069</v>
      </c>
    </row>
    <row r="168" spans="1:26" outlineLevel="3" x14ac:dyDescent="0.25">
      <c r="A168" s="431"/>
      <c r="B168" s="418" t="s">
        <v>292</v>
      </c>
      <c r="C168" s="437"/>
      <c r="D168" s="437"/>
      <c r="E168" s="436">
        <v>42444.9</v>
      </c>
      <c r="F168" s="437"/>
      <c r="H168" s="436">
        <v>57350</v>
      </c>
      <c r="I168" s="437"/>
      <c r="K168" s="436">
        <v>57350</v>
      </c>
      <c r="L168" s="437"/>
      <c r="N168" s="40">
        <v>39979</v>
      </c>
      <c r="O168" s="928"/>
      <c r="P168" s="932"/>
      <c r="Q168" s="933">
        <v>29480</v>
      </c>
      <c r="R168" s="437"/>
      <c r="T168" s="40">
        <f>29480+5352</f>
        <v>34832</v>
      </c>
      <c r="U168" s="437"/>
      <c r="W168" s="40">
        <f>29480+5352</f>
        <v>34832</v>
      </c>
      <c r="X168" s="928"/>
      <c r="Y168" s="932"/>
      <c r="Z168" s="933">
        <f>29480+5352-1234-150</f>
        <v>33448</v>
      </c>
    </row>
    <row r="169" spans="1:26" outlineLevel="3" x14ac:dyDescent="0.25">
      <c r="A169" s="431"/>
      <c r="B169" s="418" t="s">
        <v>568</v>
      </c>
      <c r="C169" s="437"/>
      <c r="D169" s="437"/>
      <c r="E169" s="436">
        <v>0</v>
      </c>
      <c r="F169" s="437"/>
      <c r="H169" s="436">
        <v>4953</v>
      </c>
      <c r="I169" s="437"/>
      <c r="K169" s="436">
        <v>4953</v>
      </c>
      <c r="L169" s="437"/>
      <c r="N169" s="40">
        <v>4953</v>
      </c>
      <c r="O169" s="928"/>
      <c r="P169" s="932"/>
      <c r="Q169" s="933">
        <v>0</v>
      </c>
      <c r="R169" s="437"/>
      <c r="T169" s="40">
        <v>0</v>
      </c>
      <c r="U169" s="437"/>
      <c r="W169" s="40">
        <v>0</v>
      </c>
      <c r="X169" s="928"/>
      <c r="Y169" s="932"/>
      <c r="Z169" s="933">
        <v>0</v>
      </c>
    </row>
    <row r="170" spans="1:26" outlineLevel="3" x14ac:dyDescent="0.25">
      <c r="A170" s="431"/>
      <c r="B170" s="418" t="s">
        <v>351</v>
      </c>
      <c r="C170" s="437"/>
      <c r="D170" s="437"/>
      <c r="E170" s="436">
        <v>1397</v>
      </c>
      <c r="F170" s="437"/>
      <c r="H170" s="436">
        <v>4518</v>
      </c>
      <c r="I170" s="437"/>
      <c r="K170" s="436">
        <v>4518</v>
      </c>
      <c r="L170" s="437"/>
      <c r="N170" s="839">
        <v>3356</v>
      </c>
      <c r="O170" s="928"/>
      <c r="P170" s="932"/>
      <c r="Q170" s="933">
        <v>5520</v>
      </c>
      <c r="R170" s="437"/>
      <c r="T170" s="40">
        <f>5520+1270</f>
        <v>6790</v>
      </c>
      <c r="U170" s="437"/>
      <c r="W170" s="40">
        <f>5520+1270</f>
        <v>6790</v>
      </c>
      <c r="X170" s="928"/>
      <c r="Y170" s="932"/>
      <c r="Z170" s="933">
        <f>5520+1270+1234</f>
        <v>8024</v>
      </c>
    </row>
    <row r="171" spans="1:26" outlineLevel="2" x14ac:dyDescent="0.25">
      <c r="A171" s="431" t="s">
        <v>567</v>
      </c>
      <c r="B171" s="432" t="s">
        <v>571</v>
      </c>
      <c r="C171" s="434">
        <v>9</v>
      </c>
      <c r="D171" s="434"/>
      <c r="E171" s="433">
        <v>42084</v>
      </c>
      <c r="F171" s="434">
        <v>9</v>
      </c>
      <c r="H171" s="433">
        <v>42084</v>
      </c>
      <c r="I171" s="434">
        <v>9</v>
      </c>
      <c r="K171" s="433">
        <v>42084</v>
      </c>
      <c r="L171" s="434">
        <v>9</v>
      </c>
      <c r="N171" s="339">
        <v>39114</v>
      </c>
      <c r="O171" s="931">
        <v>9</v>
      </c>
      <c r="P171" s="932"/>
      <c r="Q171" s="921">
        <f>SUM(Q172:Q175)</f>
        <v>34719</v>
      </c>
      <c r="R171" s="434">
        <v>9</v>
      </c>
      <c r="T171" s="339">
        <f>SUM(T172:T175)</f>
        <v>34719</v>
      </c>
      <c r="U171" s="434">
        <v>9</v>
      </c>
      <c r="W171" s="339">
        <f>SUM(W172:W175)</f>
        <v>34719</v>
      </c>
      <c r="X171" s="931">
        <v>9</v>
      </c>
      <c r="Y171" s="932"/>
      <c r="Z171" s="921">
        <f>SUM(Z172:Z175)</f>
        <v>34719</v>
      </c>
    </row>
    <row r="172" spans="1:26" outlineLevel="3" x14ac:dyDescent="0.25">
      <c r="A172" s="431"/>
      <c r="B172" s="418" t="s">
        <v>286</v>
      </c>
      <c r="C172" s="437"/>
      <c r="D172" s="437"/>
      <c r="E172" s="436">
        <v>27728</v>
      </c>
      <c r="F172" s="437"/>
      <c r="H172" s="436">
        <v>27728</v>
      </c>
      <c r="I172" s="437"/>
      <c r="K172" s="436">
        <v>27728</v>
      </c>
      <c r="L172" s="437"/>
      <c r="N172" s="40">
        <v>25365</v>
      </c>
      <c r="O172" s="928"/>
      <c r="P172" s="932"/>
      <c r="Q172" s="933">
        <v>24134</v>
      </c>
      <c r="R172" s="437"/>
      <c r="T172" s="40">
        <v>24134</v>
      </c>
      <c r="U172" s="437"/>
      <c r="W172" s="40">
        <v>24134</v>
      </c>
      <c r="X172" s="928"/>
      <c r="Y172" s="932"/>
      <c r="Z172" s="933">
        <v>24134</v>
      </c>
    </row>
    <row r="173" spans="1:26" outlineLevel="3" x14ac:dyDescent="0.25">
      <c r="A173" s="431"/>
      <c r="B173" s="418" t="s">
        <v>350</v>
      </c>
      <c r="C173" s="437"/>
      <c r="D173" s="437"/>
      <c r="E173" s="436">
        <v>5386</v>
      </c>
      <c r="F173" s="437"/>
      <c r="H173" s="436">
        <v>5386</v>
      </c>
      <c r="I173" s="437"/>
      <c r="K173" s="436">
        <v>5386</v>
      </c>
      <c r="L173" s="437"/>
      <c r="N173" s="839">
        <v>5436</v>
      </c>
      <c r="O173" s="928"/>
      <c r="P173" s="932"/>
      <c r="Q173" s="933">
        <v>4585</v>
      </c>
      <c r="R173" s="437"/>
      <c r="T173" s="40">
        <v>4585</v>
      </c>
      <c r="U173" s="437"/>
      <c r="W173" s="40">
        <v>4585</v>
      </c>
      <c r="X173" s="928"/>
      <c r="Y173" s="932"/>
      <c r="Z173" s="933">
        <v>4585</v>
      </c>
    </row>
    <row r="174" spans="1:26" outlineLevel="3" x14ac:dyDescent="0.25">
      <c r="A174" s="431"/>
      <c r="B174" s="418" t="s">
        <v>292</v>
      </c>
      <c r="C174" s="437"/>
      <c r="D174" s="437"/>
      <c r="E174" s="436">
        <v>8970</v>
      </c>
      <c r="F174" s="437"/>
      <c r="H174" s="436">
        <v>8970</v>
      </c>
      <c r="I174" s="437"/>
      <c r="K174" s="436">
        <v>8970</v>
      </c>
      <c r="L174" s="437"/>
      <c r="N174" s="839">
        <v>7930</v>
      </c>
      <c r="O174" s="928"/>
      <c r="P174" s="932"/>
      <c r="Q174" s="933">
        <v>5999.9999999999991</v>
      </c>
      <c r="R174" s="437"/>
      <c r="T174" s="40">
        <v>5999.9999999999991</v>
      </c>
      <c r="U174" s="437"/>
      <c r="W174" s="40">
        <v>5999.9999999999991</v>
      </c>
      <c r="X174" s="928"/>
      <c r="Y174" s="932"/>
      <c r="Z174" s="933">
        <v>5999.9999999999991</v>
      </c>
    </row>
    <row r="175" spans="1:26" outlineLevel="3" x14ac:dyDescent="0.25">
      <c r="A175" s="431"/>
      <c r="B175" s="418" t="s">
        <v>351</v>
      </c>
      <c r="C175" s="437"/>
      <c r="D175" s="437"/>
      <c r="E175" s="436">
        <v>0</v>
      </c>
      <c r="F175" s="437"/>
      <c r="H175" s="436">
        <v>0</v>
      </c>
      <c r="I175" s="437"/>
      <c r="K175" s="436">
        <v>0</v>
      </c>
      <c r="L175" s="437"/>
      <c r="N175" s="839">
        <v>383</v>
      </c>
      <c r="O175" s="928"/>
      <c r="P175" s="932"/>
      <c r="Q175" s="933">
        <v>0</v>
      </c>
      <c r="R175" s="437"/>
      <c r="T175" s="40">
        <v>0</v>
      </c>
      <c r="U175" s="437"/>
      <c r="W175" s="40">
        <v>0</v>
      </c>
      <c r="X175" s="928"/>
      <c r="Y175" s="932"/>
      <c r="Z175" s="933">
        <v>0</v>
      </c>
    </row>
    <row r="176" spans="1:26" outlineLevel="2" x14ac:dyDescent="0.25">
      <c r="A176" s="431" t="s">
        <v>569</v>
      </c>
      <c r="B176" s="432" t="s">
        <v>575</v>
      </c>
      <c r="C176" s="434">
        <v>6</v>
      </c>
      <c r="D176" s="434"/>
      <c r="E176" s="433">
        <v>114536</v>
      </c>
      <c r="F176" s="434">
        <v>6</v>
      </c>
      <c r="H176" s="433">
        <v>104536</v>
      </c>
      <c r="I176" s="434">
        <v>6</v>
      </c>
      <c r="K176" s="433">
        <v>104536</v>
      </c>
      <c r="L176" s="434">
        <v>6</v>
      </c>
      <c r="N176" s="339">
        <v>274697</v>
      </c>
      <c r="O176" s="931">
        <v>19</v>
      </c>
      <c r="P176" s="932"/>
      <c r="Q176" s="921">
        <f>SUM(Q177:Q180)</f>
        <v>283364</v>
      </c>
      <c r="R176" s="434">
        <v>19</v>
      </c>
      <c r="T176" s="339">
        <f>SUM(T177:T180)</f>
        <v>283364</v>
      </c>
      <c r="U176" s="434">
        <v>19</v>
      </c>
      <c r="W176" s="339">
        <f>SUM(W177:W180)</f>
        <v>283364</v>
      </c>
      <c r="X176" s="931">
        <v>19</v>
      </c>
      <c r="Y176" s="932"/>
      <c r="Z176" s="921">
        <f>SUM(Z177:Z180)</f>
        <v>283892</v>
      </c>
    </row>
    <row r="177" spans="1:26" outlineLevel="3" x14ac:dyDescent="0.25">
      <c r="A177" s="431"/>
      <c r="B177" s="418" t="s">
        <v>286</v>
      </c>
      <c r="C177" s="437"/>
      <c r="D177" s="437"/>
      <c r="E177" s="436">
        <v>15371</v>
      </c>
      <c r="F177" s="437"/>
      <c r="H177" s="436">
        <v>15371</v>
      </c>
      <c r="I177" s="437"/>
      <c r="K177" s="436">
        <v>15371</v>
      </c>
      <c r="L177" s="437"/>
      <c r="N177" s="839">
        <v>48667</v>
      </c>
      <c r="O177" s="928"/>
      <c r="P177" s="932"/>
      <c r="Q177" s="933">
        <v>50726</v>
      </c>
      <c r="R177" s="437"/>
      <c r="T177" s="40">
        <v>50726</v>
      </c>
      <c r="U177" s="437"/>
      <c r="W177" s="40">
        <v>50726</v>
      </c>
      <c r="X177" s="928"/>
      <c r="Y177" s="932"/>
      <c r="Z177" s="933">
        <f>50726+450</f>
        <v>51176</v>
      </c>
    </row>
    <row r="178" spans="1:26" outlineLevel="3" x14ac:dyDescent="0.25">
      <c r="A178" s="431"/>
      <c r="B178" s="418" t="s">
        <v>350</v>
      </c>
      <c r="C178" s="437"/>
      <c r="D178" s="437"/>
      <c r="E178" s="436">
        <v>3165</v>
      </c>
      <c r="F178" s="437"/>
      <c r="H178" s="436">
        <v>3165</v>
      </c>
      <c r="I178" s="437"/>
      <c r="K178" s="436">
        <v>3165</v>
      </c>
      <c r="L178" s="437"/>
      <c r="N178" s="839">
        <v>9490</v>
      </c>
      <c r="O178" s="928"/>
      <c r="P178" s="932"/>
      <c r="Q178" s="933">
        <v>9638</v>
      </c>
      <c r="R178" s="437"/>
      <c r="T178" s="40">
        <v>9638</v>
      </c>
      <c r="U178" s="437"/>
      <c r="W178" s="40">
        <v>9638</v>
      </c>
      <c r="X178" s="928"/>
      <c r="Y178" s="932"/>
      <c r="Z178" s="933">
        <f>9638+79-1</f>
        <v>9716</v>
      </c>
    </row>
    <row r="179" spans="1:26" outlineLevel="3" x14ac:dyDescent="0.25">
      <c r="A179" s="431"/>
      <c r="B179" s="418" t="s">
        <v>292</v>
      </c>
      <c r="C179" s="437"/>
      <c r="D179" s="437"/>
      <c r="E179" s="436">
        <v>96000</v>
      </c>
      <c r="F179" s="437"/>
      <c r="H179" s="436">
        <v>86000</v>
      </c>
      <c r="I179" s="437"/>
      <c r="K179" s="436">
        <v>86000</v>
      </c>
      <c r="L179" s="437"/>
      <c r="N179" s="839">
        <v>216540</v>
      </c>
      <c r="O179" s="928"/>
      <c r="P179" s="932"/>
      <c r="Q179" s="933">
        <v>223000</v>
      </c>
      <c r="R179" s="437"/>
      <c r="T179" s="40">
        <v>223000</v>
      </c>
      <c r="U179" s="437"/>
      <c r="W179" s="40">
        <v>223000</v>
      </c>
      <c r="X179" s="928"/>
      <c r="Y179" s="932"/>
      <c r="Z179" s="933">
        <v>223000</v>
      </c>
    </row>
    <row r="180" spans="1:26" outlineLevel="3" x14ac:dyDescent="0.25">
      <c r="A180" s="431"/>
      <c r="B180" s="418" t="s">
        <v>351</v>
      </c>
      <c r="C180" s="437"/>
      <c r="D180" s="437"/>
      <c r="E180" s="436">
        <v>0</v>
      </c>
      <c r="F180" s="437"/>
      <c r="H180" s="436">
        <v>0</v>
      </c>
      <c r="I180" s="437"/>
      <c r="K180" s="436">
        <v>0</v>
      </c>
      <c r="L180" s="437"/>
      <c r="O180" s="928"/>
      <c r="P180" s="932"/>
      <c r="Q180" s="932"/>
      <c r="R180" s="437"/>
      <c r="U180" s="437"/>
      <c r="X180" s="928"/>
      <c r="Y180" s="932"/>
      <c r="Z180" s="932"/>
    </row>
    <row r="181" spans="1:26" hidden="1" outlineLevel="2" collapsed="1" x14ac:dyDescent="0.25">
      <c r="A181" s="431" t="s">
        <v>570</v>
      </c>
      <c r="B181" s="432" t="s">
        <v>1457</v>
      </c>
      <c r="C181" s="434">
        <v>13</v>
      </c>
      <c r="D181" s="434"/>
      <c r="E181" s="433">
        <v>186130</v>
      </c>
      <c r="F181" s="434">
        <v>13</v>
      </c>
      <c r="H181" s="433">
        <v>186130</v>
      </c>
      <c r="I181" s="434">
        <v>13</v>
      </c>
      <c r="K181" s="433">
        <v>186130</v>
      </c>
      <c r="L181" s="434">
        <v>13</v>
      </c>
      <c r="O181" s="931">
        <v>0</v>
      </c>
      <c r="P181" s="932"/>
      <c r="Q181" s="921">
        <v>0</v>
      </c>
      <c r="R181" s="434">
        <v>0</v>
      </c>
      <c r="T181" s="339">
        <v>0</v>
      </c>
      <c r="U181" s="434">
        <v>0</v>
      </c>
      <c r="W181" s="339">
        <v>0</v>
      </c>
      <c r="X181" s="931">
        <v>0</v>
      </c>
      <c r="Y181" s="932"/>
      <c r="Z181" s="921">
        <v>0</v>
      </c>
    </row>
    <row r="182" spans="1:26" hidden="1" outlineLevel="3" x14ac:dyDescent="0.25">
      <c r="A182" s="431"/>
      <c r="B182" s="418"/>
      <c r="C182" s="437"/>
      <c r="D182" s="437"/>
      <c r="E182" s="436">
        <v>34902</v>
      </c>
      <c r="F182" s="437"/>
      <c r="H182" s="436">
        <v>34902</v>
      </c>
      <c r="I182" s="437"/>
      <c r="K182" s="436">
        <v>34902</v>
      </c>
      <c r="L182" s="437"/>
      <c r="O182" s="928"/>
      <c r="P182" s="932"/>
      <c r="Q182" s="932"/>
      <c r="R182" s="437"/>
      <c r="U182" s="437"/>
      <c r="X182" s="928"/>
      <c r="Y182" s="932"/>
      <c r="Z182" s="932"/>
    </row>
    <row r="183" spans="1:26" hidden="1" outlineLevel="3" x14ac:dyDescent="0.25">
      <c r="A183" s="431"/>
      <c r="B183" s="418"/>
      <c r="C183" s="437"/>
      <c r="D183" s="437"/>
      <c r="E183" s="436">
        <v>7186</v>
      </c>
      <c r="F183" s="437"/>
      <c r="H183" s="436">
        <v>7186</v>
      </c>
      <c r="I183" s="437"/>
      <c r="K183" s="436">
        <v>7186</v>
      </c>
      <c r="L183" s="437"/>
      <c r="O183" s="928"/>
      <c r="P183" s="932"/>
      <c r="Q183" s="932"/>
      <c r="R183" s="437"/>
      <c r="U183" s="437"/>
      <c r="X183" s="928"/>
      <c r="Y183" s="932"/>
      <c r="Z183" s="932"/>
    </row>
    <row r="184" spans="1:26" hidden="1" outlineLevel="3" x14ac:dyDescent="0.25">
      <c r="A184" s="431"/>
      <c r="B184" s="418"/>
      <c r="C184" s="437"/>
      <c r="D184" s="437"/>
      <c r="E184" s="436">
        <v>143407</v>
      </c>
      <c r="F184" s="437"/>
      <c r="H184" s="436">
        <v>143407</v>
      </c>
      <c r="I184" s="437"/>
      <c r="K184" s="436">
        <v>143407</v>
      </c>
      <c r="L184" s="437"/>
      <c r="O184" s="928"/>
      <c r="P184" s="932"/>
      <c r="Q184" s="932"/>
      <c r="R184" s="437"/>
      <c r="U184" s="437"/>
      <c r="X184" s="928"/>
      <c r="Y184" s="932"/>
      <c r="Z184" s="932"/>
    </row>
    <row r="185" spans="1:26" hidden="1" outlineLevel="3" x14ac:dyDescent="0.25">
      <c r="A185" s="431"/>
      <c r="B185" s="418"/>
      <c r="C185" s="437"/>
      <c r="D185" s="437"/>
      <c r="E185" s="436">
        <v>635</v>
      </c>
      <c r="F185" s="437"/>
      <c r="H185" s="436">
        <v>635</v>
      </c>
      <c r="I185" s="437"/>
      <c r="K185" s="436">
        <v>635</v>
      </c>
      <c r="L185" s="437"/>
      <c r="O185" s="928"/>
      <c r="P185" s="932"/>
      <c r="Q185" s="932"/>
      <c r="R185" s="437"/>
      <c r="U185" s="437"/>
      <c r="X185" s="928"/>
      <c r="Y185" s="932"/>
      <c r="Z185" s="932"/>
    </row>
    <row r="186" spans="1:26" outlineLevel="1" x14ac:dyDescent="0.25">
      <c r="A186" s="666" t="s">
        <v>318</v>
      </c>
      <c r="B186" s="778" t="s">
        <v>353</v>
      </c>
      <c r="C186" s="405">
        <v>0</v>
      </c>
      <c r="D186" s="369">
        <v>0</v>
      </c>
      <c r="E186" s="369">
        <v>0</v>
      </c>
      <c r="F186" s="405">
        <v>0</v>
      </c>
      <c r="G186" s="369">
        <v>0</v>
      </c>
      <c r="H186" s="369">
        <v>0</v>
      </c>
      <c r="I186" s="405">
        <v>0</v>
      </c>
      <c r="J186" s="369">
        <v>0</v>
      </c>
      <c r="K186" s="369">
        <v>0</v>
      </c>
      <c r="L186" s="405">
        <v>0</v>
      </c>
      <c r="M186" s="369">
        <v>0</v>
      </c>
      <c r="N186" s="369">
        <v>0</v>
      </c>
      <c r="O186" s="918">
        <v>0</v>
      </c>
      <c r="P186" s="919">
        <v>0</v>
      </c>
      <c r="Q186" s="919">
        <v>0</v>
      </c>
      <c r="R186" s="405">
        <v>0</v>
      </c>
      <c r="S186" s="369">
        <v>0</v>
      </c>
      <c r="T186" s="369">
        <v>0</v>
      </c>
      <c r="U186" s="405">
        <v>0</v>
      </c>
      <c r="V186" s="369">
        <v>0</v>
      </c>
      <c r="W186" s="369">
        <v>0</v>
      </c>
      <c r="X186" s="918">
        <v>0</v>
      </c>
      <c r="Y186" s="919">
        <v>0</v>
      </c>
      <c r="Z186" s="919">
        <v>0</v>
      </c>
    </row>
    <row r="187" spans="1:26" x14ac:dyDescent="0.25">
      <c r="C187" s="470"/>
      <c r="D187" s="470"/>
      <c r="E187" s="469"/>
      <c r="H187" s="425"/>
      <c r="K187" s="425"/>
    </row>
    <row r="191" spans="1:26" x14ac:dyDescent="0.25">
      <c r="N191" s="40">
        <v>49334</v>
      </c>
    </row>
    <row r="192" spans="1:26" x14ac:dyDescent="0.25">
      <c r="N192" s="40">
        <v>223893</v>
      </c>
    </row>
    <row r="193" spans="2:26" x14ac:dyDescent="0.25">
      <c r="B193" s="42" t="s">
        <v>576</v>
      </c>
      <c r="D193" s="402"/>
      <c r="E193" s="40">
        <v>217607</v>
      </c>
      <c r="H193" s="40">
        <v>222607</v>
      </c>
      <c r="K193" s="40">
        <v>222607</v>
      </c>
      <c r="N193" s="40">
        <v>194799</v>
      </c>
      <c r="Q193" s="40">
        <v>231925.6</v>
      </c>
      <c r="T193" s="40">
        <f>T133+T138+T152+T157+T166+T172+T177+1</f>
        <v>231926</v>
      </c>
      <c r="W193" s="40">
        <f>W133+W138+W152+W157+W166+W172+W177+1</f>
        <v>231926</v>
      </c>
      <c r="Z193" s="40">
        <f>Z133+Z138+Z152+Z157+Z166+Z172+Z177+1</f>
        <v>229144</v>
      </c>
    </row>
    <row r="194" spans="2:26" x14ac:dyDescent="0.25">
      <c r="B194" s="42" t="s">
        <v>577</v>
      </c>
      <c r="D194" s="402"/>
      <c r="E194" s="40">
        <v>49404</v>
      </c>
      <c r="H194" s="40">
        <v>50379</v>
      </c>
      <c r="K194" s="40">
        <v>50379</v>
      </c>
      <c r="N194" s="40">
        <v>43513</v>
      </c>
      <c r="Q194" s="40">
        <v>44065.864000000001</v>
      </c>
      <c r="T194" s="40">
        <f>T134+T139+T153+T158+T167+T173+T178+T183</f>
        <v>44066</v>
      </c>
      <c r="W194" s="40">
        <f>W134+W139+W153+W158+W167+W173+W178+W183</f>
        <v>44066</v>
      </c>
      <c r="Z194" s="40">
        <f>Z134+Z139+Z153+Z158+Z167+Z173+Z178+Z183</f>
        <v>47526</v>
      </c>
    </row>
    <row r="195" spans="2:26" x14ac:dyDescent="0.25">
      <c r="B195" s="42" t="s">
        <v>578</v>
      </c>
      <c r="D195" s="402"/>
      <c r="E195" s="40">
        <v>475727.19999999995</v>
      </c>
      <c r="H195" s="40">
        <v>488013</v>
      </c>
      <c r="K195" s="40">
        <v>488013</v>
      </c>
      <c r="N195" s="40">
        <v>437880</v>
      </c>
      <c r="Q195" s="40">
        <v>463777.77535433078</v>
      </c>
      <c r="T195" s="40">
        <f>T135+T140+T143+T146+T149+T154+T159+T162+T168+T174+T179+T184-1</f>
        <v>469129</v>
      </c>
      <c r="W195" s="40">
        <f>W135+W140+W143+W146+W149+W154+W159+W162+W168+W174+W179+W184-1</f>
        <v>469129</v>
      </c>
      <c r="Z195" s="40">
        <f>Z135+Z140+Z143+Z146+Z149+Z154+Z159+Z162+Z168+Z174+Z179+Z184-1</f>
        <v>467745</v>
      </c>
    </row>
    <row r="196" spans="2:26" x14ac:dyDescent="0.25">
      <c r="B196" s="42" t="s">
        <v>1510</v>
      </c>
      <c r="D196" s="402"/>
      <c r="E196" s="40">
        <v>0</v>
      </c>
      <c r="H196" s="40">
        <v>4953</v>
      </c>
      <c r="K196" s="40">
        <v>4953</v>
      </c>
      <c r="N196" s="40">
        <v>4953</v>
      </c>
      <c r="Q196" s="40">
        <v>0</v>
      </c>
      <c r="T196" s="40">
        <v>0</v>
      </c>
      <c r="W196" s="40">
        <v>0</v>
      </c>
      <c r="Z196" s="40">
        <v>0</v>
      </c>
    </row>
    <row r="197" spans="2:26" x14ac:dyDescent="0.25">
      <c r="B197" s="42" t="s">
        <v>579</v>
      </c>
      <c r="D197" s="402"/>
      <c r="E197" s="40">
        <v>4572</v>
      </c>
      <c r="H197" s="40">
        <v>14550</v>
      </c>
      <c r="K197" s="40">
        <v>14550</v>
      </c>
      <c r="N197" s="40">
        <v>29037</v>
      </c>
      <c r="Q197" s="40">
        <v>14320</v>
      </c>
      <c r="T197" s="40">
        <f>T136+T141+T144+T147+T150+T155+T160+T163+T170+T175+T180+T185</f>
        <v>15590</v>
      </c>
      <c r="W197" s="40">
        <f>W136+W141+W144+W147+W150+W155+W160+W163+W170+W175+W180+W185</f>
        <v>15590</v>
      </c>
      <c r="Z197" s="40">
        <f>Z136+Z141+Z144+Z147+Z150+Z155+Z160+Z163+Z170+Z175+Z180+Z185</f>
        <v>20824</v>
      </c>
    </row>
    <row r="198" spans="2:26" x14ac:dyDescent="0.25">
      <c r="B198" s="42" t="s">
        <v>580</v>
      </c>
      <c r="D198" s="402"/>
      <c r="E198" s="40">
        <v>0</v>
      </c>
      <c r="H198" s="40">
        <v>0</v>
      </c>
      <c r="K198" s="40">
        <v>0</v>
      </c>
      <c r="N198" s="40">
        <v>0</v>
      </c>
      <c r="Q198" s="40">
        <v>0</v>
      </c>
      <c r="T198" s="40">
        <v>0</v>
      </c>
      <c r="W198" s="40">
        <v>0</v>
      </c>
      <c r="Z198" s="40">
        <v>0</v>
      </c>
    </row>
    <row r="199" spans="2:26" x14ac:dyDescent="0.25">
      <c r="B199" s="42" t="s">
        <v>581</v>
      </c>
      <c r="D199" s="402"/>
      <c r="E199" s="40">
        <v>747310.2</v>
      </c>
      <c r="H199" s="40">
        <v>780502</v>
      </c>
      <c r="K199" s="40">
        <v>780502</v>
      </c>
      <c r="N199" s="40">
        <v>710182</v>
      </c>
      <c r="Q199" s="40">
        <v>754089.23935433081</v>
      </c>
      <c r="T199" s="40">
        <f>SUM(T193:T198)</f>
        <v>760711</v>
      </c>
      <c r="W199" s="40">
        <f>SUM(W193:W198)</f>
        <v>760711</v>
      </c>
      <c r="Z199" s="40">
        <f>SUM(Z193:Z198)</f>
        <v>765239</v>
      </c>
    </row>
  </sheetData>
  <mergeCells count="34">
    <mergeCell ref="X2:X3"/>
    <mergeCell ref="Y2:Y3"/>
    <mergeCell ref="Z2:Z3"/>
    <mergeCell ref="X4:Z4"/>
    <mergeCell ref="U2:U3"/>
    <mergeCell ref="V2:V3"/>
    <mergeCell ref="W2:W3"/>
    <mergeCell ref="U4:W4"/>
    <mergeCell ref="F2:F3"/>
    <mergeCell ref="G2:G3"/>
    <mergeCell ref="H2:H3"/>
    <mergeCell ref="F4:H4"/>
    <mergeCell ref="R2:R3"/>
    <mergeCell ref="S2:S3"/>
    <mergeCell ref="T2:T3"/>
    <mergeCell ref="R4:T4"/>
    <mergeCell ref="I2:I3"/>
    <mergeCell ref="J2:J3"/>
    <mergeCell ref="K2:K3"/>
    <mergeCell ref="I4:K4"/>
    <mergeCell ref="O2:O3"/>
    <mergeCell ref="P2:P3"/>
    <mergeCell ref="Q2:Q3"/>
    <mergeCell ref="O4:Q4"/>
    <mergeCell ref="L2:L3"/>
    <mergeCell ref="M2:M3"/>
    <mergeCell ref="N2:N3"/>
    <mergeCell ref="L4:N4"/>
    <mergeCell ref="A2:A4"/>
    <mergeCell ref="C2:C3"/>
    <mergeCell ref="D2:D3"/>
    <mergeCell ref="E2:E3"/>
    <mergeCell ref="C4:E4"/>
    <mergeCell ref="B2:B4"/>
  </mergeCells>
  <printOptions horizontalCentered="1" gridLines="1"/>
  <pageMargins left="0.19685039370078741" right="0.19685039370078741" top="0.78740157480314965" bottom="0.43307086614173229" header="0.15748031496062992" footer="0.15748031496062992"/>
  <pageSetup paperSize="9" scale="56" fitToHeight="0" pageOrder="overThenDown" orientation="portrait" r:id="rId1"/>
  <headerFooter>
    <oddHeader>&amp;L5.  melléklet a ...../2020. (.......) önkormányzati rendelethez&amp;C&amp;"-,Félkövér"&amp;16
A gazdasági szervezettel nem rendelkező költségvetési szervek 2019. évi kiadásai költségvetési szervenként és feladatonként részletes bontásban</oddHeader>
    <oddFooter>&amp;C&amp;P</oddFooter>
  </headerFooter>
  <rowBreaks count="2" manualBreakCount="2">
    <brk id="66" max="25" man="1"/>
    <brk id="186" max="2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9"/>
  <sheetViews>
    <sheetView showZeros="0" view="pageBreakPreview" zoomScale="74" zoomScaleNormal="100" zoomScaleSheetLayoutView="74" workbookViewId="0">
      <selection activeCell="N17" sqref="N17"/>
    </sheetView>
  </sheetViews>
  <sheetFormatPr defaultColWidth="12.28515625" defaultRowHeight="12.75" x14ac:dyDescent="0.2"/>
  <cols>
    <col min="1" max="1" width="57" style="305" customWidth="1"/>
    <col min="2" max="3" width="10.140625" style="307" hidden="1" customWidth="1"/>
    <col min="4" max="4" width="14" style="305" customWidth="1"/>
    <col min="5" max="5" width="12.7109375" style="305" customWidth="1"/>
    <col min="6" max="7" width="12.28515625" style="305" hidden="1" customWidth="1"/>
    <col min="8" max="16384" width="12.28515625" style="305"/>
  </cols>
  <sheetData>
    <row r="1" spans="1:10" s="304" customFormat="1" ht="42.6" customHeight="1" x14ac:dyDescent="0.25">
      <c r="A1" s="1039" t="s">
        <v>1249</v>
      </c>
      <c r="B1" s="1039"/>
      <c r="C1" s="1039"/>
      <c r="D1" s="1039"/>
      <c r="E1" s="1039"/>
      <c r="F1" s="1039"/>
      <c r="G1" s="1039"/>
      <c r="H1" s="1039"/>
      <c r="I1" s="1039"/>
      <c r="J1" s="1039"/>
    </row>
    <row r="2" spans="1:10" ht="39.75" customHeight="1" x14ac:dyDescent="0.2">
      <c r="A2" s="1040" t="s">
        <v>1250</v>
      </c>
      <c r="B2" s="1038" t="s">
        <v>1299</v>
      </c>
      <c r="C2" s="1038"/>
      <c r="D2" s="1038" t="s">
        <v>1384</v>
      </c>
      <c r="E2" s="1041" t="s">
        <v>1740</v>
      </c>
      <c r="F2" s="1038" t="s">
        <v>1676</v>
      </c>
      <c r="G2" s="1038"/>
      <c r="H2" s="1038" t="s">
        <v>1251</v>
      </c>
      <c r="I2" s="1041" t="s">
        <v>1734</v>
      </c>
      <c r="J2" s="1038" t="s">
        <v>1256</v>
      </c>
    </row>
    <row r="3" spans="1:10" s="307" customFormat="1" ht="25.5" x14ac:dyDescent="0.25">
      <c r="A3" s="1040"/>
      <c r="B3" s="306" t="s">
        <v>1252</v>
      </c>
      <c r="C3" s="306" t="s">
        <v>1253</v>
      </c>
      <c r="D3" s="1038"/>
      <c r="E3" s="1041"/>
      <c r="F3" s="645" t="s">
        <v>1252</v>
      </c>
      <c r="G3" s="645" t="s">
        <v>1253</v>
      </c>
      <c r="H3" s="1038"/>
      <c r="I3" s="1041"/>
      <c r="J3" s="1038"/>
    </row>
    <row r="4" spans="1:10" s="307" customFormat="1" x14ac:dyDescent="0.25">
      <c r="A4" s="308"/>
      <c r="B4" s="306"/>
      <c r="C4" s="306"/>
      <c r="D4" s="309" t="s">
        <v>1657</v>
      </c>
      <c r="E4" s="309" t="s">
        <v>1733</v>
      </c>
      <c r="F4" s="645"/>
      <c r="G4" s="645"/>
      <c r="H4" s="309" t="s">
        <v>1657</v>
      </c>
      <c r="I4" s="309" t="s">
        <v>1657</v>
      </c>
      <c r="J4" s="309" t="s">
        <v>1657</v>
      </c>
    </row>
    <row r="5" spans="1:10" s="311" customFormat="1" ht="24" customHeight="1" x14ac:dyDescent="0.25">
      <c r="A5" s="310" t="s">
        <v>1254</v>
      </c>
      <c r="B5" s="310"/>
      <c r="C5" s="310"/>
      <c r="D5" s="310"/>
      <c r="E5" s="310"/>
      <c r="F5" s="310"/>
      <c r="G5" s="310"/>
      <c r="H5" s="310"/>
      <c r="I5" s="885"/>
      <c r="J5" s="310"/>
    </row>
    <row r="6" spans="1:10" s="311" customFormat="1" ht="23.25" customHeight="1" x14ac:dyDescent="0.25">
      <c r="A6" s="312" t="s">
        <v>1227</v>
      </c>
      <c r="B6" s="419">
        <v>7</v>
      </c>
      <c r="C6" s="419">
        <v>1</v>
      </c>
      <c r="D6" s="313">
        <f>'2B Önk kiad'!V5</f>
        <v>16</v>
      </c>
      <c r="E6" s="313">
        <f>16-5</f>
        <v>11</v>
      </c>
      <c r="F6" s="646">
        <v>16</v>
      </c>
      <c r="G6" s="646"/>
      <c r="H6" s="883">
        <f>'2B Önk kiad'!V6</f>
        <v>10</v>
      </c>
      <c r="I6" s="886">
        <v>0</v>
      </c>
      <c r="J6" s="884">
        <v>0</v>
      </c>
    </row>
    <row r="7" spans="1:10" s="311" customFormat="1" ht="23.25" customHeight="1" x14ac:dyDescent="0.25">
      <c r="A7" s="312" t="s">
        <v>992</v>
      </c>
      <c r="B7" s="419">
        <v>69</v>
      </c>
      <c r="C7" s="419">
        <v>2</v>
      </c>
      <c r="D7" s="313">
        <f>'3A PH'!V5</f>
        <v>79</v>
      </c>
      <c r="E7" s="313">
        <f>79+5</f>
        <v>84</v>
      </c>
      <c r="F7" s="646">
        <v>78</v>
      </c>
      <c r="G7" s="646">
        <v>2</v>
      </c>
      <c r="H7" s="313">
        <f>'3A PH'!V6</f>
        <v>0</v>
      </c>
      <c r="I7" s="886">
        <v>0</v>
      </c>
      <c r="J7" s="313">
        <f>'3A PH'!V7</f>
        <v>7</v>
      </c>
    </row>
    <row r="8" spans="1:10" s="318" customFormat="1" ht="23.25" customHeight="1" x14ac:dyDescent="0.25">
      <c r="A8" s="315" t="s">
        <v>1026</v>
      </c>
      <c r="B8" s="317">
        <f t="shared" ref="B8:H8" si="0">SUM(B6:B7)</f>
        <v>76</v>
      </c>
      <c r="C8" s="317">
        <f t="shared" si="0"/>
        <v>3</v>
      </c>
      <c r="D8" s="316">
        <f t="shared" si="0"/>
        <v>95</v>
      </c>
      <c r="E8" s="316">
        <f t="shared" si="0"/>
        <v>95</v>
      </c>
      <c r="F8" s="317">
        <f t="shared" si="0"/>
        <v>94</v>
      </c>
      <c r="G8" s="317">
        <f t="shared" si="0"/>
        <v>2</v>
      </c>
      <c r="H8" s="316">
        <f t="shared" si="0"/>
        <v>10</v>
      </c>
      <c r="I8" s="887">
        <f>SUM(I6:I7)</f>
        <v>0</v>
      </c>
      <c r="J8" s="316">
        <f>SUM(J7:J7)</f>
        <v>7</v>
      </c>
    </row>
    <row r="9" spans="1:10" s="311" customFormat="1" ht="23.25" customHeight="1" x14ac:dyDescent="0.25">
      <c r="A9" s="310" t="s">
        <v>1228</v>
      </c>
      <c r="B9" s="310"/>
      <c r="C9" s="310"/>
      <c r="D9" s="310"/>
      <c r="E9" s="310"/>
      <c r="F9" s="310"/>
      <c r="G9" s="310"/>
      <c r="H9" s="310"/>
      <c r="I9" s="879"/>
      <c r="J9" s="310"/>
    </row>
    <row r="10" spans="1:10" s="304" customFormat="1" ht="23.25" customHeight="1" x14ac:dyDescent="0.25">
      <c r="A10" s="314" t="s">
        <v>347</v>
      </c>
      <c r="B10" s="419">
        <v>12</v>
      </c>
      <c r="C10" s="419">
        <v>1</v>
      </c>
      <c r="D10" s="319">
        <f>'4A Walla'!Q6</f>
        <v>13</v>
      </c>
      <c r="E10" s="319">
        <v>13</v>
      </c>
      <c r="F10" s="646">
        <v>13</v>
      </c>
      <c r="G10" s="646"/>
      <c r="H10" s="319">
        <f>'4A Walla'!I7</f>
        <v>0</v>
      </c>
      <c r="I10" s="838"/>
      <c r="J10" s="319">
        <v>0</v>
      </c>
    </row>
    <row r="11" spans="1:10" s="304" customFormat="1" ht="23.25" customHeight="1" x14ac:dyDescent="0.25">
      <c r="A11" s="314" t="s">
        <v>354</v>
      </c>
      <c r="B11" s="419">
        <v>28</v>
      </c>
      <c r="C11" s="419">
        <v>1</v>
      </c>
      <c r="D11" s="319">
        <f>'4B Nyitnikék'!Q6</f>
        <v>32</v>
      </c>
      <c r="E11" s="319">
        <v>32</v>
      </c>
      <c r="F11" s="646">
        <v>30</v>
      </c>
      <c r="G11" s="646">
        <v>4</v>
      </c>
      <c r="H11" s="320">
        <f>'4B Nyitnikék'!I7</f>
        <v>0</v>
      </c>
      <c r="I11" s="880"/>
      <c r="J11" s="320">
        <v>0</v>
      </c>
    </row>
    <row r="12" spans="1:10" s="304" customFormat="1" ht="23.25" customHeight="1" x14ac:dyDescent="0.25">
      <c r="A12" s="314" t="s">
        <v>355</v>
      </c>
      <c r="B12" s="419">
        <v>53</v>
      </c>
      <c r="C12" s="419">
        <v>4</v>
      </c>
      <c r="D12" s="319">
        <f>'4C Bóbita'!Q6</f>
        <v>56</v>
      </c>
      <c r="E12" s="319">
        <f>56-1+1</f>
        <v>56</v>
      </c>
      <c r="F12" s="646">
        <v>55</v>
      </c>
      <c r="G12" s="646">
        <v>4</v>
      </c>
      <c r="H12" s="319">
        <f>'4C Bóbita'!I7</f>
        <v>0</v>
      </c>
      <c r="I12" s="838"/>
      <c r="J12" s="319">
        <v>0</v>
      </c>
    </row>
    <row r="13" spans="1:10" s="304" customFormat="1" ht="23.25" customHeight="1" x14ac:dyDescent="0.25">
      <c r="A13" s="314" t="s">
        <v>356</v>
      </c>
      <c r="B13" s="419">
        <v>11</v>
      </c>
      <c r="C13" s="419">
        <v>3</v>
      </c>
      <c r="D13" s="319">
        <f>+'4D MMMH'!Q6</f>
        <v>17</v>
      </c>
      <c r="E13" s="319">
        <v>17</v>
      </c>
      <c r="F13" s="646">
        <v>17</v>
      </c>
      <c r="G13" s="646">
        <v>0</v>
      </c>
      <c r="H13" s="320">
        <f>'4D MMMH'!I7</f>
        <v>0</v>
      </c>
      <c r="I13" s="880"/>
      <c r="J13" s="320">
        <v>0</v>
      </c>
    </row>
    <row r="14" spans="1:10" s="304" customFormat="1" ht="23.25" customHeight="1" x14ac:dyDescent="0.25">
      <c r="A14" s="314" t="s">
        <v>1234</v>
      </c>
      <c r="B14" s="419">
        <v>4</v>
      </c>
      <c r="C14" s="419">
        <v>1</v>
      </c>
      <c r="D14" s="319">
        <f>+'4E Könyvtár'!Q6</f>
        <v>5.5</v>
      </c>
      <c r="E14" s="319">
        <v>5.5</v>
      </c>
      <c r="F14" s="646">
        <v>5</v>
      </c>
      <c r="G14" s="646">
        <v>1</v>
      </c>
      <c r="H14" s="320">
        <f>'4E Könyvtár'!I7</f>
        <v>0</v>
      </c>
      <c r="I14" s="880"/>
      <c r="J14" s="320">
        <v>0</v>
      </c>
    </row>
    <row r="15" spans="1:10" s="304" customFormat="1" ht="23.25" customHeight="1" x14ac:dyDescent="0.25">
      <c r="A15" s="314" t="s">
        <v>362</v>
      </c>
      <c r="B15" s="419">
        <v>13</v>
      </c>
      <c r="C15" s="419">
        <v>4</v>
      </c>
      <c r="D15" s="319">
        <f>'4F Segítő Kéz'!Q6</f>
        <v>17</v>
      </c>
      <c r="E15" s="319">
        <f>17+1</f>
        <v>18</v>
      </c>
      <c r="F15" s="646">
        <v>15</v>
      </c>
      <c r="G15" s="646">
        <v>4</v>
      </c>
      <c r="H15" s="319">
        <f>'4F Segítő Kéz'!I7</f>
        <v>0</v>
      </c>
      <c r="I15" s="838"/>
      <c r="J15" s="319">
        <v>0</v>
      </c>
    </row>
    <row r="16" spans="1:10" s="304" customFormat="1" ht="23.25" customHeight="1" x14ac:dyDescent="0.25">
      <c r="A16" s="314" t="s">
        <v>1301</v>
      </c>
      <c r="B16" s="419">
        <v>22</v>
      </c>
      <c r="C16" s="419"/>
      <c r="D16" s="319">
        <f>+'4G Szérüskert'!Q6</f>
        <v>24</v>
      </c>
      <c r="E16" s="319">
        <v>24</v>
      </c>
      <c r="F16" s="646">
        <v>24</v>
      </c>
      <c r="G16" s="646"/>
      <c r="H16" s="319"/>
      <c r="I16" s="838"/>
      <c r="J16" s="319"/>
    </row>
    <row r="17" spans="1:10" s="304" customFormat="1" ht="23.25" customHeight="1" x14ac:dyDescent="0.25">
      <c r="A17" s="314" t="s">
        <v>995</v>
      </c>
      <c r="B17" s="837"/>
      <c r="C17" s="837"/>
      <c r="D17" s="838">
        <v>69.5</v>
      </c>
      <c r="E17" s="978">
        <f>69.5-1+0.25</f>
        <v>68.75</v>
      </c>
      <c r="F17" s="837">
        <v>67</v>
      </c>
      <c r="G17" s="837">
        <v>5</v>
      </c>
      <c r="H17" s="838"/>
      <c r="I17" s="838"/>
      <c r="J17" s="838"/>
    </row>
    <row r="18" spans="1:10" s="318" customFormat="1" ht="23.25" customHeight="1" x14ac:dyDescent="0.25">
      <c r="A18" s="315" t="s">
        <v>1026</v>
      </c>
      <c r="B18" s="472">
        <f>SUM(B10:B16)</f>
        <v>143</v>
      </c>
      <c r="C18" s="472">
        <f>SUM(C10:C15)</f>
        <v>14</v>
      </c>
      <c r="D18" s="321">
        <f>SUM(D10:D17)</f>
        <v>234</v>
      </c>
      <c r="E18" s="979">
        <f>SUM(E10:E17)</f>
        <v>234.25</v>
      </c>
      <c r="F18" s="472">
        <f>SUM(F10:F17)</f>
        <v>226</v>
      </c>
      <c r="G18" s="472">
        <f>SUM(G10:G17)</f>
        <v>18</v>
      </c>
      <c r="H18" s="321">
        <f t="shared" ref="H18:J18" si="1">SUM(H10:H15)</f>
        <v>0</v>
      </c>
      <c r="I18" s="881">
        <v>0</v>
      </c>
      <c r="J18" s="321">
        <f t="shared" si="1"/>
        <v>0</v>
      </c>
    </row>
    <row r="19" spans="1:10" s="324" customFormat="1" ht="23.25" customHeight="1" x14ac:dyDescent="0.25">
      <c r="A19" s="322" t="s">
        <v>1255</v>
      </c>
      <c r="B19" s="471">
        <f>B18+B8</f>
        <v>219</v>
      </c>
      <c r="C19" s="471">
        <f>C18+C8</f>
        <v>17</v>
      </c>
      <c r="D19" s="323">
        <f>D18+D8</f>
        <v>329</v>
      </c>
      <c r="E19" s="980">
        <f t="shared" ref="E19" si="2">E18+E8</f>
        <v>329.25</v>
      </c>
      <c r="F19" s="471">
        <f>F18+F8</f>
        <v>320</v>
      </c>
      <c r="G19" s="471">
        <f>G18+G8</f>
        <v>20</v>
      </c>
      <c r="H19" s="323">
        <f>H18+H8</f>
        <v>10</v>
      </c>
      <c r="I19" s="882"/>
      <c r="J19" s="323">
        <f>J18+J8</f>
        <v>7</v>
      </c>
    </row>
  </sheetData>
  <mergeCells count="9">
    <mergeCell ref="D2:D3"/>
    <mergeCell ref="F2:G2"/>
    <mergeCell ref="H2:H3"/>
    <mergeCell ref="J2:J3"/>
    <mergeCell ref="A1:J1"/>
    <mergeCell ref="A2:A3"/>
    <mergeCell ref="B2:C2"/>
    <mergeCell ref="E2:E3"/>
    <mergeCell ref="I2:I3"/>
  </mergeCells>
  <pageMargins left="0.78740157480314965" right="0.78740157480314965" top="1.0236220472440944" bottom="1.0236220472440944" header="0.78740157480314965" footer="0.78740157480314965"/>
  <pageSetup paperSize="9" scale="64" firstPageNumber="0" fitToHeight="0" orientation="portrait" r:id="rId1"/>
  <headerFooter alignWithMargins="0">
    <oddHeader>&amp;L 6. melléklet a ...../2020. (.......) önkormányzati rendelethez</oddHeader>
    <oddFooter>&amp;C&amp;10&amp;P&amp;R&amp;10&amp;D 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20"/>
  <sheetViews>
    <sheetView showZeros="0" view="pageBreakPreview" topLeftCell="A25" zoomScale="75" zoomScaleNormal="100" zoomScaleSheetLayoutView="75" workbookViewId="0">
      <selection activeCell="A30" sqref="A30"/>
    </sheetView>
  </sheetViews>
  <sheetFormatPr defaultColWidth="9.140625" defaultRowHeight="15" x14ac:dyDescent="0.2"/>
  <cols>
    <col min="1" max="1" width="5.7109375" style="476" bestFit="1" customWidth="1"/>
    <col min="2" max="2" width="57.85546875" style="477" customWidth="1"/>
    <col min="3" max="7" width="15" style="477" customWidth="1"/>
    <col min="8" max="11" width="15.7109375" style="477" hidden="1" customWidth="1"/>
    <col min="12" max="12" width="12.28515625" style="477" hidden="1" customWidth="1"/>
    <col min="13" max="13" width="9.7109375" style="490" customWidth="1"/>
    <col min="14" max="14" width="13.28515625" style="751" customWidth="1"/>
    <col min="15" max="15" width="18.140625" style="480" customWidth="1"/>
    <col min="16" max="16" width="10.7109375" style="477" customWidth="1"/>
    <col min="17" max="17" width="12" style="477" customWidth="1"/>
    <col min="18" max="18" width="9.140625" style="477" customWidth="1"/>
    <col min="19" max="19" width="9.85546875" style="477" customWidth="1"/>
    <col min="20" max="16384" width="9.140625" style="477"/>
  </cols>
  <sheetData>
    <row r="1" spans="1:19" s="475" customFormat="1" ht="21" x14ac:dyDescent="0.35">
      <c r="A1" s="1042" t="s">
        <v>984</v>
      </c>
      <c r="B1" s="1042"/>
      <c r="C1" s="1042"/>
      <c r="D1" s="496"/>
      <c r="E1" s="525"/>
      <c r="F1" s="689"/>
      <c r="G1" s="647"/>
      <c r="H1" s="691"/>
      <c r="I1" s="725"/>
      <c r="J1" s="749"/>
      <c r="K1" s="773"/>
      <c r="L1" s="749"/>
      <c r="M1" s="473"/>
      <c r="N1" s="750"/>
      <c r="O1" s="474"/>
      <c r="S1" s="503"/>
    </row>
    <row r="3" spans="1:19" x14ac:dyDescent="0.2">
      <c r="D3" s="478"/>
      <c r="E3" s="478"/>
      <c r="F3" s="478"/>
      <c r="G3" s="478" t="s">
        <v>302</v>
      </c>
      <c r="H3" s="478"/>
      <c r="I3" s="478"/>
      <c r="K3" s="478"/>
      <c r="L3" s="478" t="s">
        <v>302</v>
      </c>
      <c r="M3" s="479"/>
      <c r="N3" s="752"/>
    </row>
    <row r="4" spans="1:19" s="482" customFormat="1" ht="50.25" customHeight="1" x14ac:dyDescent="0.25">
      <c r="A4" s="693" t="s">
        <v>985</v>
      </c>
      <c r="B4" s="694" t="s">
        <v>306</v>
      </c>
      <c r="C4" s="695" t="s">
        <v>1461</v>
      </c>
      <c r="D4" s="695" t="s">
        <v>1487</v>
      </c>
      <c r="E4" s="695" t="s">
        <v>1526</v>
      </c>
      <c r="F4" s="695" t="s">
        <v>1496</v>
      </c>
      <c r="G4" s="695" t="s">
        <v>1499</v>
      </c>
      <c r="H4" s="695" t="s">
        <v>1500</v>
      </c>
      <c r="I4" s="695" t="s">
        <v>1506</v>
      </c>
      <c r="J4" s="695" t="s">
        <v>1507</v>
      </c>
      <c r="K4" s="695" t="s">
        <v>1508</v>
      </c>
      <c r="L4" s="695" t="s">
        <v>1472</v>
      </c>
      <c r="M4" s="385" t="s">
        <v>1260</v>
      </c>
      <c r="N4" s="753" t="s">
        <v>989</v>
      </c>
      <c r="O4" s="481" t="s">
        <v>986</v>
      </c>
      <c r="P4" s="482" t="s">
        <v>987</v>
      </c>
      <c r="Q4" s="482" t="s">
        <v>988</v>
      </c>
    </row>
    <row r="5" spans="1:19" s="482" customFormat="1" x14ac:dyDescent="0.25">
      <c r="A5" s="696" t="s">
        <v>309</v>
      </c>
      <c r="B5" s="697" t="s">
        <v>990</v>
      </c>
      <c r="C5" s="698">
        <f>C6+C23+C33+C38+C42+C60+C63+C80+C77+C62+C78+C92+1</f>
        <v>1500085.24</v>
      </c>
      <c r="D5" s="698">
        <f t="shared" ref="D5:L5" si="0">D6+D23+D33+D38+D42+D60+D63+D80+D77+D62+D78+D92</f>
        <v>1707200.5</v>
      </c>
      <c r="E5" s="698">
        <f t="shared" si="0"/>
        <v>1707200.5</v>
      </c>
      <c r="F5" s="698">
        <f t="shared" si="0"/>
        <v>0</v>
      </c>
      <c r="G5" s="698">
        <f t="shared" si="0"/>
        <v>0</v>
      </c>
      <c r="H5" s="698">
        <f t="shared" si="0"/>
        <v>0</v>
      </c>
      <c r="I5" s="698">
        <f t="shared" si="0"/>
        <v>0</v>
      </c>
      <c r="J5" s="698">
        <f t="shared" si="0"/>
        <v>0</v>
      </c>
      <c r="K5" s="698">
        <f t="shared" si="0"/>
        <v>0</v>
      </c>
      <c r="L5" s="698">
        <f t="shared" si="0"/>
        <v>0</v>
      </c>
      <c r="M5" s="385"/>
      <c r="N5" s="753"/>
      <c r="O5" s="761" t="s">
        <v>1473</v>
      </c>
      <c r="P5" s="770"/>
      <c r="R5" s="770"/>
    </row>
    <row r="6" spans="1:19" s="482" customFormat="1" x14ac:dyDescent="0.25">
      <c r="A6" s="699" t="s">
        <v>311</v>
      </c>
      <c r="B6" s="700" t="s">
        <v>1144</v>
      </c>
      <c r="C6" s="701">
        <f t="shared" ref="C6" si="1">SUM(C7:C21)</f>
        <v>238245</v>
      </c>
      <c r="D6" s="701">
        <f t="shared" ref="D6:E6" si="2">SUM(D7:D22)</f>
        <v>175688</v>
      </c>
      <c r="E6" s="701">
        <f t="shared" si="2"/>
        <v>175688</v>
      </c>
      <c r="F6" s="701">
        <f t="shared" ref="F6:L6" si="3">SUM(F7:F21)</f>
        <v>0</v>
      </c>
      <c r="G6" s="701">
        <f t="shared" si="3"/>
        <v>0</v>
      </c>
      <c r="H6" s="701">
        <f t="shared" si="3"/>
        <v>0</v>
      </c>
      <c r="I6" s="701">
        <f t="shared" si="3"/>
        <v>0</v>
      </c>
      <c r="J6" s="701">
        <f>SUM(J7:J22)</f>
        <v>0</v>
      </c>
      <c r="K6" s="701">
        <f>SUM(K7:K22)</f>
        <v>0</v>
      </c>
      <c r="L6" s="701">
        <f t="shared" si="3"/>
        <v>0</v>
      </c>
      <c r="M6" s="386"/>
      <c r="N6" s="754"/>
      <c r="O6" s="761"/>
      <c r="P6" s="737"/>
      <c r="Q6" s="202"/>
    </row>
    <row r="7" spans="1:19" s="482" customFormat="1" x14ac:dyDescent="0.25">
      <c r="A7" s="702"/>
      <c r="B7" s="703" t="s">
        <v>1324</v>
      </c>
      <c r="C7" s="705">
        <f>92384+4978+8974+406+921+249+3000+1016+15000</f>
        <v>126928</v>
      </c>
      <c r="D7" s="704">
        <f t="shared" ref="D7:E7" si="4">88809-10279</f>
        <v>78530</v>
      </c>
      <c r="E7" s="704">
        <f t="shared" si="4"/>
        <v>78530</v>
      </c>
      <c r="F7" s="705"/>
      <c r="G7" s="705"/>
      <c r="H7" s="704">
        <f t="shared" ref="H7:H15" si="5">+G7</f>
        <v>0</v>
      </c>
      <c r="I7" s="704"/>
      <c r="J7" s="704"/>
      <c r="K7" s="704"/>
      <c r="L7" s="704"/>
      <c r="M7" s="387" t="s">
        <v>1284</v>
      </c>
      <c r="N7" s="755" t="s">
        <v>1294</v>
      </c>
      <c r="O7" s="761">
        <v>18595</v>
      </c>
      <c r="P7" s="410"/>
      <c r="Q7" s="410"/>
    </row>
    <row r="8" spans="1:19" s="482" customFormat="1" ht="28.5" x14ac:dyDescent="0.25">
      <c r="A8" s="702"/>
      <c r="B8" s="703" t="s">
        <v>1362</v>
      </c>
      <c r="C8" s="705">
        <v>8828</v>
      </c>
      <c r="D8" s="704">
        <v>8828</v>
      </c>
      <c r="E8" s="704">
        <v>8828</v>
      </c>
      <c r="F8" s="705"/>
      <c r="G8" s="705"/>
      <c r="H8" s="704">
        <f t="shared" si="5"/>
        <v>0</v>
      </c>
      <c r="I8" s="704"/>
      <c r="J8" s="704"/>
      <c r="K8" s="704"/>
      <c r="L8" s="704"/>
      <c r="M8" s="387" t="s">
        <v>1284</v>
      </c>
      <c r="N8" s="755" t="s">
        <v>1342</v>
      </c>
      <c r="O8" s="761"/>
      <c r="P8" s="410"/>
      <c r="Q8" s="410"/>
    </row>
    <row r="9" spans="1:19" s="482" customFormat="1" x14ac:dyDescent="0.25">
      <c r="A9" s="702"/>
      <c r="B9" s="703" t="s">
        <v>1363</v>
      </c>
      <c r="C9" s="705">
        <v>6985</v>
      </c>
      <c r="D9" s="704">
        <f t="shared" ref="D9:E9" si="6">6985+635</f>
        <v>7620</v>
      </c>
      <c r="E9" s="704">
        <f t="shared" si="6"/>
        <v>7620</v>
      </c>
      <c r="F9" s="705"/>
      <c r="G9" s="705"/>
      <c r="H9" s="704">
        <f t="shared" si="5"/>
        <v>0</v>
      </c>
      <c r="I9" s="704"/>
      <c r="J9" s="704"/>
      <c r="K9" s="704"/>
      <c r="L9" s="704"/>
      <c r="M9" s="387" t="s">
        <v>1284</v>
      </c>
      <c r="N9" s="755" t="s">
        <v>1393</v>
      </c>
      <c r="O9" s="761">
        <v>351</v>
      </c>
      <c r="P9" s="410"/>
      <c r="Q9" s="410"/>
    </row>
    <row r="10" spans="1:19" s="482" customFormat="1" x14ac:dyDescent="0.25">
      <c r="A10" s="702"/>
      <c r="B10" s="703" t="s">
        <v>1325</v>
      </c>
      <c r="C10" s="705">
        <v>2540</v>
      </c>
      <c r="D10" s="704">
        <v>2540</v>
      </c>
      <c r="E10" s="704">
        <v>2540</v>
      </c>
      <c r="F10" s="705"/>
      <c r="G10" s="705"/>
      <c r="H10" s="704">
        <f t="shared" si="5"/>
        <v>0</v>
      </c>
      <c r="I10" s="704"/>
      <c r="J10" s="704"/>
      <c r="K10" s="704"/>
      <c r="L10" s="704"/>
      <c r="M10" s="387" t="s">
        <v>1284</v>
      </c>
      <c r="N10" s="755" t="s">
        <v>1344</v>
      </c>
      <c r="O10" s="761"/>
      <c r="P10" s="410"/>
      <c r="Q10" s="410"/>
    </row>
    <row r="11" spans="1:19" s="482" customFormat="1" x14ac:dyDescent="0.25">
      <c r="A11" s="699"/>
      <c r="B11" s="707" t="s">
        <v>1326</v>
      </c>
      <c r="C11" s="705">
        <v>3000</v>
      </c>
      <c r="D11" s="704">
        <f t="shared" ref="D11:E11" si="7">3000-3000</f>
        <v>0</v>
      </c>
      <c r="E11" s="704">
        <f t="shared" si="7"/>
        <v>0</v>
      </c>
      <c r="F11" s="705"/>
      <c r="G11" s="705"/>
      <c r="H11" s="704">
        <f t="shared" si="5"/>
        <v>0</v>
      </c>
      <c r="I11" s="704"/>
      <c r="J11" s="704"/>
      <c r="K11" s="704"/>
      <c r="L11" s="704"/>
      <c r="M11" s="387" t="s">
        <v>1351</v>
      </c>
      <c r="N11" s="755" t="s">
        <v>1285</v>
      </c>
      <c r="O11" s="761"/>
      <c r="P11" s="242"/>
      <c r="Q11" s="242"/>
    </row>
    <row r="12" spans="1:19" s="482" customFormat="1" x14ac:dyDescent="0.25">
      <c r="A12" s="699"/>
      <c r="B12" s="707" t="s">
        <v>1333</v>
      </c>
      <c r="C12" s="705">
        <f>4191</f>
        <v>4191</v>
      </c>
      <c r="D12" s="704">
        <v>4191</v>
      </c>
      <c r="E12" s="704">
        <v>4191</v>
      </c>
      <c r="F12" s="705"/>
      <c r="G12" s="705"/>
      <c r="H12" s="704">
        <f t="shared" si="5"/>
        <v>0</v>
      </c>
      <c r="I12" s="704"/>
      <c r="J12" s="704"/>
      <c r="K12" s="704"/>
      <c r="L12" s="704"/>
      <c r="M12" s="387" t="s">
        <v>1284</v>
      </c>
      <c r="N12" s="755" t="s">
        <v>1343</v>
      </c>
      <c r="O12" s="761"/>
      <c r="P12" s="242"/>
      <c r="Q12" s="242"/>
    </row>
    <row r="13" spans="1:19" s="482" customFormat="1" ht="28.5" x14ac:dyDescent="0.25">
      <c r="A13" s="699"/>
      <c r="B13" s="707" t="s">
        <v>1364</v>
      </c>
      <c r="C13" s="705">
        <v>28598</v>
      </c>
      <c r="D13" s="704">
        <v>28598</v>
      </c>
      <c r="E13" s="704">
        <v>28598</v>
      </c>
      <c r="F13" s="705"/>
      <c r="G13" s="705"/>
      <c r="H13" s="704">
        <f t="shared" si="5"/>
        <v>0</v>
      </c>
      <c r="I13" s="704"/>
      <c r="J13" s="704"/>
      <c r="K13" s="704"/>
      <c r="L13" s="704"/>
      <c r="M13" s="387" t="s">
        <v>1284</v>
      </c>
      <c r="N13" s="755" t="s">
        <v>1396</v>
      </c>
      <c r="O13" s="761"/>
      <c r="P13" s="242"/>
      <c r="Q13" s="242"/>
    </row>
    <row r="14" spans="1:19" s="654" customFormat="1" ht="28.5" customHeight="1" x14ac:dyDescent="0.25">
      <c r="A14" s="693"/>
      <c r="B14" s="708" t="s">
        <v>1492</v>
      </c>
      <c r="C14" s="705">
        <f>5000+20000</f>
        <v>25000</v>
      </c>
      <c r="D14" s="704">
        <f t="shared" ref="D14:E14" si="8">25000+1983</f>
        <v>26983</v>
      </c>
      <c r="E14" s="704">
        <f t="shared" si="8"/>
        <v>26983</v>
      </c>
      <c r="F14" s="705"/>
      <c r="G14" s="705"/>
      <c r="H14" s="704">
        <f t="shared" si="5"/>
        <v>0</v>
      </c>
      <c r="I14" s="704"/>
      <c r="J14" s="704"/>
      <c r="K14" s="704"/>
      <c r="L14" s="704"/>
      <c r="M14" s="652" t="s">
        <v>1284</v>
      </c>
      <c r="N14" s="756" t="s">
        <v>1343</v>
      </c>
      <c r="O14" s="762"/>
      <c r="P14" s="653"/>
      <c r="Q14" s="653"/>
    </row>
    <row r="15" spans="1:19" s="482" customFormat="1" ht="28.5" x14ac:dyDescent="0.25">
      <c r="A15" s="699"/>
      <c r="B15" s="707" t="s">
        <v>1432</v>
      </c>
      <c r="C15" s="705">
        <v>175</v>
      </c>
      <c r="D15" s="704">
        <v>175</v>
      </c>
      <c r="E15" s="704">
        <v>175</v>
      </c>
      <c r="F15" s="705"/>
      <c r="G15" s="705"/>
      <c r="H15" s="704">
        <f t="shared" si="5"/>
        <v>0</v>
      </c>
      <c r="I15" s="704"/>
      <c r="J15" s="704"/>
      <c r="K15" s="704"/>
      <c r="L15" s="704"/>
      <c r="M15" s="387"/>
      <c r="N15" s="755" t="s">
        <v>1391</v>
      </c>
      <c r="O15" s="761"/>
      <c r="P15" s="242"/>
      <c r="Q15" s="242"/>
    </row>
    <row r="16" spans="1:19" s="482" customFormat="1" ht="18" customHeight="1" x14ac:dyDescent="0.25">
      <c r="A16" s="699"/>
      <c r="B16" s="707"/>
      <c r="C16" s="705"/>
      <c r="D16" s="704">
        <f t="shared" ref="D16:E16" si="9">+C16</f>
        <v>0</v>
      </c>
      <c r="E16" s="704">
        <f t="shared" si="9"/>
        <v>0</v>
      </c>
      <c r="F16" s="705"/>
      <c r="G16" s="705"/>
      <c r="H16" s="704"/>
      <c r="I16" s="704"/>
      <c r="J16" s="704"/>
      <c r="K16" s="704"/>
      <c r="L16" s="704"/>
      <c r="M16" s="387"/>
      <c r="N16" s="755" t="s">
        <v>1390</v>
      </c>
      <c r="O16" s="761"/>
      <c r="P16" s="242"/>
      <c r="Q16" s="242"/>
    </row>
    <row r="17" spans="1:17" s="657" customFormat="1" x14ac:dyDescent="0.25">
      <c r="A17" s="709"/>
      <c r="B17" s="707" t="s">
        <v>1433</v>
      </c>
      <c r="C17" s="705">
        <v>6000</v>
      </c>
      <c r="D17" s="704">
        <f t="shared" ref="D17:E17" si="10">6000+318+1905</f>
        <v>8223</v>
      </c>
      <c r="E17" s="704">
        <f t="shared" si="10"/>
        <v>8223</v>
      </c>
      <c r="F17" s="705"/>
      <c r="G17" s="705"/>
      <c r="H17" s="704"/>
      <c r="I17" s="704"/>
      <c r="J17" s="704"/>
      <c r="K17" s="704"/>
      <c r="L17" s="704"/>
      <c r="M17" s="655" t="s">
        <v>1284</v>
      </c>
      <c r="N17" s="757"/>
      <c r="O17" s="763"/>
      <c r="P17" s="656"/>
      <c r="Q17" s="656"/>
    </row>
    <row r="18" spans="1:17" s="657" customFormat="1" x14ac:dyDescent="0.25">
      <c r="A18" s="709">
        <v>1901</v>
      </c>
      <c r="B18" s="707" t="s">
        <v>1434</v>
      </c>
      <c r="C18" s="706">
        <v>26000</v>
      </c>
      <c r="D18" s="704">
        <f t="shared" ref="D18:E18" si="11">26000-25000-1000</f>
        <v>0</v>
      </c>
      <c r="E18" s="704">
        <f t="shared" si="11"/>
        <v>0</v>
      </c>
      <c r="F18" s="706"/>
      <c r="G18" s="706"/>
      <c r="H18" s="704"/>
      <c r="I18" s="704"/>
      <c r="J18" s="704"/>
      <c r="K18" s="704"/>
      <c r="L18" s="704"/>
      <c r="M18" s="655"/>
      <c r="N18" s="757"/>
      <c r="O18" s="763"/>
      <c r="P18" s="656"/>
      <c r="Q18" s="656"/>
    </row>
    <row r="19" spans="1:17" s="482" customFormat="1" x14ac:dyDescent="0.25">
      <c r="A19" s="699"/>
      <c r="B19" s="707"/>
      <c r="C19" s="705"/>
      <c r="D19" s="705"/>
      <c r="E19" s="705"/>
      <c r="F19" s="706"/>
      <c r="G19" s="705"/>
      <c r="H19" s="705"/>
      <c r="I19" s="705"/>
      <c r="J19" s="705"/>
      <c r="K19" s="705"/>
      <c r="L19" s="705"/>
      <c r="M19" s="686"/>
      <c r="N19" s="755"/>
      <c r="O19" s="761"/>
      <c r="P19" s="242"/>
      <c r="Q19" s="242"/>
    </row>
    <row r="20" spans="1:17" s="482" customFormat="1" x14ac:dyDescent="0.25">
      <c r="A20" s="699"/>
      <c r="B20" s="707"/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387"/>
      <c r="N20" s="755"/>
      <c r="O20" s="761"/>
      <c r="P20" s="242"/>
      <c r="Q20" s="242"/>
    </row>
    <row r="21" spans="1:17" s="482" customFormat="1" x14ac:dyDescent="0.25">
      <c r="A21" s="699"/>
      <c r="B21" s="707"/>
      <c r="C21" s="706"/>
      <c r="D21" s="706"/>
      <c r="E21" s="706"/>
      <c r="F21" s="706"/>
      <c r="G21" s="706"/>
      <c r="H21" s="706"/>
      <c r="I21" s="706"/>
      <c r="J21" s="706"/>
      <c r="K21" s="706"/>
      <c r="L21" s="706"/>
      <c r="M21" s="387"/>
      <c r="N21" s="755"/>
      <c r="O21" s="761"/>
      <c r="P21" s="242"/>
      <c r="Q21" s="242"/>
    </row>
    <row r="22" spans="1:17" s="482" customFormat="1" x14ac:dyDescent="0.25">
      <c r="A22" s="699"/>
      <c r="B22" s="707" t="s">
        <v>1481</v>
      </c>
      <c r="C22" s="706"/>
      <c r="D22" s="706">
        <v>10000</v>
      </c>
      <c r="E22" s="706">
        <v>10000</v>
      </c>
      <c r="F22" s="706"/>
      <c r="G22" s="706"/>
      <c r="H22" s="706"/>
      <c r="I22" s="706"/>
      <c r="J22" s="706"/>
      <c r="K22" s="706"/>
      <c r="L22" s="706"/>
      <c r="M22" s="387" t="s">
        <v>1482</v>
      </c>
      <c r="N22" s="755" t="s">
        <v>1483</v>
      </c>
      <c r="O22" s="761"/>
      <c r="P22" s="242"/>
      <c r="Q22" s="242"/>
    </row>
    <row r="23" spans="1:17" s="482" customFormat="1" x14ac:dyDescent="0.25">
      <c r="A23" s="699" t="s">
        <v>322</v>
      </c>
      <c r="B23" s="700" t="s">
        <v>1145</v>
      </c>
      <c r="C23" s="711">
        <f>SUM(C24:C29)</f>
        <v>783316.74</v>
      </c>
      <c r="D23" s="711">
        <f t="shared" ref="D23:E23" si="12">SUM(D24:D32)</f>
        <v>1045910</v>
      </c>
      <c r="E23" s="711">
        <f t="shared" si="12"/>
        <v>1045910</v>
      </c>
      <c r="F23" s="711">
        <f>SUM(F24:F27)</f>
        <v>0</v>
      </c>
      <c r="G23" s="711">
        <f>SUM(G24:G29)</f>
        <v>0</v>
      </c>
      <c r="H23" s="711">
        <f>SUM(H24:H29)</f>
        <v>0</v>
      </c>
      <c r="I23" s="711">
        <f>SUM(I24:I30)</f>
        <v>0</v>
      </c>
      <c r="J23" s="711">
        <f>SUM(J24:J31)</f>
        <v>0</v>
      </c>
      <c r="K23" s="711">
        <f>SUM(K24:K32)</f>
        <v>0</v>
      </c>
      <c r="L23" s="711">
        <f>SUM(L24:L30)</f>
        <v>0</v>
      </c>
      <c r="M23" s="386"/>
      <c r="N23" s="754"/>
      <c r="O23" s="761"/>
      <c r="P23" s="242"/>
      <c r="Q23" s="242"/>
    </row>
    <row r="24" spans="1:17" s="482" customFormat="1" x14ac:dyDescent="0.25">
      <c r="A24" s="699"/>
      <c r="B24" s="70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387" t="s">
        <v>1284</v>
      </c>
      <c r="N24" s="755" t="s">
        <v>1286</v>
      </c>
      <c r="O24" s="761"/>
      <c r="P24" s="242"/>
      <c r="Q24" s="242"/>
    </row>
    <row r="25" spans="1:17" s="482" customFormat="1" x14ac:dyDescent="0.25">
      <c r="A25" s="702"/>
      <c r="B25" s="703" t="s">
        <v>1435</v>
      </c>
      <c r="C25" s="705">
        <f>757058+7087+2286+2032+7815+1905+140</f>
        <v>778323</v>
      </c>
      <c r="D25" s="704">
        <f t="shared" ref="D25:E25" si="13">935821-90506+81599+46228</f>
        <v>973142</v>
      </c>
      <c r="E25" s="704">
        <f t="shared" si="13"/>
        <v>973142</v>
      </c>
      <c r="F25" s="705"/>
      <c r="G25" s="705"/>
      <c r="H25" s="704"/>
      <c r="I25" s="704"/>
      <c r="J25" s="704"/>
      <c r="K25" s="704"/>
      <c r="L25" s="704"/>
      <c r="M25" s="387" t="s">
        <v>1351</v>
      </c>
      <c r="N25" s="755" t="s">
        <v>1287</v>
      </c>
      <c r="O25" s="761">
        <v>40496</v>
      </c>
      <c r="P25" s="410"/>
      <c r="Q25" s="410"/>
    </row>
    <row r="26" spans="1:17" s="482" customFormat="1" x14ac:dyDescent="0.25">
      <c r="A26" s="702"/>
      <c r="B26" s="703"/>
      <c r="C26" s="705"/>
      <c r="D26" s="704">
        <f t="shared" ref="D26:E26" si="14">+C26</f>
        <v>0</v>
      </c>
      <c r="E26" s="704">
        <f t="shared" si="14"/>
        <v>0</v>
      </c>
      <c r="F26" s="705"/>
      <c r="G26" s="705"/>
      <c r="H26" s="704"/>
      <c r="I26" s="704"/>
      <c r="J26" s="704"/>
      <c r="K26" s="704"/>
      <c r="L26" s="704"/>
      <c r="M26" s="387" t="s">
        <v>1284</v>
      </c>
      <c r="N26" s="755" t="s">
        <v>1395</v>
      </c>
      <c r="O26" s="761"/>
      <c r="P26" s="410"/>
      <c r="Q26" s="410"/>
    </row>
    <row r="27" spans="1:17" s="482" customFormat="1" ht="28.5" x14ac:dyDescent="0.25">
      <c r="A27" s="702"/>
      <c r="B27" s="703" t="s">
        <v>1436</v>
      </c>
      <c r="C27" s="705">
        <f>3562*1.27</f>
        <v>4523.74</v>
      </c>
      <c r="D27" s="704">
        <f t="shared" ref="D27:E27" si="15">3606-626</f>
        <v>2980</v>
      </c>
      <c r="E27" s="704">
        <f t="shared" si="15"/>
        <v>2980</v>
      </c>
      <c r="F27" s="705"/>
      <c r="G27" s="705"/>
      <c r="H27" s="704"/>
      <c r="I27" s="704"/>
      <c r="J27" s="704"/>
      <c r="K27" s="704"/>
      <c r="L27" s="704"/>
      <c r="M27" s="387" t="s">
        <v>1351</v>
      </c>
      <c r="N27" s="755" t="s">
        <v>1288</v>
      </c>
      <c r="O27" s="761">
        <v>1027</v>
      </c>
      <c r="P27" s="410"/>
      <c r="Q27" s="410"/>
    </row>
    <row r="28" spans="1:17" s="654" customFormat="1" x14ac:dyDescent="0.25">
      <c r="A28" s="712"/>
      <c r="B28" s="713"/>
      <c r="C28" s="705"/>
      <c r="D28" s="704">
        <f t="shared" ref="D28:E28" si="16">+C28</f>
        <v>0</v>
      </c>
      <c r="E28" s="704">
        <f t="shared" si="16"/>
        <v>0</v>
      </c>
      <c r="F28" s="705"/>
      <c r="G28" s="705"/>
      <c r="H28" s="704"/>
      <c r="I28" s="704"/>
      <c r="J28" s="704"/>
      <c r="K28" s="704"/>
      <c r="L28" s="704"/>
      <c r="M28" s="652"/>
      <c r="N28" s="756"/>
      <c r="O28" s="762"/>
      <c r="P28" s="658"/>
      <c r="Q28" s="658"/>
    </row>
    <row r="29" spans="1:17" s="482" customFormat="1" ht="28.5" x14ac:dyDescent="0.25">
      <c r="A29" s="836">
        <v>1919</v>
      </c>
      <c r="B29" s="703" t="s">
        <v>1491</v>
      </c>
      <c r="C29" s="705">
        <v>470</v>
      </c>
      <c r="D29" s="704">
        <f t="shared" ref="D29:E29" si="17">1423+5987</f>
        <v>7410</v>
      </c>
      <c r="E29" s="704">
        <f t="shared" si="17"/>
        <v>7410</v>
      </c>
      <c r="F29" s="705"/>
      <c r="G29" s="705"/>
      <c r="H29" s="704"/>
      <c r="I29" s="704"/>
      <c r="J29" s="704"/>
      <c r="K29" s="704"/>
      <c r="L29" s="704"/>
      <c r="M29" s="387"/>
      <c r="N29" s="755" t="s">
        <v>1415</v>
      </c>
      <c r="O29" s="761"/>
      <c r="P29" s="410"/>
      <c r="Q29" s="410"/>
    </row>
    <row r="30" spans="1:17" s="482" customFormat="1" ht="42.75" x14ac:dyDescent="0.25">
      <c r="A30" s="702"/>
      <c r="B30" s="735" t="s">
        <v>1469</v>
      </c>
      <c r="C30" s="705"/>
      <c r="D30" s="704">
        <f t="shared" ref="D30:E30" si="18">49097-1197+4445</f>
        <v>52345</v>
      </c>
      <c r="E30" s="704">
        <f t="shared" si="18"/>
        <v>52345</v>
      </c>
      <c r="F30" s="705"/>
      <c r="G30" s="705"/>
      <c r="H30" s="704"/>
      <c r="I30" s="704"/>
      <c r="J30" s="704"/>
      <c r="K30" s="704"/>
      <c r="L30" s="704"/>
      <c r="M30" s="387"/>
      <c r="N30" s="755"/>
      <c r="O30" s="761">
        <v>18647</v>
      </c>
      <c r="P30" s="410"/>
      <c r="Q30" s="410"/>
    </row>
    <row r="31" spans="1:17" s="482" customFormat="1" ht="28.5" x14ac:dyDescent="0.25">
      <c r="A31" s="702"/>
      <c r="B31" s="735" t="s">
        <v>1485</v>
      </c>
      <c r="C31" s="705"/>
      <c r="D31" s="704">
        <v>6223</v>
      </c>
      <c r="E31" s="704">
        <v>6223</v>
      </c>
      <c r="F31" s="705"/>
      <c r="G31" s="705"/>
      <c r="H31" s="704"/>
      <c r="I31" s="704"/>
      <c r="J31" s="704"/>
      <c r="K31" s="704"/>
      <c r="L31" s="704"/>
      <c r="M31" s="387"/>
      <c r="N31" s="755" t="s">
        <v>1486</v>
      </c>
      <c r="O31" s="761"/>
      <c r="P31" s="410"/>
      <c r="Q31" s="410"/>
    </row>
    <row r="32" spans="1:17" s="482" customFormat="1" x14ac:dyDescent="0.25">
      <c r="A32" s="702"/>
      <c r="B32" s="735" t="s">
        <v>1489</v>
      </c>
      <c r="C32" s="705"/>
      <c r="D32" s="704">
        <v>3810</v>
      </c>
      <c r="E32" s="704">
        <v>3810</v>
      </c>
      <c r="F32" s="705"/>
      <c r="G32" s="705"/>
      <c r="H32" s="704"/>
      <c r="I32" s="704"/>
      <c r="J32" s="704"/>
      <c r="K32" s="704"/>
      <c r="L32" s="704"/>
      <c r="M32" s="387"/>
      <c r="N32" s="755"/>
      <c r="O32" s="761"/>
      <c r="P32" s="410"/>
      <c r="Q32" s="410"/>
    </row>
    <row r="33" spans="1:17" s="482" customFormat="1" x14ac:dyDescent="0.25">
      <c r="A33" s="699" t="s">
        <v>315</v>
      </c>
      <c r="B33" s="700" t="s">
        <v>1146</v>
      </c>
      <c r="C33" s="710">
        <f>C34+C35+C36+C37</f>
        <v>9500</v>
      </c>
      <c r="D33" s="701">
        <f t="shared" ref="D33:E33" si="19">+C33</f>
        <v>9500</v>
      </c>
      <c r="E33" s="701">
        <f t="shared" si="19"/>
        <v>9500</v>
      </c>
      <c r="F33" s="710">
        <f>F34+F35+F36+F37</f>
        <v>0</v>
      </c>
      <c r="G33" s="710">
        <f>G34+G35+G36+G37</f>
        <v>0</v>
      </c>
      <c r="H33" s="701">
        <f>+G33</f>
        <v>0</v>
      </c>
      <c r="I33" s="701">
        <f>+H33</f>
        <v>0</v>
      </c>
      <c r="J33" s="701">
        <f>+I33</f>
        <v>0</v>
      </c>
      <c r="K33" s="701">
        <f>+J33</f>
        <v>0</v>
      </c>
      <c r="L33" s="701">
        <f>+L37</f>
        <v>0</v>
      </c>
      <c r="M33" s="386"/>
      <c r="N33" s="754"/>
      <c r="O33" s="761"/>
      <c r="P33" s="242"/>
      <c r="Q33" s="242"/>
    </row>
    <row r="34" spans="1:17" s="482" customFormat="1" x14ac:dyDescent="0.25">
      <c r="A34" s="702"/>
      <c r="B34" s="707"/>
      <c r="C34" s="705"/>
      <c r="D34" s="705"/>
      <c r="E34" s="705"/>
      <c r="F34" s="705"/>
      <c r="G34" s="705"/>
      <c r="H34" s="705"/>
      <c r="I34" s="705"/>
      <c r="J34" s="705"/>
      <c r="K34" s="705"/>
      <c r="L34" s="705"/>
      <c r="M34" s="387" t="s">
        <v>1284</v>
      </c>
      <c r="N34" s="755" t="s">
        <v>1289</v>
      </c>
      <c r="O34" s="761"/>
      <c r="P34" s="410"/>
      <c r="Q34" s="410"/>
    </row>
    <row r="35" spans="1:17" s="482" customFormat="1" x14ac:dyDescent="0.25">
      <c r="A35" s="702"/>
      <c r="B35" s="714"/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387" t="s">
        <v>1284</v>
      </c>
      <c r="N35" s="755" t="s">
        <v>1295</v>
      </c>
      <c r="O35" s="761"/>
      <c r="P35" s="410"/>
      <c r="Q35" s="410"/>
    </row>
    <row r="36" spans="1:17" s="482" customFormat="1" x14ac:dyDescent="0.25">
      <c r="A36" s="702"/>
      <c r="B36" s="714"/>
      <c r="C36" s="705"/>
      <c r="D36" s="705"/>
      <c r="E36" s="705"/>
      <c r="F36" s="705"/>
      <c r="G36" s="705"/>
      <c r="H36" s="705"/>
      <c r="I36" s="705"/>
      <c r="J36" s="705"/>
      <c r="K36" s="705"/>
      <c r="L36" s="705"/>
      <c r="M36" s="387" t="s">
        <v>1284</v>
      </c>
      <c r="N36" s="755" t="s">
        <v>1345</v>
      </c>
      <c r="O36" s="761"/>
      <c r="P36" s="410"/>
      <c r="Q36" s="410"/>
    </row>
    <row r="37" spans="1:17" s="482" customFormat="1" ht="28.5" x14ac:dyDescent="0.25">
      <c r="A37" s="702"/>
      <c r="B37" s="715" t="s">
        <v>1418</v>
      </c>
      <c r="C37" s="705">
        <v>9500</v>
      </c>
      <c r="D37" s="704">
        <v>9500</v>
      </c>
      <c r="E37" s="704">
        <v>9500</v>
      </c>
      <c r="F37" s="705"/>
      <c r="G37" s="705"/>
      <c r="H37" s="704"/>
      <c r="I37" s="704"/>
      <c r="J37" s="704"/>
      <c r="K37" s="704"/>
      <c r="L37" s="704"/>
      <c r="M37" s="387" t="s">
        <v>1284</v>
      </c>
      <c r="N37" s="755" t="s">
        <v>1346</v>
      </c>
      <c r="O37" s="761"/>
      <c r="P37" s="410"/>
      <c r="Q37" s="410"/>
    </row>
    <row r="38" spans="1:17" s="482" customFormat="1" ht="15.75" x14ac:dyDescent="0.25">
      <c r="A38" s="699" t="s">
        <v>336</v>
      </c>
      <c r="B38" s="700" t="s">
        <v>1147</v>
      </c>
      <c r="C38" s="710">
        <f>C40+C41</f>
        <v>45764</v>
      </c>
      <c r="D38" s="701">
        <f t="shared" ref="D38:E38" si="20">SUM(D40:D41)</f>
        <v>43799</v>
      </c>
      <c r="E38" s="701">
        <f t="shared" si="20"/>
        <v>43799</v>
      </c>
      <c r="F38" s="710">
        <f>F40+F41</f>
        <v>0</v>
      </c>
      <c r="G38" s="710">
        <f>G40+G41</f>
        <v>0</v>
      </c>
      <c r="H38" s="701">
        <f>+G38</f>
        <v>0</v>
      </c>
      <c r="I38" s="701">
        <f>SUM(I40:I41)</f>
        <v>0</v>
      </c>
      <c r="J38" s="701">
        <f>SUM(J40:J41)</f>
        <v>0</v>
      </c>
      <c r="K38" s="701">
        <f>SUM(K40:K41)</f>
        <v>0</v>
      </c>
      <c r="L38" s="701">
        <f>SUM(L40:L41)</f>
        <v>0</v>
      </c>
      <c r="M38" s="386"/>
      <c r="N38" s="754"/>
      <c r="O38" s="764"/>
      <c r="P38" s="242"/>
      <c r="Q38" s="242"/>
    </row>
    <row r="39" spans="1:17" s="482" customFormat="1" x14ac:dyDescent="0.25">
      <c r="A39" s="702"/>
      <c r="B39" s="715"/>
      <c r="C39" s="705"/>
      <c r="D39" s="705"/>
      <c r="E39" s="705"/>
      <c r="F39" s="705">
        <v>0</v>
      </c>
      <c r="G39" s="705"/>
      <c r="H39" s="705"/>
      <c r="I39" s="705"/>
      <c r="J39" s="705"/>
      <c r="K39" s="705"/>
      <c r="L39" s="705"/>
      <c r="M39" s="387"/>
      <c r="N39" s="755"/>
      <c r="O39" s="481"/>
      <c r="P39" s="410"/>
      <c r="Q39" s="410"/>
    </row>
    <row r="40" spans="1:17" s="483" customFormat="1" ht="15.75" x14ac:dyDescent="0.25">
      <c r="A40" s="702"/>
      <c r="B40" s="703" t="s">
        <v>1327</v>
      </c>
      <c r="C40" s="705">
        <v>25764</v>
      </c>
      <c r="D40" s="704">
        <f t="shared" ref="D40:E40" si="21">25764+3009-5685</f>
        <v>23088</v>
      </c>
      <c r="E40" s="704">
        <f t="shared" si="21"/>
        <v>23088</v>
      </c>
      <c r="F40" s="705"/>
      <c r="G40" s="705"/>
      <c r="H40" s="704"/>
      <c r="I40" s="704"/>
      <c r="J40" s="704"/>
      <c r="K40" s="704"/>
      <c r="L40" s="704"/>
      <c r="M40" s="387" t="s">
        <v>1351</v>
      </c>
      <c r="N40" s="755" t="s">
        <v>1347</v>
      </c>
      <c r="O40" s="761"/>
      <c r="P40" s="410"/>
      <c r="Q40" s="410"/>
    </row>
    <row r="41" spans="1:17" s="482" customFormat="1" x14ac:dyDescent="0.25">
      <c r="A41" s="699"/>
      <c r="B41" s="707" t="s">
        <v>1148</v>
      </c>
      <c r="C41" s="705">
        <v>20000</v>
      </c>
      <c r="D41" s="704">
        <f t="shared" ref="D41:E41" si="22">20000+13+698</f>
        <v>20711</v>
      </c>
      <c r="E41" s="704">
        <f t="shared" si="22"/>
        <v>20711</v>
      </c>
      <c r="F41" s="705"/>
      <c r="G41" s="705"/>
      <c r="H41" s="704"/>
      <c r="I41" s="704"/>
      <c r="J41" s="704"/>
      <c r="K41" s="704"/>
      <c r="L41" s="704"/>
      <c r="M41" s="387" t="s">
        <v>1351</v>
      </c>
      <c r="N41" s="755" t="s">
        <v>1399</v>
      </c>
      <c r="O41" s="761"/>
      <c r="P41" s="242"/>
      <c r="Q41" s="242"/>
    </row>
    <row r="42" spans="1:17" s="482" customFormat="1" x14ac:dyDescent="0.25">
      <c r="A42" s="699" t="s">
        <v>338</v>
      </c>
      <c r="B42" s="700" t="s">
        <v>1149</v>
      </c>
      <c r="C42" s="711">
        <f>SUM(C43:C58)</f>
        <v>328054.5</v>
      </c>
      <c r="D42" s="701">
        <f t="shared" ref="D42:E42" si="23">SUM(D43:D51)+D59</f>
        <v>310119.5</v>
      </c>
      <c r="E42" s="701">
        <f t="shared" si="23"/>
        <v>310119.5</v>
      </c>
      <c r="F42" s="711">
        <f>SUM(F43:F58)</f>
        <v>0</v>
      </c>
      <c r="G42" s="711">
        <f>SUM(G43:G58)</f>
        <v>0</v>
      </c>
      <c r="H42" s="701">
        <f>+G42</f>
        <v>0</v>
      </c>
      <c r="I42" s="701">
        <f>SUM(I43:I51)</f>
        <v>0</v>
      </c>
      <c r="J42" s="701">
        <f>SUM(J43:J51)</f>
        <v>0</v>
      </c>
      <c r="K42" s="701">
        <f>SUM(K43:K51)+K59</f>
        <v>0</v>
      </c>
      <c r="L42" s="701">
        <f>SUM(L43:L51)</f>
        <v>0</v>
      </c>
      <c r="M42" s="386"/>
      <c r="N42" s="754"/>
      <c r="O42" s="761"/>
      <c r="P42" s="242"/>
      <c r="Q42" s="242"/>
    </row>
    <row r="43" spans="1:17" s="482" customFormat="1" x14ac:dyDescent="0.25">
      <c r="A43" s="702"/>
      <c r="B43" s="703" t="s">
        <v>1420</v>
      </c>
      <c r="C43" s="705">
        <f>290812+5000+11000+965</f>
        <v>307777</v>
      </c>
      <c r="D43" s="704">
        <f t="shared" ref="D43:E43" si="24">271478+8893-4229</f>
        <v>276142</v>
      </c>
      <c r="E43" s="704">
        <f t="shared" si="24"/>
        <v>276142</v>
      </c>
      <c r="F43" s="705"/>
      <c r="G43" s="705"/>
      <c r="H43" s="704"/>
      <c r="I43" s="704"/>
      <c r="J43" s="704"/>
      <c r="K43" s="704"/>
      <c r="L43" s="704"/>
      <c r="M43" s="387" t="s">
        <v>1351</v>
      </c>
      <c r="N43" s="755" t="s">
        <v>1402</v>
      </c>
      <c r="O43" s="761">
        <v>545</v>
      </c>
      <c r="P43" s="410"/>
      <c r="Q43" s="410"/>
    </row>
    <row r="44" spans="1:17" s="482" customFormat="1" ht="28.5" x14ac:dyDescent="0.25">
      <c r="A44" s="702"/>
      <c r="B44" s="703" t="s">
        <v>1460</v>
      </c>
      <c r="C44" s="705">
        <v>4000</v>
      </c>
      <c r="D44" s="704">
        <f t="shared" ref="D44:E44" si="25">4000+128</f>
        <v>4128</v>
      </c>
      <c r="E44" s="704">
        <f t="shared" si="25"/>
        <v>4128</v>
      </c>
      <c r="F44" s="705"/>
      <c r="G44" s="705"/>
      <c r="H44" s="704"/>
      <c r="I44" s="704"/>
      <c r="J44" s="704"/>
      <c r="K44" s="704"/>
      <c r="L44" s="704"/>
      <c r="M44" s="387" t="s">
        <v>1284</v>
      </c>
      <c r="N44" s="755" t="s">
        <v>1349</v>
      </c>
      <c r="O44" s="761"/>
      <c r="P44" s="410"/>
      <c r="Q44" s="410"/>
    </row>
    <row r="45" spans="1:17" s="482" customFormat="1" x14ac:dyDescent="0.25">
      <c r="A45" s="702"/>
      <c r="B45" s="707" t="s">
        <v>1241</v>
      </c>
      <c r="C45" s="705">
        <v>33</v>
      </c>
      <c r="D45" s="704">
        <f t="shared" ref="D45:D50" si="26">+C45</f>
        <v>33</v>
      </c>
      <c r="E45" s="704">
        <f t="shared" ref="E45:E50" si="27">+D45</f>
        <v>33</v>
      </c>
      <c r="F45" s="705"/>
      <c r="G45" s="705"/>
      <c r="H45" s="704"/>
      <c r="I45" s="704"/>
      <c r="J45" s="704"/>
      <c r="K45" s="704"/>
      <c r="L45" s="704"/>
      <c r="M45" s="387" t="s">
        <v>1284</v>
      </c>
      <c r="N45" s="755" t="s">
        <v>1343</v>
      </c>
      <c r="O45" s="761"/>
      <c r="P45" s="410"/>
      <c r="Q45" s="410"/>
    </row>
    <row r="46" spans="1:17" s="482" customFormat="1" ht="28.5" x14ac:dyDescent="0.25">
      <c r="A46" s="702"/>
      <c r="B46" s="703" t="s">
        <v>1365</v>
      </c>
      <c r="C46" s="705">
        <v>616</v>
      </c>
      <c r="D46" s="704">
        <f t="shared" si="26"/>
        <v>616</v>
      </c>
      <c r="E46" s="704">
        <f t="shared" si="27"/>
        <v>616</v>
      </c>
      <c r="F46" s="705"/>
      <c r="G46" s="705"/>
      <c r="H46" s="704"/>
      <c r="I46" s="704"/>
      <c r="J46" s="704"/>
      <c r="K46" s="704"/>
      <c r="L46" s="704"/>
      <c r="M46" s="387" t="s">
        <v>1351</v>
      </c>
      <c r="N46" s="755" t="s">
        <v>1348</v>
      </c>
      <c r="O46" s="761"/>
      <c r="P46" s="410"/>
      <c r="Q46" s="410"/>
    </row>
    <row r="47" spans="1:17" s="482" customFormat="1" x14ac:dyDescent="0.25">
      <c r="A47" s="702"/>
      <c r="B47" s="703"/>
      <c r="C47" s="705"/>
      <c r="D47" s="704">
        <f t="shared" si="26"/>
        <v>0</v>
      </c>
      <c r="E47" s="704">
        <f t="shared" si="27"/>
        <v>0</v>
      </c>
      <c r="F47" s="705"/>
      <c r="G47" s="705"/>
      <c r="H47" s="704"/>
      <c r="I47" s="704"/>
      <c r="J47" s="704"/>
      <c r="K47" s="704"/>
      <c r="L47" s="704"/>
      <c r="M47" s="387" t="s">
        <v>1284</v>
      </c>
      <c r="N47" s="755" t="s">
        <v>1290</v>
      </c>
      <c r="O47" s="761"/>
      <c r="P47" s="410"/>
      <c r="Q47" s="410"/>
    </row>
    <row r="48" spans="1:17" s="482" customFormat="1" x14ac:dyDescent="0.25">
      <c r="A48" s="836">
        <v>1920</v>
      </c>
      <c r="B48" s="707" t="s">
        <v>1442</v>
      </c>
      <c r="C48" s="705">
        <f>63.5+3147</f>
        <v>3210.5</v>
      </c>
      <c r="D48" s="704">
        <f t="shared" si="26"/>
        <v>3210.5</v>
      </c>
      <c r="E48" s="704">
        <f t="shared" si="27"/>
        <v>3210.5</v>
      </c>
      <c r="F48" s="705"/>
      <c r="G48" s="705"/>
      <c r="H48" s="704"/>
      <c r="I48" s="704"/>
      <c r="J48" s="704"/>
      <c r="K48" s="704"/>
      <c r="L48" s="704"/>
      <c r="M48" s="387" t="s">
        <v>1284</v>
      </c>
      <c r="N48" s="755" t="s">
        <v>1296</v>
      </c>
      <c r="O48" s="761"/>
      <c r="P48" s="410"/>
      <c r="Q48" s="410"/>
    </row>
    <row r="49" spans="1:17" s="482" customFormat="1" x14ac:dyDescent="0.25">
      <c r="A49" s="702"/>
      <c r="B49" s="713"/>
      <c r="C49" s="705"/>
      <c r="D49" s="704">
        <f t="shared" si="26"/>
        <v>0</v>
      </c>
      <c r="E49" s="704">
        <f t="shared" si="27"/>
        <v>0</v>
      </c>
      <c r="F49" s="705"/>
      <c r="G49" s="705"/>
      <c r="H49" s="704"/>
      <c r="I49" s="704"/>
      <c r="J49" s="704"/>
      <c r="K49" s="704"/>
      <c r="L49" s="704"/>
      <c r="M49" s="387"/>
      <c r="N49" s="755"/>
      <c r="O49" s="761"/>
      <c r="P49" s="410"/>
      <c r="Q49" s="410"/>
    </row>
    <row r="50" spans="1:17" s="482" customFormat="1" x14ac:dyDescent="0.25">
      <c r="A50" s="702"/>
      <c r="B50" s="708" t="s">
        <v>1339</v>
      </c>
      <c r="C50" s="705">
        <f>3401+1600</f>
        <v>5001</v>
      </c>
      <c r="D50" s="704">
        <f t="shared" si="26"/>
        <v>5001</v>
      </c>
      <c r="E50" s="704">
        <f t="shared" si="27"/>
        <v>5001</v>
      </c>
      <c r="F50" s="705"/>
      <c r="G50" s="705"/>
      <c r="H50" s="704"/>
      <c r="I50" s="704"/>
      <c r="J50" s="704"/>
      <c r="K50" s="704"/>
      <c r="L50" s="704"/>
      <c r="M50" s="387" t="s">
        <v>1351</v>
      </c>
      <c r="N50" s="755" t="s">
        <v>1348</v>
      </c>
      <c r="O50" s="761"/>
      <c r="P50" s="410"/>
      <c r="Q50" s="410"/>
    </row>
    <row r="51" spans="1:17" s="482" customFormat="1" x14ac:dyDescent="0.25">
      <c r="A51" s="702"/>
      <c r="B51" s="708" t="s">
        <v>1419</v>
      </c>
      <c r="C51" s="705">
        <v>7417</v>
      </c>
      <c r="D51" s="704">
        <f t="shared" ref="D51:E51" si="28">7417+965</f>
        <v>8382</v>
      </c>
      <c r="E51" s="704">
        <f t="shared" si="28"/>
        <v>8382</v>
      </c>
      <c r="F51" s="705"/>
      <c r="G51" s="705"/>
      <c r="H51" s="704"/>
      <c r="I51" s="704"/>
      <c r="J51" s="704"/>
      <c r="K51" s="704"/>
      <c r="L51" s="704"/>
      <c r="M51" s="387"/>
      <c r="N51" s="755"/>
      <c r="O51" s="761"/>
      <c r="P51" s="410"/>
      <c r="Q51" s="410"/>
    </row>
    <row r="52" spans="1:17" s="482" customFormat="1" x14ac:dyDescent="0.25">
      <c r="A52" s="702"/>
      <c r="B52" s="708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387" t="s">
        <v>1351</v>
      </c>
      <c r="N52" s="755" t="s">
        <v>1403</v>
      </c>
      <c r="O52" s="761"/>
      <c r="P52" s="410"/>
      <c r="Q52" s="410"/>
    </row>
    <row r="53" spans="1:17" s="482" customFormat="1" x14ac:dyDescent="0.25">
      <c r="A53" s="702"/>
      <c r="B53" s="708"/>
      <c r="C53" s="705"/>
      <c r="D53" s="705"/>
      <c r="E53" s="705"/>
      <c r="F53" s="705"/>
      <c r="G53" s="705"/>
      <c r="H53" s="705"/>
      <c r="I53" s="705"/>
      <c r="J53" s="705"/>
      <c r="K53" s="705"/>
      <c r="L53" s="705"/>
      <c r="M53" s="387" t="s">
        <v>1351</v>
      </c>
      <c r="N53" s="755" t="s">
        <v>1374</v>
      </c>
      <c r="O53" s="761"/>
      <c r="P53" s="410"/>
      <c r="Q53" s="410"/>
    </row>
    <row r="54" spans="1:17" s="482" customFormat="1" x14ac:dyDescent="0.25">
      <c r="A54" s="702"/>
      <c r="B54" s="708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387" t="s">
        <v>1284</v>
      </c>
      <c r="N54" s="755" t="s">
        <v>1404</v>
      </c>
      <c r="O54" s="761"/>
      <c r="P54" s="410"/>
      <c r="Q54" s="410"/>
    </row>
    <row r="55" spans="1:17" s="482" customFormat="1" x14ac:dyDescent="0.25">
      <c r="A55" s="702"/>
      <c r="B55" s="708"/>
      <c r="C55" s="705"/>
      <c r="D55" s="705"/>
      <c r="E55" s="705"/>
      <c r="F55" s="705"/>
      <c r="G55" s="705"/>
      <c r="H55" s="705"/>
      <c r="I55" s="705"/>
      <c r="J55" s="705"/>
      <c r="K55" s="705"/>
      <c r="L55" s="705"/>
      <c r="M55" s="387"/>
      <c r="N55" s="755"/>
      <c r="O55" s="761"/>
      <c r="P55" s="410"/>
      <c r="Q55" s="410"/>
    </row>
    <row r="56" spans="1:17" s="482" customFormat="1" x14ac:dyDescent="0.25">
      <c r="A56" s="702"/>
      <c r="B56" s="707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387"/>
      <c r="N56" s="755" t="s">
        <v>1398</v>
      </c>
      <c r="O56" s="761"/>
      <c r="P56" s="410"/>
      <c r="Q56" s="410"/>
    </row>
    <row r="57" spans="1:17" s="482" customFormat="1" x14ac:dyDescent="0.25">
      <c r="A57" s="702"/>
      <c r="B57" s="707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387"/>
      <c r="N57" s="755" t="s">
        <v>1380</v>
      </c>
      <c r="O57" s="761"/>
      <c r="P57" s="410"/>
      <c r="Q57" s="410"/>
    </row>
    <row r="58" spans="1:17" s="482" customFormat="1" x14ac:dyDescent="0.25">
      <c r="A58" s="702"/>
      <c r="B58" s="776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387"/>
      <c r="N58" s="755" t="s">
        <v>1394</v>
      </c>
      <c r="O58" s="761"/>
      <c r="P58" s="410"/>
      <c r="Q58" s="410"/>
    </row>
    <row r="59" spans="1:17" s="482" customFormat="1" x14ac:dyDescent="0.25">
      <c r="A59" s="702"/>
      <c r="B59" s="776" t="s">
        <v>1490</v>
      </c>
      <c r="C59" s="705"/>
      <c r="D59" s="705">
        <v>12607</v>
      </c>
      <c r="E59" s="705">
        <v>12607</v>
      </c>
      <c r="F59" s="705"/>
      <c r="G59" s="705"/>
      <c r="H59" s="705"/>
      <c r="I59" s="705"/>
      <c r="J59" s="705"/>
      <c r="K59" s="705"/>
      <c r="L59" s="705"/>
      <c r="M59" s="387"/>
      <c r="N59" s="755"/>
      <c r="O59" s="761"/>
      <c r="P59" s="410"/>
      <c r="Q59" s="410"/>
    </row>
    <row r="60" spans="1:17" s="482" customFormat="1" x14ac:dyDescent="0.25">
      <c r="A60" s="699" t="s">
        <v>560</v>
      </c>
      <c r="B60" s="700" t="s">
        <v>1150</v>
      </c>
      <c r="C60" s="710">
        <f>SUM(C61:C61)</f>
        <v>2794</v>
      </c>
      <c r="D60" s="701">
        <f t="shared" ref="D60:E60" si="29">D61</f>
        <v>2794</v>
      </c>
      <c r="E60" s="701">
        <f t="shared" si="29"/>
        <v>2794</v>
      </c>
      <c r="F60" s="710">
        <f>SUM(F61:F61)</f>
        <v>0</v>
      </c>
      <c r="G60" s="710">
        <f>SUM(G61:G61)</f>
        <v>0</v>
      </c>
      <c r="H60" s="701">
        <f>+G60</f>
        <v>0</v>
      </c>
      <c r="I60" s="701">
        <f>I61</f>
        <v>0</v>
      </c>
      <c r="J60" s="701">
        <f>J61</f>
        <v>0</v>
      </c>
      <c r="K60" s="701">
        <f>K61</f>
        <v>0</v>
      </c>
      <c r="L60" s="701">
        <f>L61</f>
        <v>0</v>
      </c>
      <c r="M60" s="386"/>
      <c r="N60" s="754"/>
      <c r="O60" s="761"/>
      <c r="P60" s="242"/>
      <c r="Q60" s="242"/>
    </row>
    <row r="61" spans="1:17" s="482" customFormat="1" x14ac:dyDescent="0.25">
      <c r="A61" s="699"/>
      <c r="B61" s="707" t="s">
        <v>1151</v>
      </c>
      <c r="C61" s="705">
        <f>4445-4445+2200*1.27+700-700</f>
        <v>2794</v>
      </c>
      <c r="D61" s="704">
        <f>2794</f>
        <v>2794</v>
      </c>
      <c r="E61" s="704">
        <f>2794</f>
        <v>2794</v>
      </c>
      <c r="F61" s="705"/>
      <c r="G61" s="705"/>
      <c r="H61" s="704"/>
      <c r="I61" s="704"/>
      <c r="J61" s="704"/>
      <c r="K61" s="704"/>
      <c r="L61" s="704"/>
      <c r="M61" s="387" t="s">
        <v>1351</v>
      </c>
      <c r="N61" s="755" t="s">
        <v>1293</v>
      </c>
      <c r="O61" s="761"/>
      <c r="P61" s="242"/>
      <c r="Q61" s="242"/>
    </row>
    <row r="62" spans="1:17" s="482" customFormat="1" x14ac:dyDescent="0.25">
      <c r="A62" s="699" t="s">
        <v>562</v>
      </c>
      <c r="B62" s="700" t="s">
        <v>1155</v>
      </c>
      <c r="C62" s="710">
        <v>0</v>
      </c>
      <c r="D62" s="710">
        <f t="shared" ref="D62:E62" si="30">13000+17500+1000</f>
        <v>31500</v>
      </c>
      <c r="E62" s="710">
        <f t="shared" si="30"/>
        <v>31500</v>
      </c>
      <c r="F62" s="710">
        <v>0</v>
      </c>
      <c r="G62" s="710">
        <v>0</v>
      </c>
      <c r="H62" s="710"/>
      <c r="I62" s="710"/>
      <c r="J62" s="710"/>
      <c r="K62" s="710"/>
      <c r="L62" s="710"/>
      <c r="M62" s="386"/>
      <c r="N62" s="754"/>
      <c r="O62" s="761"/>
      <c r="P62" s="242"/>
      <c r="Q62" s="242"/>
    </row>
    <row r="63" spans="1:17" s="482" customFormat="1" ht="15.75" x14ac:dyDescent="0.25">
      <c r="A63" s="699" t="s">
        <v>564</v>
      </c>
      <c r="B63" s="700" t="s">
        <v>1366</v>
      </c>
      <c r="C63" s="710">
        <f>C64+C70+C71+C72+C73+C74+C75</f>
        <v>58452</v>
      </c>
      <c r="D63" s="701">
        <f t="shared" ref="D63:E63" si="31">D64+D71+D72+D74+D75+D76</f>
        <v>44049</v>
      </c>
      <c r="E63" s="701">
        <f t="shared" si="31"/>
        <v>44049</v>
      </c>
      <c r="F63" s="710">
        <f>F64+F70+F71+F72+F73</f>
        <v>0</v>
      </c>
      <c r="G63" s="710">
        <f>G64+G70+G71+G72+G73+G74+G75</f>
        <v>0</v>
      </c>
      <c r="H63" s="701">
        <f>+G63</f>
        <v>0</v>
      </c>
      <c r="I63" s="701">
        <f>I64+I71+I72+I74+I75</f>
        <v>0</v>
      </c>
      <c r="J63" s="701">
        <f>J64+J71+J72+J74+J75</f>
        <v>0</v>
      </c>
      <c r="K63" s="701">
        <f>K64+K71+K72+K74+K75+K76</f>
        <v>0</v>
      </c>
      <c r="L63" s="701">
        <f>L64+L71+L72+L74+L75</f>
        <v>0</v>
      </c>
      <c r="M63" s="386"/>
      <c r="N63" s="754"/>
      <c r="O63" s="764"/>
      <c r="P63" s="242"/>
      <c r="Q63" s="242"/>
    </row>
    <row r="64" spans="1:17" s="483" customFormat="1" ht="15.75" x14ac:dyDescent="0.25">
      <c r="A64" s="699"/>
      <c r="B64" s="707" t="s">
        <v>1156</v>
      </c>
      <c r="C64" s="705">
        <f>SUM(C65:C69)</f>
        <v>17402</v>
      </c>
      <c r="D64" s="704">
        <f t="shared" ref="D64:D74" si="32">+C64</f>
        <v>17402</v>
      </c>
      <c r="E64" s="704">
        <f t="shared" ref="E64:E74" si="33">+D64</f>
        <v>17402</v>
      </c>
      <c r="F64" s="705"/>
      <c r="G64" s="705"/>
      <c r="H64" s="704"/>
      <c r="I64" s="704"/>
      <c r="J64" s="704"/>
      <c r="K64" s="704"/>
      <c r="L64" s="704"/>
      <c r="M64" s="387" t="s">
        <v>1351</v>
      </c>
      <c r="N64" s="755" t="s">
        <v>1291</v>
      </c>
      <c r="O64" s="761">
        <v>100</v>
      </c>
      <c r="P64" s="242"/>
      <c r="Q64" s="242"/>
    </row>
    <row r="65" spans="1:17" s="484" customFormat="1" x14ac:dyDescent="0.25">
      <c r="A65" s="699"/>
      <c r="B65" s="707"/>
      <c r="C65" s="705"/>
      <c r="D65" s="704">
        <f t="shared" si="32"/>
        <v>0</v>
      </c>
      <c r="E65" s="704">
        <f t="shared" si="33"/>
        <v>0</v>
      </c>
      <c r="F65" s="705"/>
      <c r="G65" s="705"/>
      <c r="H65" s="704">
        <f t="shared" ref="H65:I66" si="34">+G65</f>
        <v>0</v>
      </c>
      <c r="I65" s="704">
        <f t="shared" si="34"/>
        <v>0</v>
      </c>
      <c r="J65" s="704">
        <f t="shared" ref="J65:K66" si="35">+I65</f>
        <v>0</v>
      </c>
      <c r="K65" s="704">
        <f t="shared" si="35"/>
        <v>0</v>
      </c>
      <c r="L65" s="704">
        <f>+I65</f>
        <v>0</v>
      </c>
      <c r="M65" s="387"/>
      <c r="N65" s="755"/>
      <c r="O65" s="712"/>
      <c r="P65" s="242"/>
      <c r="Q65" s="242"/>
    </row>
    <row r="66" spans="1:17" s="484" customFormat="1" x14ac:dyDescent="0.25">
      <c r="A66" s="699"/>
      <c r="B66" s="707"/>
      <c r="C66" s="705"/>
      <c r="D66" s="704">
        <f t="shared" si="32"/>
        <v>0</v>
      </c>
      <c r="E66" s="704">
        <f t="shared" si="33"/>
        <v>0</v>
      </c>
      <c r="F66" s="705"/>
      <c r="G66" s="705"/>
      <c r="H66" s="704">
        <f t="shared" si="34"/>
        <v>0</v>
      </c>
      <c r="I66" s="704">
        <f t="shared" si="34"/>
        <v>0</v>
      </c>
      <c r="J66" s="704">
        <f t="shared" si="35"/>
        <v>0</v>
      </c>
      <c r="K66" s="704">
        <f t="shared" si="35"/>
        <v>0</v>
      </c>
      <c r="L66" s="704">
        <f>+I66</f>
        <v>0</v>
      </c>
      <c r="M66" s="387"/>
      <c r="N66" s="755" t="s">
        <v>1400</v>
      </c>
      <c r="O66" s="712"/>
      <c r="P66" s="242"/>
      <c r="Q66" s="242"/>
    </row>
    <row r="67" spans="1:17" s="484" customFormat="1" x14ac:dyDescent="0.25">
      <c r="A67" s="699"/>
      <c r="B67" s="776"/>
      <c r="C67" s="705"/>
      <c r="D67" s="704">
        <f t="shared" si="32"/>
        <v>0</v>
      </c>
      <c r="E67" s="704">
        <f t="shared" si="33"/>
        <v>0</v>
      </c>
      <c r="F67" s="705"/>
      <c r="G67" s="705"/>
      <c r="H67" s="704"/>
      <c r="I67" s="704"/>
      <c r="J67" s="704"/>
      <c r="K67" s="704"/>
      <c r="L67" s="704"/>
      <c r="M67" s="387"/>
      <c r="N67" s="755" t="s">
        <v>1400</v>
      </c>
      <c r="O67" s="712"/>
      <c r="P67" s="242"/>
      <c r="Q67" s="242"/>
    </row>
    <row r="68" spans="1:17" s="484" customFormat="1" x14ac:dyDescent="0.25">
      <c r="A68" s="699"/>
      <c r="B68" s="707" t="s">
        <v>1443</v>
      </c>
      <c r="C68" s="705">
        <v>17402</v>
      </c>
      <c r="D68" s="704">
        <f t="shared" si="32"/>
        <v>17402</v>
      </c>
      <c r="E68" s="704">
        <f t="shared" si="33"/>
        <v>17402</v>
      </c>
      <c r="F68" s="705"/>
      <c r="G68" s="705"/>
      <c r="H68" s="704"/>
      <c r="I68" s="704"/>
      <c r="J68" s="704"/>
      <c r="K68" s="704"/>
      <c r="L68" s="704"/>
      <c r="M68" s="387"/>
      <c r="N68" s="755"/>
      <c r="O68" s="712"/>
      <c r="P68" s="242"/>
      <c r="Q68" s="242"/>
    </row>
    <row r="69" spans="1:17" s="484" customFormat="1" x14ac:dyDescent="0.25">
      <c r="A69" s="699"/>
      <c r="B69" s="707"/>
      <c r="C69" s="705"/>
      <c r="D69" s="704">
        <f t="shared" si="32"/>
        <v>0</v>
      </c>
      <c r="E69" s="704">
        <f t="shared" si="33"/>
        <v>0</v>
      </c>
      <c r="F69" s="705"/>
      <c r="G69" s="705"/>
      <c r="H69" s="704"/>
      <c r="I69" s="704"/>
      <c r="J69" s="704"/>
      <c r="K69" s="704"/>
      <c r="L69" s="704"/>
      <c r="M69" s="387"/>
      <c r="N69" s="755" t="s">
        <v>1376</v>
      </c>
      <c r="O69" s="712"/>
      <c r="P69" s="242"/>
      <c r="Q69" s="242"/>
    </row>
    <row r="70" spans="1:17" s="484" customFormat="1" x14ac:dyDescent="0.25">
      <c r="A70" s="699"/>
      <c r="B70" s="707"/>
      <c r="C70" s="705"/>
      <c r="D70" s="704">
        <f t="shared" si="32"/>
        <v>0</v>
      </c>
      <c r="E70" s="704">
        <f t="shared" si="33"/>
        <v>0</v>
      </c>
      <c r="F70" s="705"/>
      <c r="G70" s="705"/>
      <c r="H70" s="704"/>
      <c r="I70" s="704"/>
      <c r="J70" s="704"/>
      <c r="K70" s="704"/>
      <c r="L70" s="704"/>
      <c r="M70" s="387"/>
      <c r="N70" s="755" t="s">
        <v>1392</v>
      </c>
      <c r="O70" s="712"/>
      <c r="P70" s="242"/>
      <c r="Q70" s="242"/>
    </row>
    <row r="71" spans="1:17" s="482" customFormat="1" x14ac:dyDescent="0.25">
      <c r="A71" s="699"/>
      <c r="B71" s="707" t="s">
        <v>1334</v>
      </c>
      <c r="C71" s="705">
        <v>16800</v>
      </c>
      <c r="D71" s="704">
        <f t="shared" si="32"/>
        <v>16800</v>
      </c>
      <c r="E71" s="704">
        <f t="shared" si="33"/>
        <v>16800</v>
      </c>
      <c r="F71" s="705"/>
      <c r="G71" s="705"/>
      <c r="H71" s="704"/>
      <c r="I71" s="704"/>
      <c r="J71" s="704"/>
      <c r="K71" s="704"/>
      <c r="L71" s="704"/>
      <c r="M71" s="387" t="s">
        <v>1351</v>
      </c>
      <c r="N71" s="755" t="s">
        <v>1405</v>
      </c>
      <c r="O71" s="761"/>
      <c r="P71" s="242"/>
      <c r="Q71" s="242"/>
    </row>
    <row r="72" spans="1:17" s="482" customFormat="1" x14ac:dyDescent="0.25">
      <c r="A72" s="699"/>
      <c r="B72" s="707" t="s">
        <v>1335</v>
      </c>
      <c r="C72" s="705">
        <v>7040</v>
      </c>
      <c r="D72" s="704">
        <f t="shared" si="32"/>
        <v>7040</v>
      </c>
      <c r="E72" s="704">
        <f t="shared" si="33"/>
        <v>7040</v>
      </c>
      <c r="F72" s="705"/>
      <c r="G72" s="704"/>
      <c r="H72" s="704"/>
      <c r="I72" s="704"/>
      <c r="J72" s="704"/>
      <c r="K72" s="704"/>
      <c r="L72" s="704"/>
      <c r="M72" s="387" t="s">
        <v>1351</v>
      </c>
      <c r="N72" s="755" t="s">
        <v>1291</v>
      </c>
      <c r="O72" s="761"/>
      <c r="P72" s="242"/>
      <c r="Q72" s="242"/>
    </row>
    <row r="73" spans="1:17" s="482" customFormat="1" x14ac:dyDescent="0.25">
      <c r="A73" s="699"/>
      <c r="B73" s="707"/>
      <c r="C73" s="705"/>
      <c r="D73" s="704">
        <f t="shared" si="32"/>
        <v>0</v>
      </c>
      <c r="E73" s="704">
        <f t="shared" si="33"/>
        <v>0</v>
      </c>
      <c r="F73" s="705"/>
      <c r="G73" s="705"/>
      <c r="H73" s="704"/>
      <c r="I73" s="704"/>
      <c r="J73" s="704"/>
      <c r="K73" s="704"/>
      <c r="L73" s="704"/>
      <c r="M73" s="387"/>
      <c r="N73" s="755"/>
      <c r="O73" s="761"/>
      <c r="P73" s="242"/>
      <c r="Q73" s="242"/>
    </row>
    <row r="74" spans="1:17" s="482" customFormat="1" x14ac:dyDescent="0.25">
      <c r="A74" s="699"/>
      <c r="B74" s="707" t="s">
        <v>1444</v>
      </c>
      <c r="C74" s="705">
        <v>2210</v>
      </c>
      <c r="D74" s="704">
        <f t="shared" si="32"/>
        <v>2210</v>
      </c>
      <c r="E74" s="704">
        <f t="shared" si="33"/>
        <v>2210</v>
      </c>
      <c r="F74" s="705"/>
      <c r="G74" s="705"/>
      <c r="H74" s="704"/>
      <c r="I74" s="704"/>
      <c r="J74" s="704"/>
      <c r="K74" s="704"/>
      <c r="L74" s="704"/>
      <c r="M74" s="387"/>
      <c r="N74" s="755"/>
      <c r="O74" s="761"/>
      <c r="P74" s="242"/>
      <c r="Q74" s="242"/>
    </row>
    <row r="75" spans="1:17" s="482" customFormat="1" ht="28.5" x14ac:dyDescent="0.25">
      <c r="A75" s="699"/>
      <c r="B75" s="707" t="s">
        <v>1445</v>
      </c>
      <c r="C75" s="705">
        <v>15000</v>
      </c>
      <c r="D75" s="704">
        <f t="shared" ref="D75:E75" si="36">15000-14403</f>
        <v>597</v>
      </c>
      <c r="E75" s="704">
        <f t="shared" si="36"/>
        <v>597</v>
      </c>
      <c r="F75" s="705"/>
      <c r="G75" s="705"/>
      <c r="H75" s="704"/>
      <c r="I75" s="704"/>
      <c r="J75" s="704"/>
      <c r="K75" s="704"/>
      <c r="L75" s="704"/>
      <c r="M75" s="387" t="s">
        <v>1284</v>
      </c>
      <c r="N75" s="755"/>
      <c r="O75" s="761"/>
      <c r="P75" s="242"/>
      <c r="Q75" s="242"/>
    </row>
    <row r="76" spans="1:17" s="482" customFormat="1" x14ac:dyDescent="0.25">
      <c r="A76" s="699"/>
      <c r="B76" s="707" t="s">
        <v>1488</v>
      </c>
      <c r="C76" s="705"/>
      <c r="D76" s="704"/>
      <c r="E76" s="704"/>
      <c r="F76" s="705"/>
      <c r="G76" s="705"/>
      <c r="H76" s="704"/>
      <c r="I76" s="704"/>
      <c r="J76" s="704"/>
      <c r="K76" s="704"/>
      <c r="L76" s="704"/>
      <c r="M76" s="387"/>
      <c r="N76" s="755"/>
      <c r="O76" s="761"/>
      <c r="P76" s="242"/>
      <c r="Q76" s="242"/>
    </row>
    <row r="77" spans="1:17" s="482" customFormat="1" ht="15.75" x14ac:dyDescent="0.25">
      <c r="A77" s="699" t="s">
        <v>565</v>
      </c>
      <c r="B77" s="700" t="s">
        <v>1157</v>
      </c>
      <c r="C77" s="710"/>
      <c r="D77" s="704">
        <f t="shared" ref="D77:E77" si="37">+C77</f>
        <v>0</v>
      </c>
      <c r="E77" s="704">
        <f t="shared" si="37"/>
        <v>0</v>
      </c>
      <c r="F77" s="710">
        <v>0</v>
      </c>
      <c r="G77" s="710"/>
      <c r="H77" s="704">
        <f t="shared" ref="H77:I80" si="38">+G77</f>
        <v>0</v>
      </c>
      <c r="I77" s="704">
        <f t="shared" si="38"/>
        <v>0</v>
      </c>
      <c r="J77" s="704">
        <f>+I77</f>
        <v>0</v>
      </c>
      <c r="K77" s="704">
        <f>+J77</f>
        <v>0</v>
      </c>
      <c r="L77" s="704">
        <f>+I77</f>
        <v>0</v>
      </c>
      <c r="M77" s="386"/>
      <c r="N77" s="754"/>
      <c r="O77" s="764"/>
      <c r="P77" s="242"/>
      <c r="Q77" s="242"/>
    </row>
    <row r="78" spans="1:17" s="483" customFormat="1" ht="15.75" x14ac:dyDescent="0.25">
      <c r="A78" s="699" t="s">
        <v>567</v>
      </c>
      <c r="B78" s="700" t="s">
        <v>1161</v>
      </c>
      <c r="C78" s="710">
        <f>SUM(C79:C79)</f>
        <v>1500</v>
      </c>
      <c r="D78" s="701">
        <f t="shared" ref="D78:E78" si="39">D79</f>
        <v>0</v>
      </c>
      <c r="E78" s="701">
        <f t="shared" si="39"/>
        <v>0</v>
      </c>
      <c r="F78" s="710">
        <f>SUM(F79:F79)</f>
        <v>0</v>
      </c>
      <c r="G78" s="710">
        <f>SUM(G79:G79)</f>
        <v>0</v>
      </c>
      <c r="H78" s="701">
        <f t="shared" si="38"/>
        <v>0</v>
      </c>
      <c r="I78" s="701">
        <f>I79</f>
        <v>0</v>
      </c>
      <c r="J78" s="701">
        <f>J79</f>
        <v>0</v>
      </c>
      <c r="K78" s="701">
        <f>K79</f>
        <v>0</v>
      </c>
      <c r="L78" s="701">
        <f>L79</f>
        <v>0</v>
      </c>
      <c r="M78" s="386"/>
      <c r="N78" s="754"/>
      <c r="O78" s="761"/>
      <c r="P78" s="242"/>
      <c r="Q78" s="242"/>
    </row>
    <row r="79" spans="1:17" s="482" customFormat="1" x14ac:dyDescent="0.25">
      <c r="A79" s="699"/>
      <c r="B79" s="716" t="s">
        <v>1328</v>
      </c>
      <c r="C79" s="705">
        <v>1500</v>
      </c>
      <c r="D79" s="704">
        <f t="shared" ref="D79:E79" si="40">1500-1500</f>
        <v>0</v>
      </c>
      <c r="E79" s="704">
        <f t="shared" si="40"/>
        <v>0</v>
      </c>
      <c r="F79" s="705">
        <v>0</v>
      </c>
      <c r="G79" s="705"/>
      <c r="H79" s="704"/>
      <c r="I79" s="704">
        <f>1500-1500</f>
        <v>0</v>
      </c>
      <c r="J79" s="704">
        <f>1500-1500</f>
        <v>0</v>
      </c>
      <c r="K79" s="704">
        <f>1500-1500</f>
        <v>0</v>
      </c>
      <c r="L79" s="704">
        <f>1500-1500</f>
        <v>0</v>
      </c>
      <c r="M79" s="387" t="s">
        <v>1351</v>
      </c>
      <c r="N79" s="755" t="s">
        <v>1297</v>
      </c>
      <c r="O79" s="761"/>
      <c r="P79" s="242"/>
      <c r="Q79" s="242"/>
    </row>
    <row r="80" spans="1:17" s="482" customFormat="1" ht="15.75" x14ac:dyDescent="0.25">
      <c r="A80" s="699" t="s">
        <v>569</v>
      </c>
      <c r="B80" s="700" t="s">
        <v>1152</v>
      </c>
      <c r="C80" s="710">
        <f>SUM(C81:C89)</f>
        <v>5755</v>
      </c>
      <c r="D80" s="701">
        <f t="shared" ref="D80:E80" si="41">SUM(D89:D91)</f>
        <v>30253</v>
      </c>
      <c r="E80" s="701">
        <f t="shared" si="41"/>
        <v>30253</v>
      </c>
      <c r="F80" s="710">
        <f>SUM(F81:F89)</f>
        <v>0</v>
      </c>
      <c r="G80" s="710">
        <f>SUM(G81:G89)</f>
        <v>0</v>
      </c>
      <c r="H80" s="701">
        <f t="shared" si="38"/>
        <v>0</v>
      </c>
      <c r="I80" s="701">
        <f>SUM(I89:I91)</f>
        <v>0</v>
      </c>
      <c r="J80" s="701">
        <f>SUM(J89:J91)</f>
        <v>0</v>
      </c>
      <c r="K80" s="701">
        <f>SUM(K89:K91)</f>
        <v>0</v>
      </c>
      <c r="L80" s="701">
        <f>SUM(L89:L91)</f>
        <v>0</v>
      </c>
      <c r="M80" s="386"/>
      <c r="N80" s="754"/>
      <c r="O80" s="764"/>
      <c r="P80" s="242"/>
      <c r="Q80" s="242">
        <f>126930-106742</f>
        <v>20188</v>
      </c>
    </row>
    <row r="81" spans="1:17" s="483" customFormat="1" ht="15.75" x14ac:dyDescent="0.25">
      <c r="A81" s="699"/>
      <c r="B81" s="707" t="s">
        <v>1168</v>
      </c>
      <c r="C81" s="705">
        <f>+'2C Önk bev kiad fel'!M32+'2C Önk bev kiad fel'!M111</f>
        <v>0</v>
      </c>
      <c r="D81" s="705"/>
      <c r="E81" s="705"/>
      <c r="F81" s="705"/>
      <c r="G81" s="705">
        <f>+'2C Önk bev kiad fel'!Q32+'2C Önk bev kiad fel'!Q111</f>
        <v>0</v>
      </c>
      <c r="H81" s="705"/>
      <c r="I81" s="705"/>
      <c r="J81" s="705"/>
      <c r="K81" s="705"/>
      <c r="L81" s="705"/>
      <c r="M81" s="387" t="s">
        <v>1351</v>
      </c>
      <c r="N81" s="755" t="s">
        <v>1292</v>
      </c>
      <c r="O81" s="761"/>
      <c r="P81" s="242"/>
      <c r="Q81" s="242">
        <f>306812-292445</f>
        <v>14367</v>
      </c>
    </row>
    <row r="82" spans="1:17" s="482" customFormat="1" x14ac:dyDescent="0.25">
      <c r="A82" s="699"/>
      <c r="B82" s="717" t="s">
        <v>1329</v>
      </c>
      <c r="C82" s="705"/>
      <c r="D82" s="705"/>
      <c r="E82" s="705"/>
      <c r="F82" s="705"/>
      <c r="G82" s="705"/>
      <c r="H82" s="705"/>
      <c r="I82" s="705"/>
      <c r="J82" s="705"/>
      <c r="K82" s="705"/>
      <c r="L82" s="705"/>
      <c r="M82" s="387" t="s">
        <v>1284</v>
      </c>
      <c r="N82" s="755" t="s">
        <v>1298</v>
      </c>
      <c r="O82" s="765"/>
      <c r="P82" s="242"/>
      <c r="Q82" s="242">
        <v>9500</v>
      </c>
    </row>
    <row r="83" spans="1:17" s="476" customFormat="1" x14ac:dyDescent="0.25">
      <c r="A83" s="699"/>
      <c r="B83" s="703"/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387" t="s">
        <v>1284</v>
      </c>
      <c r="N83" s="755" t="s">
        <v>1397</v>
      </c>
      <c r="O83" s="765"/>
      <c r="P83" s="242"/>
      <c r="Q83" s="242">
        <f>5001-3401</f>
        <v>1600</v>
      </c>
    </row>
    <row r="84" spans="1:17" s="476" customFormat="1" x14ac:dyDescent="0.25">
      <c r="A84" s="699"/>
      <c r="B84" s="717"/>
      <c r="C84" s="705"/>
      <c r="D84" s="705"/>
      <c r="E84" s="705"/>
      <c r="F84" s="705"/>
      <c r="G84" s="705"/>
      <c r="H84" s="705"/>
      <c r="I84" s="705"/>
      <c r="J84" s="705"/>
      <c r="K84" s="705"/>
      <c r="L84" s="705"/>
      <c r="M84" s="387" t="s">
        <v>1284</v>
      </c>
      <c r="N84" s="755" t="s">
        <v>1343</v>
      </c>
      <c r="O84" s="765"/>
      <c r="P84" s="242"/>
      <c r="Q84" s="242">
        <v>3210</v>
      </c>
    </row>
    <row r="85" spans="1:17" s="476" customFormat="1" x14ac:dyDescent="0.25">
      <c r="A85" s="699"/>
      <c r="B85" s="717"/>
      <c r="C85" s="705"/>
      <c r="D85" s="705"/>
      <c r="E85" s="705"/>
      <c r="F85" s="705"/>
      <c r="G85" s="705"/>
      <c r="H85" s="705"/>
      <c r="I85" s="705"/>
      <c r="J85" s="705"/>
      <c r="K85" s="705"/>
      <c r="L85" s="705"/>
      <c r="M85" s="387" t="s">
        <v>1284</v>
      </c>
      <c r="N85" s="755" t="s">
        <v>1350</v>
      </c>
      <c r="O85" s="765"/>
      <c r="P85" s="242"/>
      <c r="Q85" s="242">
        <v>15000</v>
      </c>
    </row>
    <row r="86" spans="1:17" s="476" customFormat="1" x14ac:dyDescent="0.25">
      <c r="A86" s="699"/>
      <c r="B86" s="717"/>
      <c r="C86" s="705"/>
      <c r="D86" s="705"/>
      <c r="E86" s="705"/>
      <c r="F86" s="705"/>
      <c r="G86" s="705"/>
      <c r="H86" s="705"/>
      <c r="I86" s="705"/>
      <c r="J86" s="705"/>
      <c r="K86" s="705"/>
      <c r="L86" s="705"/>
      <c r="M86" s="387" t="s">
        <v>1284</v>
      </c>
      <c r="N86" s="755" t="s">
        <v>1343</v>
      </c>
      <c r="O86" s="765"/>
      <c r="P86" s="242"/>
      <c r="Q86" s="242">
        <v>17402</v>
      </c>
    </row>
    <row r="87" spans="1:17" s="476" customFormat="1" x14ac:dyDescent="0.25">
      <c r="A87" s="699"/>
      <c r="B87" s="707"/>
      <c r="C87" s="705"/>
      <c r="D87" s="705"/>
      <c r="E87" s="705"/>
      <c r="F87" s="705"/>
      <c r="G87" s="705"/>
      <c r="H87" s="705"/>
      <c r="I87" s="705"/>
      <c r="J87" s="705"/>
      <c r="K87" s="705"/>
      <c r="L87" s="705"/>
      <c r="M87" s="387"/>
      <c r="N87" s="755" t="s">
        <v>1375</v>
      </c>
      <c r="O87" s="765">
        <v>122526</v>
      </c>
      <c r="P87" s="242"/>
      <c r="Q87" s="242">
        <f>SUM(Q80:Q86)</f>
        <v>81267</v>
      </c>
    </row>
    <row r="88" spans="1:17" s="476" customFormat="1" x14ac:dyDescent="0.25">
      <c r="A88" s="699"/>
      <c r="B88" s="717"/>
      <c r="C88" s="705"/>
      <c r="D88" s="705"/>
      <c r="E88" s="705"/>
      <c r="F88" s="705"/>
      <c r="G88" s="705"/>
      <c r="H88" s="705"/>
      <c r="I88" s="705"/>
      <c r="J88" s="705"/>
      <c r="K88" s="705"/>
      <c r="L88" s="705"/>
      <c r="M88" s="387"/>
      <c r="N88" s="755" t="s">
        <v>1401</v>
      </c>
      <c r="O88" s="765"/>
      <c r="P88" s="242"/>
      <c r="Q88" s="242"/>
    </row>
    <row r="89" spans="1:17" s="476" customFormat="1" x14ac:dyDescent="0.25">
      <c r="A89" s="699"/>
      <c r="B89" s="717" t="s">
        <v>1446</v>
      </c>
      <c r="C89" s="705">
        <f>3850+1905</f>
        <v>5755</v>
      </c>
      <c r="D89" s="704">
        <f t="shared" ref="D89:E89" si="42">+C89</f>
        <v>5755</v>
      </c>
      <c r="E89" s="704">
        <f t="shared" si="42"/>
        <v>5755</v>
      </c>
      <c r="F89" s="705"/>
      <c r="G89" s="705"/>
      <c r="H89" s="704"/>
      <c r="I89" s="704"/>
      <c r="J89" s="704"/>
      <c r="K89" s="704"/>
      <c r="L89" s="704"/>
      <c r="M89" s="387"/>
      <c r="N89" s="755" t="s">
        <v>1407</v>
      </c>
      <c r="O89" s="765"/>
      <c r="P89" s="242"/>
      <c r="Q89" s="242"/>
    </row>
    <row r="90" spans="1:17" s="476" customFormat="1" x14ac:dyDescent="0.25">
      <c r="A90" s="699"/>
      <c r="B90" s="717" t="s">
        <v>1462</v>
      </c>
      <c r="C90" s="705"/>
      <c r="D90" s="704">
        <f t="shared" ref="D90:E90" si="43">4101+97+14200</f>
        <v>18398</v>
      </c>
      <c r="E90" s="704">
        <f t="shared" si="43"/>
        <v>18398</v>
      </c>
      <c r="F90" s="705"/>
      <c r="G90" s="705"/>
      <c r="H90" s="704"/>
      <c r="I90" s="704"/>
      <c r="J90" s="704"/>
      <c r="K90" s="704"/>
      <c r="L90" s="704"/>
      <c r="M90" s="387"/>
      <c r="N90" s="755"/>
      <c r="O90" s="765"/>
      <c r="P90" s="242"/>
      <c r="Q90" s="242"/>
    </row>
    <row r="91" spans="1:17" s="476" customFormat="1" x14ac:dyDescent="0.25">
      <c r="A91" s="699"/>
      <c r="B91" s="717" t="s">
        <v>1463</v>
      </c>
      <c r="C91" s="705"/>
      <c r="D91" s="704">
        <v>6100</v>
      </c>
      <c r="E91" s="704">
        <v>6100</v>
      </c>
      <c r="F91" s="705"/>
      <c r="G91" s="705"/>
      <c r="H91" s="704"/>
      <c r="I91" s="704"/>
      <c r="J91" s="704"/>
      <c r="K91" s="704"/>
      <c r="L91" s="704"/>
      <c r="M91" s="387"/>
      <c r="N91" s="755"/>
      <c r="O91" s="765"/>
      <c r="P91" s="242"/>
      <c r="Q91" s="242"/>
    </row>
    <row r="92" spans="1:17" s="476" customFormat="1" x14ac:dyDescent="0.25">
      <c r="A92" s="699" t="s">
        <v>570</v>
      </c>
      <c r="B92" s="700" t="s">
        <v>1421</v>
      </c>
      <c r="C92" s="710">
        <f>23853+2850</f>
        <v>26703</v>
      </c>
      <c r="D92" s="701">
        <f t="shared" ref="D92:E92" si="44">22148-2804-5756</f>
        <v>13588</v>
      </c>
      <c r="E92" s="701">
        <f t="shared" si="44"/>
        <v>13588</v>
      </c>
      <c r="F92" s="705"/>
      <c r="G92" s="710"/>
      <c r="H92" s="701"/>
      <c r="I92" s="701"/>
      <c r="J92" s="701"/>
      <c r="K92" s="701"/>
      <c r="L92" s="701"/>
      <c r="M92" s="387"/>
      <c r="N92" s="755"/>
      <c r="O92" s="765">
        <v>3661</v>
      </c>
      <c r="P92" s="242"/>
      <c r="Q92" s="242"/>
    </row>
    <row r="93" spans="1:17" s="476" customFormat="1" x14ac:dyDescent="0.25">
      <c r="A93" s="696" t="s">
        <v>318</v>
      </c>
      <c r="B93" s="697" t="s">
        <v>341</v>
      </c>
      <c r="C93" s="698">
        <f>C94+C99+C103+C105+C107+C109+C111+C114+C116+C117</f>
        <v>38884</v>
      </c>
      <c r="D93" s="698">
        <f>D94+D99+D103+D105+D107+D109+D111+D114+D116+D117</f>
        <v>55489</v>
      </c>
      <c r="E93" s="698">
        <f>E94+E99+E103+E105+E107+E109+E111+E114+E116+E117</f>
        <v>55489</v>
      </c>
      <c r="F93" s="698">
        <f>F94+F99+F103+F105+F107+F109+F111+F114+F116+F117</f>
        <v>0</v>
      </c>
      <c r="G93" s="698">
        <f>G94+G99+G103+G105+G107+G109+G111+G114+G116+G117</f>
        <v>22533.65</v>
      </c>
      <c r="H93" s="698">
        <f t="shared" ref="H93:I93" si="45">H94+H99+H103+H105+H107+H109+H111+H114+H116+H117</f>
        <v>22533.65</v>
      </c>
      <c r="I93" s="698">
        <f t="shared" si="45"/>
        <v>21512.65</v>
      </c>
      <c r="J93" s="698">
        <f t="shared" ref="J93:K93" si="46">J94+J99+J103+J105+J107+J109+J111+J114+J116+J117</f>
        <v>4755</v>
      </c>
      <c r="K93" s="698">
        <f t="shared" si="46"/>
        <v>1770</v>
      </c>
      <c r="L93" s="698">
        <f t="shared" ref="L93" si="47">L94+L99+L103+L105+L107+L109+L111+L114+L116+L117</f>
        <v>0</v>
      </c>
      <c r="M93" s="387"/>
      <c r="N93" s="755"/>
      <c r="O93" s="765"/>
      <c r="P93" s="242"/>
      <c r="Q93" s="242"/>
    </row>
    <row r="94" spans="1:17" s="476" customFormat="1" x14ac:dyDescent="0.25">
      <c r="A94" s="693" t="s">
        <v>311</v>
      </c>
      <c r="B94" s="718" t="s">
        <v>992</v>
      </c>
      <c r="C94" s="711">
        <f t="shared" ref="C94:G94" si="48">SUM(C95:C98)</f>
        <v>12750</v>
      </c>
      <c r="D94" s="711">
        <f t="shared" si="48"/>
        <v>27985</v>
      </c>
      <c r="E94" s="711">
        <f t="shared" si="48"/>
        <v>27985</v>
      </c>
      <c r="F94" s="711">
        <f t="shared" si="48"/>
        <v>0</v>
      </c>
      <c r="G94" s="711">
        <f t="shared" si="48"/>
        <v>0</v>
      </c>
      <c r="H94" s="701">
        <f t="shared" ref="H94:I94" si="49">+G94</f>
        <v>0</v>
      </c>
      <c r="I94" s="701">
        <f t="shared" si="49"/>
        <v>0</v>
      </c>
      <c r="J94" s="701">
        <f t="shared" ref="J94:K94" si="50">+I94</f>
        <v>0</v>
      </c>
      <c r="K94" s="701">
        <f t="shared" si="50"/>
        <v>0</v>
      </c>
      <c r="L94" s="701">
        <f>SUM(L95:L98)</f>
        <v>0</v>
      </c>
      <c r="M94" s="388"/>
      <c r="N94" s="758"/>
      <c r="O94" s="765"/>
    </row>
    <row r="95" spans="1:17" s="476" customFormat="1" x14ac:dyDescent="0.25">
      <c r="A95" s="719"/>
      <c r="B95" s="720" t="s">
        <v>1322</v>
      </c>
      <c r="C95" s="706">
        <v>2540</v>
      </c>
      <c r="D95" s="706">
        <f>4000*1.27</f>
        <v>5080</v>
      </c>
      <c r="E95" s="706">
        <f>4000*1.27</f>
        <v>5080</v>
      </c>
      <c r="F95" s="706"/>
      <c r="G95" s="706"/>
      <c r="H95" s="704"/>
      <c r="I95" s="704"/>
      <c r="J95" s="704"/>
      <c r="K95" s="704"/>
      <c r="L95" s="704"/>
      <c r="M95" s="387"/>
      <c r="N95" s="755"/>
      <c r="O95" s="765"/>
    </row>
    <row r="96" spans="1:17" s="476" customFormat="1" x14ac:dyDescent="0.25">
      <c r="A96" s="719"/>
      <c r="B96" s="720" t="s">
        <v>993</v>
      </c>
      <c r="C96" s="706">
        <v>4445</v>
      </c>
      <c r="D96" s="706">
        <f>3500*1.27</f>
        <v>4445</v>
      </c>
      <c r="E96" s="706">
        <f>3500*1.27</f>
        <v>4445</v>
      </c>
      <c r="F96" s="706"/>
      <c r="G96" s="706"/>
      <c r="H96" s="704"/>
      <c r="I96" s="704"/>
      <c r="J96" s="704"/>
      <c r="K96" s="704"/>
      <c r="L96" s="704"/>
      <c r="M96" s="387"/>
      <c r="N96" s="755"/>
      <c r="O96" s="765"/>
    </row>
    <row r="97" spans="1:17" s="476" customFormat="1" x14ac:dyDescent="0.25">
      <c r="A97" s="719"/>
      <c r="B97" s="720" t="s">
        <v>1323</v>
      </c>
      <c r="C97" s="706">
        <v>4445</v>
      </c>
      <c r="D97" s="706">
        <f>3500*1.27</f>
        <v>4445</v>
      </c>
      <c r="E97" s="706">
        <f>3500*1.27</f>
        <v>4445</v>
      </c>
      <c r="F97" s="706"/>
      <c r="G97" s="706"/>
      <c r="H97" s="704"/>
      <c r="I97" s="704"/>
      <c r="J97" s="704"/>
      <c r="K97" s="704"/>
      <c r="L97" s="704"/>
      <c r="M97" s="387"/>
      <c r="N97" s="755"/>
      <c r="O97" s="765"/>
    </row>
    <row r="98" spans="1:17" s="476" customFormat="1" x14ac:dyDescent="0.25">
      <c r="A98" s="719"/>
      <c r="B98" s="720" t="s">
        <v>994</v>
      </c>
      <c r="C98" s="706">
        <v>1320</v>
      </c>
      <c r="D98" s="706">
        <f>45+11000*1.27</f>
        <v>14015</v>
      </c>
      <c r="E98" s="706">
        <f>45+11000*1.27</f>
        <v>14015</v>
      </c>
      <c r="F98" s="706"/>
      <c r="G98" s="706"/>
      <c r="H98" s="704"/>
      <c r="I98" s="704"/>
      <c r="J98" s="704"/>
      <c r="K98" s="704"/>
      <c r="L98" s="704"/>
      <c r="M98" s="387"/>
      <c r="N98" s="755"/>
      <c r="O98" s="765"/>
    </row>
    <row r="99" spans="1:17" s="476" customFormat="1" x14ac:dyDescent="0.25">
      <c r="A99" s="693" t="s">
        <v>322</v>
      </c>
      <c r="B99" s="718" t="s">
        <v>995</v>
      </c>
      <c r="C99" s="710">
        <f>SUM(C101)</f>
        <v>16875</v>
      </c>
      <c r="D99" s="710">
        <f>SUM(D100:D101)</f>
        <v>14550</v>
      </c>
      <c r="E99" s="710">
        <f>SUM(E100:E102)</f>
        <v>14550</v>
      </c>
      <c r="F99" s="710">
        <f>SUM(F100:F102)</f>
        <v>0</v>
      </c>
      <c r="G99" s="710">
        <f>SUM(G100:G102)</f>
        <v>0</v>
      </c>
      <c r="H99" s="701">
        <f>SUM(H101)</f>
        <v>0</v>
      </c>
      <c r="I99" s="701">
        <f>SUM(I101)</f>
        <v>0</v>
      </c>
      <c r="J99" s="701">
        <f>SUM(J101)</f>
        <v>0</v>
      </c>
      <c r="K99" s="701">
        <f>SUM(K101)</f>
        <v>0</v>
      </c>
      <c r="L99" s="701">
        <f>SUM(L101)</f>
        <v>0</v>
      </c>
      <c r="M99" s="388"/>
      <c r="N99" s="758"/>
      <c r="O99" s="765"/>
    </row>
    <row r="100" spans="1:17" s="476" customFormat="1" x14ac:dyDescent="0.25">
      <c r="A100" s="712"/>
      <c r="B100" s="720"/>
      <c r="C100" s="705"/>
      <c r="D100" s="705"/>
      <c r="E100" s="705"/>
      <c r="F100" s="705"/>
      <c r="G100" s="705"/>
      <c r="H100" s="705"/>
      <c r="I100" s="705"/>
      <c r="J100" s="705"/>
      <c r="K100" s="705"/>
      <c r="L100" s="705"/>
      <c r="M100" s="519"/>
      <c r="N100" s="759"/>
      <c r="O100" s="765"/>
    </row>
    <row r="101" spans="1:17" s="476" customFormat="1" x14ac:dyDescent="0.25">
      <c r="A101" s="719"/>
      <c r="B101" s="720" t="s">
        <v>994</v>
      </c>
      <c r="C101" s="704">
        <f>18527-1016-635-1</f>
        <v>16875</v>
      </c>
      <c r="D101" s="704">
        <f>4572+3121+6857</f>
        <v>14550</v>
      </c>
      <c r="E101" s="704">
        <f>4572+3121+6857</f>
        <v>14550</v>
      </c>
      <c r="F101" s="704"/>
      <c r="G101" s="704"/>
      <c r="H101" s="704"/>
      <c r="I101" s="704"/>
      <c r="J101" s="704"/>
      <c r="K101" s="704"/>
      <c r="L101" s="704"/>
      <c r="M101" s="387"/>
      <c r="N101" s="755"/>
      <c r="O101" s="765"/>
    </row>
    <row r="102" spans="1:17" s="476" customFormat="1" x14ac:dyDescent="0.25">
      <c r="A102" s="719"/>
      <c r="B102" s="720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387"/>
      <c r="N102" s="755"/>
      <c r="O102" s="765"/>
    </row>
    <row r="103" spans="1:17" s="476" customFormat="1" x14ac:dyDescent="0.25">
      <c r="A103" s="693" t="s">
        <v>315</v>
      </c>
      <c r="B103" s="718" t="s">
        <v>347</v>
      </c>
      <c r="C103" s="710">
        <f>SUM(C104)</f>
        <v>845</v>
      </c>
      <c r="D103" s="710">
        <f>SUM(D104)</f>
        <v>0</v>
      </c>
      <c r="E103" s="710">
        <f>SUM(E104)</f>
        <v>0</v>
      </c>
      <c r="F103" s="710">
        <f>SUM(F104)</f>
        <v>0</v>
      </c>
      <c r="G103" s="710">
        <f>SUM(G104)</f>
        <v>1470</v>
      </c>
      <c r="H103" s="701">
        <f t="shared" ref="H103:I115" si="51">+G103</f>
        <v>1470</v>
      </c>
      <c r="I103" s="701">
        <f t="shared" si="51"/>
        <v>1470</v>
      </c>
      <c r="J103" s="701">
        <f>+I103</f>
        <v>1470</v>
      </c>
      <c r="K103" s="701">
        <f>+J103</f>
        <v>1470</v>
      </c>
      <c r="L103" s="701">
        <f>+L104</f>
        <v>0</v>
      </c>
      <c r="M103" s="388"/>
      <c r="N103" s="758"/>
      <c r="O103" s="765"/>
    </row>
    <row r="104" spans="1:17" s="476" customFormat="1" x14ac:dyDescent="0.25">
      <c r="A104" s="719"/>
      <c r="B104" s="720" t="s">
        <v>1169</v>
      </c>
      <c r="C104" s="704">
        <v>845</v>
      </c>
      <c r="D104" s="704"/>
      <c r="E104" s="704"/>
      <c r="F104" s="704"/>
      <c r="G104" s="704">
        <f>+'5 GSZNR fel'!Q13+'5 GSZNR fel'!Q18</f>
        <v>1470</v>
      </c>
      <c r="H104" s="704">
        <f t="shared" si="51"/>
        <v>1470</v>
      </c>
      <c r="I104" s="704">
        <f t="shared" si="51"/>
        <v>1470</v>
      </c>
      <c r="J104" s="704">
        <f>+I104</f>
        <v>1470</v>
      </c>
      <c r="K104" s="704">
        <f>+J104</f>
        <v>1470</v>
      </c>
      <c r="L104" s="704"/>
      <c r="M104" s="387"/>
      <c r="N104" s="755"/>
      <c r="O104" s="765"/>
    </row>
    <row r="105" spans="1:17" s="476" customFormat="1" ht="15.75" x14ac:dyDescent="0.25">
      <c r="A105" s="721" t="s">
        <v>336</v>
      </c>
      <c r="B105" s="718" t="s">
        <v>996</v>
      </c>
      <c r="C105" s="710">
        <f>SUM(C106)</f>
        <v>762</v>
      </c>
      <c r="D105" s="710">
        <f>SUM(D106)</f>
        <v>1103</v>
      </c>
      <c r="E105" s="710">
        <f>SUM(E106)</f>
        <v>1103</v>
      </c>
      <c r="F105" s="710">
        <f>SUM(F106)</f>
        <v>0</v>
      </c>
      <c r="G105" s="710">
        <f>SUM(G106)</f>
        <v>0</v>
      </c>
      <c r="H105" s="701">
        <f t="shared" si="51"/>
        <v>0</v>
      </c>
      <c r="I105" s="701">
        <f t="shared" si="51"/>
        <v>0</v>
      </c>
      <c r="J105" s="701">
        <f>J106</f>
        <v>0</v>
      </c>
      <c r="K105" s="701">
        <f>K106</f>
        <v>0</v>
      </c>
      <c r="L105" s="701">
        <f>+L106</f>
        <v>0</v>
      </c>
      <c r="M105" s="386"/>
      <c r="N105" s="754"/>
      <c r="O105" s="766"/>
      <c r="P105" s="486"/>
      <c r="Q105" s="486"/>
    </row>
    <row r="106" spans="1:17" s="476" customFormat="1" x14ac:dyDescent="0.25">
      <c r="A106" s="719"/>
      <c r="B106" s="720" t="s">
        <v>1169</v>
      </c>
      <c r="C106" s="704">
        <v>762</v>
      </c>
      <c r="D106" s="704">
        <f>635+368+100</f>
        <v>1103</v>
      </c>
      <c r="E106" s="704">
        <f>635+368+100</f>
        <v>1103</v>
      </c>
      <c r="F106" s="704"/>
      <c r="G106" s="704">
        <f>+'5 GSZNR fel'!Q27+'5 GSZNR fel'!Q32</f>
        <v>0</v>
      </c>
      <c r="H106" s="704">
        <f t="shared" si="51"/>
        <v>0</v>
      </c>
      <c r="I106" s="704">
        <f t="shared" si="51"/>
        <v>0</v>
      </c>
      <c r="J106" s="704"/>
      <c r="K106" s="704"/>
      <c r="L106" s="704"/>
      <c r="M106" s="387"/>
      <c r="N106" s="755"/>
      <c r="O106" s="765"/>
    </row>
    <row r="107" spans="1:17" s="486" customFormat="1" ht="15.75" x14ac:dyDescent="0.25">
      <c r="A107" s="721" t="s">
        <v>338</v>
      </c>
      <c r="B107" s="718" t="s">
        <v>997</v>
      </c>
      <c r="C107" s="710">
        <f>SUM(C108)</f>
        <v>635</v>
      </c>
      <c r="D107" s="710">
        <f>SUM(D108)</f>
        <v>0</v>
      </c>
      <c r="E107" s="710">
        <f>SUM(E108)</f>
        <v>0</v>
      </c>
      <c r="F107" s="710">
        <f>SUM(F108)</f>
        <v>0</v>
      </c>
      <c r="G107" s="710">
        <f>SUM(G108)</f>
        <v>300</v>
      </c>
      <c r="H107" s="701">
        <f t="shared" si="51"/>
        <v>300</v>
      </c>
      <c r="I107" s="701">
        <f t="shared" si="51"/>
        <v>300</v>
      </c>
      <c r="J107" s="701">
        <f>+I107</f>
        <v>300</v>
      </c>
      <c r="K107" s="701">
        <f>+J107</f>
        <v>300</v>
      </c>
      <c r="L107" s="701">
        <f>+L108</f>
        <v>0</v>
      </c>
      <c r="M107" s="386"/>
      <c r="N107" s="754"/>
      <c r="O107" s="766"/>
    </row>
    <row r="108" spans="1:17" s="476" customFormat="1" x14ac:dyDescent="0.25">
      <c r="A108" s="719"/>
      <c r="B108" s="720" t="s">
        <v>1169</v>
      </c>
      <c r="C108" s="704">
        <v>635</v>
      </c>
      <c r="D108" s="704"/>
      <c r="E108" s="704"/>
      <c r="F108" s="704"/>
      <c r="G108" s="704">
        <f>+'5 GSZNR fel'!Q41+'5 GSZNR fel'!Q46</f>
        <v>300</v>
      </c>
      <c r="H108" s="704">
        <f t="shared" si="51"/>
        <v>300</v>
      </c>
      <c r="I108" s="704">
        <f t="shared" si="51"/>
        <v>300</v>
      </c>
      <c r="J108" s="704">
        <f>+I108</f>
        <v>300</v>
      </c>
      <c r="K108" s="704">
        <f>+J108</f>
        <v>300</v>
      </c>
      <c r="L108" s="704"/>
      <c r="M108" s="387"/>
      <c r="N108" s="755"/>
      <c r="O108" s="765"/>
    </row>
    <row r="109" spans="1:17" s="486" customFormat="1" ht="15.75" x14ac:dyDescent="0.25">
      <c r="A109" s="721" t="s">
        <v>560</v>
      </c>
      <c r="B109" s="718" t="s">
        <v>356</v>
      </c>
      <c r="C109" s="710">
        <f>SUM(C110)</f>
        <v>2464</v>
      </c>
      <c r="D109" s="710">
        <f>SUM(D110)</f>
        <v>5216</v>
      </c>
      <c r="E109" s="710">
        <f>SUM(E110)</f>
        <v>5216</v>
      </c>
      <c r="F109" s="710">
        <f>SUM(F110)</f>
        <v>0</v>
      </c>
      <c r="G109" s="710">
        <f>SUM(G110)</f>
        <v>16757.650000000001</v>
      </c>
      <c r="H109" s="701">
        <f t="shared" si="51"/>
        <v>16757.650000000001</v>
      </c>
      <c r="I109" s="701">
        <f t="shared" si="51"/>
        <v>16757.650000000001</v>
      </c>
      <c r="J109" s="701">
        <f>J110</f>
        <v>0</v>
      </c>
      <c r="K109" s="701">
        <f>K110</f>
        <v>0</v>
      </c>
      <c r="L109" s="701">
        <f>+L110</f>
        <v>0</v>
      </c>
      <c r="M109" s="386"/>
      <c r="N109" s="754"/>
      <c r="O109" s="766"/>
    </row>
    <row r="110" spans="1:17" s="476" customFormat="1" x14ac:dyDescent="0.25">
      <c r="A110" s="719"/>
      <c r="B110" s="720" t="s">
        <v>1169</v>
      </c>
      <c r="C110" s="704">
        <v>2464</v>
      </c>
      <c r="D110" s="704">
        <f>5525-243-66</f>
        <v>5216</v>
      </c>
      <c r="E110" s="704">
        <f>5525-243-66</f>
        <v>5216</v>
      </c>
      <c r="F110" s="704"/>
      <c r="G110" s="704">
        <f>+'5 GSZNR fel'!Q55+'5 GSZNR fel'!Q61+'5 GSZNR fel'!Q66</f>
        <v>16757.650000000001</v>
      </c>
      <c r="H110" s="704">
        <f t="shared" si="51"/>
        <v>16757.650000000001</v>
      </c>
      <c r="I110" s="704">
        <f t="shared" si="51"/>
        <v>16757.650000000001</v>
      </c>
      <c r="J110" s="704"/>
      <c r="K110" s="704"/>
      <c r="L110" s="704"/>
      <c r="M110" s="387"/>
      <c r="N110" s="755"/>
      <c r="O110" s="765"/>
    </row>
    <row r="111" spans="1:17" s="486" customFormat="1" ht="15.75" x14ac:dyDescent="0.25">
      <c r="A111" s="721" t="s">
        <v>562</v>
      </c>
      <c r="B111" s="718" t="s">
        <v>359</v>
      </c>
      <c r="C111" s="710">
        <f t="shared" ref="C111:G111" si="52">SUM(C112:C113)</f>
        <v>2711</v>
      </c>
      <c r="D111" s="710">
        <f t="shared" si="52"/>
        <v>3760</v>
      </c>
      <c r="E111" s="710">
        <f t="shared" si="52"/>
        <v>3760</v>
      </c>
      <c r="F111" s="710">
        <f t="shared" si="52"/>
        <v>0</v>
      </c>
      <c r="G111" s="710">
        <f t="shared" si="52"/>
        <v>771</v>
      </c>
      <c r="H111" s="701">
        <f t="shared" si="51"/>
        <v>771</v>
      </c>
      <c r="I111" s="701">
        <f>I112+I113</f>
        <v>0</v>
      </c>
      <c r="J111" s="701">
        <f>J112+J113</f>
        <v>0</v>
      </c>
      <c r="K111" s="701">
        <f>K112+K113</f>
        <v>0</v>
      </c>
      <c r="L111" s="701">
        <f>L112+L113</f>
        <v>0</v>
      </c>
      <c r="M111" s="386"/>
      <c r="N111" s="754"/>
      <c r="O111" s="766"/>
    </row>
    <row r="112" spans="1:17" s="476" customFormat="1" x14ac:dyDescent="0.25">
      <c r="A112" s="719"/>
      <c r="B112" s="720" t="s">
        <v>1072</v>
      </c>
      <c r="C112" s="704">
        <v>2000</v>
      </c>
      <c r="D112" s="704">
        <f>2000+100</f>
        <v>2100</v>
      </c>
      <c r="E112" s="704">
        <f>2000+100</f>
        <v>2100</v>
      </c>
      <c r="F112" s="704"/>
      <c r="G112" s="704">
        <f>+'5 GSZNR fel'!Q85</f>
        <v>0</v>
      </c>
      <c r="H112" s="704">
        <f t="shared" si="51"/>
        <v>0</v>
      </c>
      <c r="I112" s="704"/>
      <c r="J112" s="704"/>
      <c r="K112" s="704"/>
      <c r="L112" s="704"/>
      <c r="M112" s="387"/>
      <c r="N112" s="755"/>
      <c r="O112" s="765"/>
    </row>
    <row r="113" spans="1:17" s="486" customFormat="1" ht="15.75" x14ac:dyDescent="0.25">
      <c r="A113" s="719"/>
      <c r="B113" s="720" t="s">
        <v>1169</v>
      </c>
      <c r="C113" s="704">
        <v>711</v>
      </c>
      <c r="D113" s="704">
        <f>1661-1</f>
        <v>1660</v>
      </c>
      <c r="E113" s="704">
        <f>1661-1</f>
        <v>1660</v>
      </c>
      <c r="F113" s="704"/>
      <c r="G113" s="704">
        <f>+'5 GSZNR fel'!Q80+'5 GSZNR fel'!Q85+'5 GSZNR fel'!Q91</f>
        <v>771</v>
      </c>
      <c r="H113" s="704">
        <f t="shared" si="51"/>
        <v>771</v>
      </c>
      <c r="I113" s="704"/>
      <c r="J113" s="704"/>
      <c r="K113" s="704"/>
      <c r="L113" s="704"/>
      <c r="M113" s="387"/>
      <c r="N113" s="755"/>
      <c r="O113" s="765"/>
      <c r="P113" s="476"/>
      <c r="Q113" s="476"/>
    </row>
    <row r="114" spans="1:17" s="476" customFormat="1" x14ac:dyDescent="0.25">
      <c r="A114" s="693" t="s">
        <v>564</v>
      </c>
      <c r="B114" s="718" t="s">
        <v>362</v>
      </c>
      <c r="C114" s="710">
        <f>SUM(C115)</f>
        <v>1385</v>
      </c>
      <c r="D114" s="710">
        <f>SUM(D115)</f>
        <v>1095</v>
      </c>
      <c r="E114" s="710">
        <f>SUM(E115)</f>
        <v>1095</v>
      </c>
      <c r="F114" s="710">
        <f>SUM(F115)</f>
        <v>0</v>
      </c>
      <c r="G114" s="710">
        <f>SUM(G115)</f>
        <v>250</v>
      </c>
      <c r="H114" s="701">
        <f t="shared" si="51"/>
        <v>250</v>
      </c>
      <c r="I114" s="701">
        <f>I115</f>
        <v>0</v>
      </c>
      <c r="J114" s="701">
        <f>J115</f>
        <v>0</v>
      </c>
      <c r="K114" s="701">
        <f>K115</f>
        <v>0</v>
      </c>
      <c r="L114" s="701">
        <f>L115</f>
        <v>0</v>
      </c>
      <c r="M114" s="388"/>
      <c r="N114" s="758"/>
      <c r="O114" s="485"/>
    </row>
    <row r="115" spans="1:17" s="476" customFormat="1" x14ac:dyDescent="0.25">
      <c r="A115" s="719"/>
      <c r="B115" s="720" t="s">
        <v>1169</v>
      </c>
      <c r="C115" s="704">
        <v>1385</v>
      </c>
      <c r="D115" s="704">
        <f>1345+250-200-300</f>
        <v>1095</v>
      </c>
      <c r="E115" s="704">
        <f>1345+250-200-300</f>
        <v>1095</v>
      </c>
      <c r="F115" s="704"/>
      <c r="G115" s="704">
        <f>+'5 GSZNR fel'!Q99+'5 GSZNR fel'!Q104+'5 GSZNR fel'!Q109</f>
        <v>250</v>
      </c>
      <c r="H115" s="704">
        <f t="shared" si="51"/>
        <v>250</v>
      </c>
      <c r="I115" s="704"/>
      <c r="J115" s="704"/>
      <c r="K115" s="704"/>
      <c r="L115" s="704"/>
      <c r="M115" s="387"/>
      <c r="N115" s="755"/>
      <c r="O115" s="485"/>
    </row>
    <row r="116" spans="1:17" s="476" customFormat="1" hidden="1" x14ac:dyDescent="0.25">
      <c r="A116" s="719"/>
      <c r="B116" s="720"/>
      <c r="C116" s="704"/>
      <c r="D116" s="704"/>
      <c r="E116" s="704"/>
      <c r="F116" s="704"/>
      <c r="G116" s="704"/>
      <c r="H116" s="704"/>
      <c r="I116" s="704"/>
      <c r="J116" s="704"/>
      <c r="K116" s="704"/>
      <c r="L116" s="704"/>
      <c r="M116" s="387"/>
      <c r="N116" s="755"/>
      <c r="O116" s="485"/>
    </row>
    <row r="117" spans="1:17" s="476" customFormat="1" x14ac:dyDescent="0.25">
      <c r="A117" s="719" t="s">
        <v>1321</v>
      </c>
      <c r="B117" s="718" t="s">
        <v>1301</v>
      </c>
      <c r="C117" s="710">
        <f>SUM(C118)</f>
        <v>457</v>
      </c>
      <c r="D117" s="710">
        <f>SUM(D118)</f>
        <v>1780</v>
      </c>
      <c r="E117" s="710">
        <f>SUM(E118)</f>
        <v>1780</v>
      </c>
      <c r="F117" s="710">
        <f>SUM(F118)</f>
        <v>0</v>
      </c>
      <c r="G117" s="710">
        <f>SUM(G118)</f>
        <v>2985</v>
      </c>
      <c r="H117" s="701">
        <f t="shared" ref="H117:I118" si="53">+G117</f>
        <v>2985</v>
      </c>
      <c r="I117" s="701">
        <f t="shared" si="53"/>
        <v>2985</v>
      </c>
      <c r="J117" s="701">
        <f>+I117</f>
        <v>2985</v>
      </c>
      <c r="K117" s="701">
        <f>K118</f>
        <v>0</v>
      </c>
      <c r="L117" s="701">
        <f>+L118</f>
        <v>0</v>
      </c>
      <c r="M117" s="387"/>
      <c r="N117" s="755"/>
      <c r="O117" s="485"/>
    </row>
    <row r="118" spans="1:17" s="476" customFormat="1" x14ac:dyDescent="0.25">
      <c r="A118" s="719"/>
      <c r="B118" s="720" t="s">
        <v>1169</v>
      </c>
      <c r="C118" s="704">
        <v>457</v>
      </c>
      <c r="D118" s="704">
        <f>1612+79+39+50</f>
        <v>1780</v>
      </c>
      <c r="E118" s="704">
        <f>1612+79+39+50</f>
        <v>1780</v>
      </c>
      <c r="F118" s="704"/>
      <c r="G118" s="704">
        <f>+'5 GSZNR fel'!Q123+'5 GSZNR fel'!Q128</f>
        <v>2985</v>
      </c>
      <c r="H118" s="704">
        <f t="shared" si="53"/>
        <v>2985</v>
      </c>
      <c r="I118" s="704">
        <f t="shared" si="53"/>
        <v>2985</v>
      </c>
      <c r="J118" s="704">
        <f>+I118</f>
        <v>2985</v>
      </c>
      <c r="K118" s="704"/>
      <c r="L118" s="704"/>
      <c r="M118" s="387"/>
      <c r="N118" s="755"/>
      <c r="O118" s="485"/>
    </row>
    <row r="119" spans="1:17" s="489" customFormat="1" ht="15.75" x14ac:dyDescent="0.25">
      <c r="A119" s="722"/>
      <c r="B119" s="723" t="s">
        <v>553</v>
      </c>
      <c r="C119" s="724">
        <f t="shared" ref="C119:L119" si="54">C5+C93</f>
        <v>1538969.24</v>
      </c>
      <c r="D119" s="724">
        <f t="shared" si="54"/>
        <v>1762689.5</v>
      </c>
      <c r="E119" s="724">
        <f t="shared" si="54"/>
        <v>1762689.5</v>
      </c>
      <c r="F119" s="724">
        <f t="shared" si="54"/>
        <v>0</v>
      </c>
      <c r="G119" s="724">
        <f t="shared" si="54"/>
        <v>22533.65</v>
      </c>
      <c r="H119" s="724">
        <f t="shared" si="54"/>
        <v>22533.65</v>
      </c>
      <c r="I119" s="724">
        <f t="shared" si="54"/>
        <v>21512.65</v>
      </c>
      <c r="J119" s="724">
        <f t="shared" si="54"/>
        <v>4755</v>
      </c>
      <c r="K119" s="724">
        <f t="shared" ref="K119" si="55">K5+K93</f>
        <v>1770</v>
      </c>
      <c r="L119" s="724">
        <f t="shared" si="54"/>
        <v>0</v>
      </c>
      <c r="M119" s="487"/>
      <c r="N119" s="760"/>
      <c r="O119" s="488"/>
    </row>
    <row r="120" spans="1:17" x14ac:dyDescent="0.2">
      <c r="D120" s="502"/>
      <c r="E120" s="502"/>
      <c r="F120" s="502"/>
      <c r="G120" s="502"/>
      <c r="H120" s="502"/>
      <c r="I120" s="502"/>
      <c r="J120" s="502"/>
      <c r="K120" s="502"/>
      <c r="L120" s="502"/>
    </row>
  </sheetData>
  <mergeCells count="1">
    <mergeCell ref="A1:C1"/>
  </mergeCells>
  <printOptions horizontalCentered="1"/>
  <pageMargins left="0.23622047244094491" right="0.15748031496062992" top="0.39370078740157483" bottom="0.35433070866141736" header="0.15748031496062992" footer="0.23622047244094491"/>
  <pageSetup paperSize="8" scale="80" fitToHeight="2" orientation="portrait" r:id="rId1"/>
  <headerFooter>
    <oddHeader>&amp;L 7.  melléklet a ...../2019. (.......) önkormányzati rendelethez</oddHeader>
    <oddFooter>&amp;C&amp;10&amp;P&amp;R&amp;10&amp;D  &amp;T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O56"/>
  <sheetViews>
    <sheetView showZeros="0" view="pageBreakPreview" zoomScale="75" zoomScaleNormal="100" zoomScaleSheetLayoutView="75" workbookViewId="0">
      <selection activeCell="A29" sqref="A29"/>
    </sheetView>
  </sheetViews>
  <sheetFormatPr defaultColWidth="9.140625" defaultRowHeight="15" x14ac:dyDescent="0.25"/>
  <cols>
    <col min="1" max="1" width="5.7109375" style="199" bestFit="1" customWidth="1"/>
    <col min="2" max="2" width="91.7109375" style="199" customWidth="1"/>
    <col min="3" max="3" width="14" style="414" customWidth="1"/>
    <col min="4" max="4" width="14.7109375" style="414" customWidth="1"/>
    <col min="5" max="5" width="14.140625" style="199" customWidth="1"/>
    <col min="6" max="6" width="14.140625" style="476" customWidth="1"/>
    <col min="7" max="7" width="14.140625" style="199" customWidth="1"/>
    <col min="8" max="11" width="14.140625" style="199" hidden="1" customWidth="1"/>
    <col min="12" max="12" width="9.7109375" style="199" hidden="1" customWidth="1"/>
    <col min="13" max="13" width="12.85546875" style="199" customWidth="1"/>
    <col min="14" max="17" width="9.140625" style="199" customWidth="1"/>
    <col min="18" max="16384" width="9.140625" style="199"/>
  </cols>
  <sheetData>
    <row r="2" spans="1:15" s="204" customFormat="1" ht="21" x14ac:dyDescent="0.25">
      <c r="A2" s="1043" t="s">
        <v>998</v>
      </c>
      <c r="B2" s="1043"/>
      <c r="C2" s="1043"/>
      <c r="D2" s="389"/>
      <c r="F2" s="486"/>
    </row>
    <row r="3" spans="1:15" x14ac:dyDescent="0.2">
      <c r="D3" s="411"/>
      <c r="E3" s="411"/>
      <c r="F3" s="411"/>
      <c r="G3" s="411" t="s">
        <v>302</v>
      </c>
      <c r="I3" s="478"/>
      <c r="J3" s="478"/>
      <c r="K3" s="478" t="s">
        <v>302</v>
      </c>
      <c r="L3" s="478" t="s">
        <v>302</v>
      </c>
    </row>
    <row r="4" spans="1:15" s="200" customFormat="1" ht="56.25" customHeight="1" x14ac:dyDescent="0.25">
      <c r="A4" s="738" t="s">
        <v>985</v>
      </c>
      <c r="B4" s="738" t="s">
        <v>306</v>
      </c>
      <c r="C4" s="695" t="s">
        <v>1461</v>
      </c>
      <c r="D4" s="695" t="s">
        <v>1487</v>
      </c>
      <c r="E4" s="695" t="s">
        <v>1526</v>
      </c>
      <c r="F4" s="695" t="s">
        <v>1496</v>
      </c>
      <c r="G4" s="695" t="s">
        <v>1499</v>
      </c>
      <c r="H4" s="695" t="s">
        <v>1500</v>
      </c>
      <c r="I4" s="695" t="s">
        <v>1506</v>
      </c>
      <c r="J4" s="695" t="s">
        <v>1507</v>
      </c>
      <c r="K4" s="695" t="s">
        <v>1508</v>
      </c>
      <c r="L4" s="695" t="s">
        <v>1472</v>
      </c>
      <c r="N4" s="201"/>
    </row>
    <row r="5" spans="1:15" s="200" customFormat="1" ht="49.9" customHeight="1" x14ac:dyDescent="0.25">
      <c r="A5" s="696" t="s">
        <v>309</v>
      </c>
      <c r="B5" s="697" t="s">
        <v>999</v>
      </c>
      <c r="C5" s="739">
        <f t="shared" ref="C5:J5" si="0">SUM(C6,C7,C8,C21,C39,C43,C44)</f>
        <v>294748</v>
      </c>
      <c r="D5" s="739">
        <f t="shared" si="0"/>
        <v>247922</v>
      </c>
      <c r="E5" s="739">
        <f t="shared" si="0"/>
        <v>247922</v>
      </c>
      <c r="F5" s="739">
        <f t="shared" si="0"/>
        <v>0</v>
      </c>
      <c r="G5" s="739">
        <f t="shared" si="0"/>
        <v>0</v>
      </c>
      <c r="H5" s="739">
        <f t="shared" si="0"/>
        <v>0</v>
      </c>
      <c r="I5" s="739">
        <f t="shared" si="0"/>
        <v>0</v>
      </c>
      <c r="J5" s="739">
        <f t="shared" si="0"/>
        <v>0</v>
      </c>
      <c r="K5" s="739">
        <f t="shared" ref="K5" si="1">SUM(K6,K7,K8,K21,K39,K43,K44)</f>
        <v>0</v>
      </c>
      <c r="L5" s="739">
        <f>+L6+L7+L8+L21+L39</f>
        <v>0</v>
      </c>
      <c r="M5" s="737"/>
      <c r="N5" s="201"/>
      <c r="O5" s="767" t="s">
        <v>1474</v>
      </c>
    </row>
    <row r="6" spans="1:15" x14ac:dyDescent="0.25">
      <c r="A6" s="721" t="s">
        <v>311</v>
      </c>
      <c r="B6" s="718" t="s">
        <v>1000</v>
      </c>
      <c r="C6" s="740">
        <v>48890</v>
      </c>
      <c r="D6" s="740">
        <f t="shared" ref="D6:E6" si="2">+C6</f>
        <v>48890</v>
      </c>
      <c r="E6" s="740">
        <f t="shared" si="2"/>
        <v>48890</v>
      </c>
      <c r="F6" s="740"/>
      <c r="G6" s="740"/>
      <c r="H6" s="740"/>
      <c r="I6" s="740"/>
      <c r="J6" s="740"/>
      <c r="K6" s="740"/>
      <c r="L6" s="740"/>
      <c r="M6" s="199">
        <v>121011701</v>
      </c>
      <c r="N6" s="203"/>
      <c r="O6" s="768"/>
    </row>
    <row r="7" spans="1:15" x14ac:dyDescent="0.25">
      <c r="A7" s="721" t="s">
        <v>322</v>
      </c>
      <c r="B7" s="718" t="s">
        <v>1170</v>
      </c>
      <c r="C7" s="740">
        <v>25033</v>
      </c>
      <c r="D7" s="740">
        <f t="shared" ref="D7:E7" si="3">+C7</f>
        <v>25033</v>
      </c>
      <c r="E7" s="740">
        <f t="shared" si="3"/>
        <v>25033</v>
      </c>
      <c r="F7" s="740"/>
      <c r="G7" s="740"/>
      <c r="H7" s="740"/>
      <c r="I7" s="740"/>
      <c r="J7" s="740"/>
      <c r="K7" s="740"/>
      <c r="L7" s="740"/>
      <c r="N7" s="203"/>
      <c r="O7" s="768"/>
    </row>
    <row r="8" spans="1:15" x14ac:dyDescent="0.25">
      <c r="A8" s="721" t="s">
        <v>315</v>
      </c>
      <c r="B8" s="718" t="s">
        <v>1158</v>
      </c>
      <c r="C8" s="740">
        <f>SUM(C9:C19)</f>
        <v>14000</v>
      </c>
      <c r="D8" s="740">
        <f t="shared" ref="D8:E8" si="4">SUM(D18:D20)</f>
        <v>27087</v>
      </c>
      <c r="E8" s="740">
        <f t="shared" si="4"/>
        <v>27087</v>
      </c>
      <c r="F8" s="740">
        <f>SUM(F9:F17)</f>
        <v>0</v>
      </c>
      <c r="G8" s="740">
        <f>SUM(G9:G19)</f>
        <v>0</v>
      </c>
      <c r="H8" s="740">
        <f t="shared" ref="H8" si="5">+G8</f>
        <v>0</v>
      </c>
      <c r="I8" s="740">
        <f>+H8</f>
        <v>0</v>
      </c>
      <c r="J8" s="740">
        <f>SUM(J18:J20)</f>
        <v>0</v>
      </c>
      <c r="K8" s="740">
        <f>SUM(K18:K20)</f>
        <v>0</v>
      </c>
      <c r="L8" s="740">
        <f>+L18+L19</f>
        <v>0</v>
      </c>
      <c r="N8" s="203"/>
      <c r="O8" s="768"/>
    </row>
    <row r="9" spans="1:15" x14ac:dyDescent="0.25">
      <c r="A9" s="741"/>
      <c r="B9" s="720" t="s">
        <v>1367</v>
      </c>
      <c r="C9" s="742"/>
      <c r="D9" s="742"/>
      <c r="E9" s="742"/>
      <c r="F9" s="742"/>
      <c r="G9" s="742"/>
      <c r="H9" s="742"/>
      <c r="I9" s="742"/>
      <c r="J9" s="742"/>
      <c r="K9" s="742"/>
      <c r="L9" s="742"/>
      <c r="M9" s="199">
        <v>1227151</v>
      </c>
      <c r="N9" s="203"/>
      <c r="O9" s="768"/>
    </row>
    <row r="10" spans="1:15" x14ac:dyDescent="0.2">
      <c r="A10" s="741"/>
      <c r="B10" s="743" t="s">
        <v>1368</v>
      </c>
      <c r="C10" s="742"/>
      <c r="D10" s="742"/>
      <c r="E10" s="742"/>
      <c r="F10" s="742"/>
      <c r="G10" s="742"/>
      <c r="H10" s="742"/>
      <c r="I10" s="742"/>
      <c r="J10" s="742"/>
      <c r="K10" s="742"/>
      <c r="L10" s="742"/>
      <c r="M10" s="199">
        <v>1227152</v>
      </c>
      <c r="N10" s="203"/>
      <c r="O10" s="768"/>
    </row>
    <row r="11" spans="1:15" x14ac:dyDescent="0.2">
      <c r="A11" s="741"/>
      <c r="B11" s="743" t="s">
        <v>1340</v>
      </c>
      <c r="C11" s="742"/>
      <c r="D11" s="742"/>
      <c r="E11" s="742"/>
      <c r="F11" s="742"/>
      <c r="G11" s="742"/>
      <c r="H11" s="742"/>
      <c r="I11" s="742"/>
      <c r="J11" s="742"/>
      <c r="K11" s="742"/>
      <c r="L11" s="742"/>
      <c r="M11" s="199">
        <v>1227153</v>
      </c>
      <c r="N11" s="203"/>
      <c r="O11" s="768"/>
    </row>
    <row r="12" spans="1:15" ht="28.5" x14ac:dyDescent="0.2">
      <c r="A12" s="741"/>
      <c r="B12" s="743" t="s">
        <v>1341</v>
      </c>
      <c r="C12" s="742"/>
      <c r="D12" s="742"/>
      <c r="E12" s="742"/>
      <c r="F12" s="742"/>
      <c r="G12" s="742"/>
      <c r="H12" s="742"/>
      <c r="I12" s="742"/>
      <c r="J12" s="742"/>
      <c r="K12" s="742"/>
      <c r="L12" s="742"/>
      <c r="M12" s="199">
        <v>1227154</v>
      </c>
      <c r="N12" s="203"/>
      <c r="O12" s="768"/>
    </row>
    <row r="13" spans="1:15" x14ac:dyDescent="0.2">
      <c r="A13" s="741"/>
      <c r="B13" s="743" t="s">
        <v>1429</v>
      </c>
      <c r="C13" s="742"/>
      <c r="D13" s="742"/>
      <c r="E13" s="742"/>
      <c r="F13" s="742"/>
      <c r="G13" s="742"/>
      <c r="H13" s="742"/>
      <c r="I13" s="742"/>
      <c r="J13" s="742"/>
      <c r="K13" s="742"/>
      <c r="L13" s="742"/>
      <c r="N13" s="203"/>
      <c r="O13" s="768"/>
    </row>
    <row r="14" spans="1:15" x14ac:dyDescent="0.2">
      <c r="A14" s="741"/>
      <c r="B14" s="743" t="s">
        <v>1382</v>
      </c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199">
        <v>1227156</v>
      </c>
      <c r="N14" s="203"/>
      <c r="O14" s="768"/>
    </row>
    <row r="15" spans="1:15" x14ac:dyDescent="0.2">
      <c r="A15" s="741"/>
      <c r="B15" s="743" t="s">
        <v>1428</v>
      </c>
      <c r="C15" s="742"/>
      <c r="D15" s="742"/>
      <c r="E15" s="742"/>
      <c r="F15" s="742"/>
      <c r="G15" s="742"/>
      <c r="H15" s="742"/>
      <c r="I15" s="742"/>
      <c r="J15" s="742"/>
      <c r="K15" s="742"/>
      <c r="L15" s="742"/>
      <c r="M15" s="199">
        <v>1227155</v>
      </c>
      <c r="N15" s="203"/>
      <c r="O15" s="768"/>
    </row>
    <row r="16" spans="1:15" x14ac:dyDescent="0.2">
      <c r="A16" s="741"/>
      <c r="B16" s="743" t="s">
        <v>1430</v>
      </c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199">
        <v>121011715</v>
      </c>
      <c r="N16" s="203"/>
      <c r="O16" s="768"/>
    </row>
    <row r="17" spans="1:15" x14ac:dyDescent="0.2">
      <c r="A17" s="741"/>
      <c r="B17" s="743" t="s">
        <v>1431</v>
      </c>
      <c r="C17" s="742"/>
      <c r="D17" s="742"/>
      <c r="E17" s="742"/>
      <c r="F17" s="742"/>
      <c r="G17" s="742"/>
      <c r="H17" s="742"/>
      <c r="I17" s="742"/>
      <c r="J17" s="742"/>
      <c r="K17" s="742"/>
      <c r="L17" s="742"/>
      <c r="M17" s="199">
        <v>121011715</v>
      </c>
      <c r="N17" s="203"/>
      <c r="O17" s="768"/>
    </row>
    <row r="18" spans="1:15" x14ac:dyDescent="0.2">
      <c r="A18" s="741"/>
      <c r="B18" s="743" t="s">
        <v>1437</v>
      </c>
      <c r="C18" s="742">
        <v>5000</v>
      </c>
      <c r="D18" s="742">
        <f t="shared" ref="D18:E18" si="6">5000+350</f>
        <v>5350</v>
      </c>
      <c r="E18" s="742">
        <f t="shared" si="6"/>
        <v>5350</v>
      </c>
      <c r="F18" s="742"/>
      <c r="G18" s="742"/>
      <c r="H18" s="742"/>
      <c r="I18" s="742"/>
      <c r="J18" s="742"/>
      <c r="K18" s="742"/>
      <c r="L18" s="742"/>
      <c r="M18" s="199" t="s">
        <v>1422</v>
      </c>
      <c r="N18" s="203"/>
      <c r="O18" s="768"/>
    </row>
    <row r="19" spans="1:15" x14ac:dyDescent="0.2">
      <c r="A19" s="741"/>
      <c r="B19" s="743" t="s">
        <v>1438</v>
      </c>
      <c r="C19" s="742">
        <v>9000</v>
      </c>
      <c r="D19" s="742">
        <f t="shared" ref="D19:E19" si="7">9000-906-350</f>
        <v>7744</v>
      </c>
      <c r="E19" s="742">
        <f t="shared" si="7"/>
        <v>7744</v>
      </c>
      <c r="F19" s="742"/>
      <c r="G19" s="742"/>
      <c r="H19" s="742"/>
      <c r="I19" s="742"/>
      <c r="J19" s="742"/>
      <c r="K19" s="742"/>
      <c r="L19" s="742"/>
      <c r="M19" s="199" t="s">
        <v>1422</v>
      </c>
      <c r="N19" s="203"/>
      <c r="O19" s="768"/>
    </row>
    <row r="20" spans="1:15" x14ac:dyDescent="0.2">
      <c r="A20" s="741"/>
      <c r="B20" s="743" t="s">
        <v>1484</v>
      </c>
      <c r="C20" s="742"/>
      <c r="D20" s="742">
        <v>13993</v>
      </c>
      <c r="E20" s="742">
        <v>13993</v>
      </c>
      <c r="F20" s="742"/>
      <c r="G20" s="742"/>
      <c r="H20" s="742"/>
      <c r="I20" s="742"/>
      <c r="J20" s="742"/>
      <c r="K20" s="742"/>
      <c r="L20" s="742"/>
      <c r="M20" s="199">
        <v>121011710</v>
      </c>
      <c r="N20" s="203"/>
      <c r="O20" s="768"/>
    </row>
    <row r="21" spans="1:15" x14ac:dyDescent="0.25">
      <c r="A21" s="721" t="s">
        <v>336</v>
      </c>
      <c r="B21" s="718" t="s">
        <v>1009</v>
      </c>
      <c r="C21" s="740">
        <f>SUM(C22:C37)</f>
        <v>113083</v>
      </c>
      <c r="D21" s="740">
        <f t="shared" ref="D21:E21" si="8">SUM(D22:D38)</f>
        <v>92690</v>
      </c>
      <c r="E21" s="740">
        <f t="shared" si="8"/>
        <v>92690</v>
      </c>
      <c r="F21" s="740">
        <f>SUM(F22:F37)</f>
        <v>0</v>
      </c>
      <c r="G21" s="740">
        <f>SUM(G22:G37)</f>
        <v>0</v>
      </c>
      <c r="H21" s="740">
        <f t="shared" ref="H21" si="9">+G21</f>
        <v>0</v>
      </c>
      <c r="I21" s="740">
        <f>I22</f>
        <v>0</v>
      </c>
      <c r="J21" s="740">
        <f>SUM(J22:J38)</f>
        <v>0</v>
      </c>
      <c r="K21" s="740">
        <f>SUM(K22:K38)</f>
        <v>0</v>
      </c>
      <c r="L21" s="740">
        <f>+L22</f>
        <v>0</v>
      </c>
      <c r="N21" s="203"/>
      <c r="O21" s="768"/>
    </row>
    <row r="22" spans="1:15" x14ac:dyDescent="0.25">
      <c r="A22" s="721"/>
      <c r="B22" s="720" t="s">
        <v>1330</v>
      </c>
      <c r="C22" s="742">
        <f>90628+22455</f>
        <v>113083</v>
      </c>
      <c r="D22" s="742">
        <f t="shared" ref="D22:E22" si="10">113083+795-113083+88804</f>
        <v>89599</v>
      </c>
      <c r="E22" s="742">
        <f t="shared" si="10"/>
        <v>89599</v>
      </c>
      <c r="F22" s="742"/>
      <c r="G22" s="742"/>
      <c r="H22" s="742"/>
      <c r="I22" s="742"/>
      <c r="J22" s="742"/>
      <c r="K22" s="742"/>
      <c r="L22" s="742"/>
      <c r="M22" s="199">
        <v>121011714</v>
      </c>
      <c r="N22" s="203"/>
      <c r="O22" s="768">
        <f>2286+798</f>
        <v>3084</v>
      </c>
    </row>
    <row r="23" spans="1:15" x14ac:dyDescent="0.25">
      <c r="A23" s="721"/>
      <c r="B23" s="703"/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N23" s="203"/>
      <c r="O23" s="768"/>
    </row>
    <row r="24" spans="1:15" x14ac:dyDescent="0.25">
      <c r="A24" s="721" t="s">
        <v>315</v>
      </c>
      <c r="B24" s="720" t="s">
        <v>1001</v>
      </c>
      <c r="C24" s="742"/>
      <c r="D24" s="742"/>
      <c r="E24" s="742"/>
      <c r="F24" s="742"/>
      <c r="G24" s="742"/>
      <c r="H24" s="742"/>
      <c r="I24" s="742"/>
      <c r="J24" s="742"/>
      <c r="K24" s="742"/>
      <c r="L24" s="742"/>
      <c r="O24" s="768"/>
    </row>
    <row r="25" spans="1:15" x14ac:dyDescent="0.25">
      <c r="A25" s="721" t="s">
        <v>336</v>
      </c>
      <c r="B25" s="744"/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O25" s="768"/>
    </row>
    <row r="26" spans="1:15" x14ac:dyDescent="0.25">
      <c r="A26" s="721" t="s">
        <v>338</v>
      </c>
      <c r="B26" s="744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O26" s="768"/>
    </row>
    <row r="27" spans="1:15" x14ac:dyDescent="0.25">
      <c r="A27" s="721" t="s">
        <v>560</v>
      </c>
      <c r="B27" s="744"/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O27" s="768"/>
    </row>
    <row r="28" spans="1:15" x14ac:dyDescent="0.25">
      <c r="A28" s="721" t="s">
        <v>336</v>
      </c>
      <c r="B28" s="744" t="s">
        <v>1002</v>
      </c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O28" s="768"/>
    </row>
    <row r="29" spans="1:15" x14ac:dyDescent="0.25">
      <c r="A29" s="721" t="s">
        <v>338</v>
      </c>
      <c r="B29" s="744" t="s">
        <v>1003</v>
      </c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O29" s="768"/>
    </row>
    <row r="30" spans="1:15" ht="28.5" x14ac:dyDescent="0.25">
      <c r="A30" s="721" t="s">
        <v>560</v>
      </c>
      <c r="B30" s="744" t="s">
        <v>1004</v>
      </c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O30" s="768"/>
    </row>
    <row r="31" spans="1:15" x14ac:dyDescent="0.25">
      <c r="A31" s="721" t="s">
        <v>562</v>
      </c>
      <c r="B31" s="744" t="s">
        <v>1005</v>
      </c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O31" s="768"/>
    </row>
    <row r="32" spans="1:15" x14ac:dyDescent="0.25">
      <c r="A32" s="721" t="s">
        <v>564</v>
      </c>
      <c r="B32" s="744" t="s">
        <v>1006</v>
      </c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O32" s="768"/>
    </row>
    <row r="33" spans="1:15" x14ac:dyDescent="0.25">
      <c r="A33" s="721" t="s">
        <v>565</v>
      </c>
      <c r="B33" s="744" t="s">
        <v>1007</v>
      </c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O33" s="768"/>
    </row>
    <row r="34" spans="1:15" x14ac:dyDescent="0.25">
      <c r="A34" s="721">
        <v>10</v>
      </c>
      <c r="B34" s="744" t="s">
        <v>1008</v>
      </c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O34" s="768"/>
    </row>
    <row r="35" spans="1:15" x14ac:dyDescent="0.25">
      <c r="A35" s="721"/>
      <c r="B35" s="744" t="s">
        <v>1331</v>
      </c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O35" s="768"/>
    </row>
    <row r="36" spans="1:15" x14ac:dyDescent="0.25">
      <c r="A36" s="721"/>
      <c r="B36" s="703" t="s">
        <v>1373</v>
      </c>
      <c r="C36" s="742"/>
      <c r="D36" s="742"/>
      <c r="E36" s="742"/>
      <c r="F36" s="742"/>
      <c r="G36" s="742"/>
      <c r="H36" s="742"/>
      <c r="I36" s="742"/>
      <c r="J36" s="742"/>
      <c r="K36" s="742"/>
      <c r="L36" s="742"/>
      <c r="O36" s="768"/>
    </row>
    <row r="37" spans="1:15" x14ac:dyDescent="0.25">
      <c r="A37" s="721"/>
      <c r="B37" s="703" t="s">
        <v>1381</v>
      </c>
      <c r="C37" s="742"/>
      <c r="D37" s="742"/>
      <c r="E37" s="742"/>
      <c r="F37" s="742"/>
      <c r="G37" s="742"/>
      <c r="H37" s="742"/>
      <c r="I37" s="742"/>
      <c r="J37" s="742"/>
      <c r="K37" s="742"/>
      <c r="L37" s="742"/>
      <c r="M37" s="199" t="s">
        <v>1406</v>
      </c>
      <c r="O37" s="768"/>
    </row>
    <row r="38" spans="1:15" x14ac:dyDescent="0.25">
      <c r="A38" s="721"/>
      <c r="B38" s="720" t="s">
        <v>1478</v>
      </c>
      <c r="C38" s="742">
        <v>0</v>
      </c>
      <c r="D38" s="742">
        <v>3091</v>
      </c>
      <c r="E38" s="742">
        <v>3091</v>
      </c>
      <c r="F38" s="742"/>
      <c r="G38" s="742">
        <v>0</v>
      </c>
      <c r="H38" s="742">
        <v>0</v>
      </c>
      <c r="I38" s="742">
        <v>0</v>
      </c>
      <c r="J38" s="742"/>
      <c r="K38" s="742"/>
      <c r="L38" s="742"/>
      <c r="O38" s="768"/>
    </row>
    <row r="39" spans="1:15" x14ac:dyDescent="0.25">
      <c r="A39" s="721" t="s">
        <v>338</v>
      </c>
      <c r="B39" s="718" t="s">
        <v>1338</v>
      </c>
      <c r="C39" s="740">
        <f>SUM(C40:C42)</f>
        <v>93742</v>
      </c>
      <c r="D39" s="740">
        <f t="shared" ref="D39:E39" si="11">SUM(D40:D42)</f>
        <v>54222</v>
      </c>
      <c r="E39" s="740">
        <f t="shared" si="11"/>
        <v>54222</v>
      </c>
      <c r="F39" s="740">
        <f>SUM(F40:F41)</f>
        <v>0</v>
      </c>
      <c r="G39" s="740">
        <f>SUM(G40:G42)</f>
        <v>0</v>
      </c>
      <c r="H39" s="740">
        <f>SUM(H40:H42)</f>
        <v>0</v>
      </c>
      <c r="I39" s="740">
        <f>SUM(I40:I42)</f>
        <v>0</v>
      </c>
      <c r="J39" s="740">
        <f>SUM(J40:J42)</f>
        <v>0</v>
      </c>
      <c r="K39" s="740">
        <f>SUM(K40:K42)</f>
        <v>0</v>
      </c>
      <c r="L39" s="740">
        <f>+L40+L41+L42</f>
        <v>0</v>
      </c>
      <c r="O39" s="768"/>
    </row>
    <row r="40" spans="1:15" x14ac:dyDescent="0.25">
      <c r="A40" s="741"/>
      <c r="B40" s="720" t="s">
        <v>1439</v>
      </c>
      <c r="C40" s="742">
        <f>15854</f>
        <v>15854</v>
      </c>
      <c r="D40" s="742">
        <f t="shared" ref="D40:E40" si="12">15854-7920</f>
        <v>7934</v>
      </c>
      <c r="E40" s="742">
        <f t="shared" si="12"/>
        <v>7934</v>
      </c>
      <c r="F40" s="742"/>
      <c r="G40" s="742"/>
      <c r="H40" s="742"/>
      <c r="I40" s="742"/>
      <c r="J40" s="742"/>
      <c r="K40" s="742"/>
      <c r="L40" s="742"/>
      <c r="M40" s="199">
        <v>121011712</v>
      </c>
      <c r="O40" s="768"/>
    </row>
    <row r="41" spans="1:15" x14ac:dyDescent="0.25">
      <c r="A41" s="835">
        <v>1902</v>
      </c>
      <c r="B41" s="720" t="s">
        <v>1440</v>
      </c>
      <c r="C41" s="742">
        <f>22888+35000</f>
        <v>57888</v>
      </c>
      <c r="D41" s="742">
        <f t="shared" ref="D41:E41" si="13">52888-25000-3248</f>
        <v>24640</v>
      </c>
      <c r="E41" s="742">
        <f t="shared" si="13"/>
        <v>24640</v>
      </c>
      <c r="F41" s="742"/>
      <c r="G41" s="742"/>
      <c r="H41" s="742"/>
      <c r="I41" s="742"/>
      <c r="J41" s="742"/>
      <c r="K41" s="742"/>
      <c r="L41" s="742"/>
      <c r="M41" s="199">
        <v>121011713</v>
      </c>
      <c r="O41" s="768"/>
    </row>
    <row r="42" spans="1:15" x14ac:dyDescent="0.25">
      <c r="A42" s="741"/>
      <c r="B42" s="720" t="s">
        <v>1441</v>
      </c>
      <c r="C42" s="742">
        <v>20000</v>
      </c>
      <c r="D42" s="742">
        <f t="shared" ref="D42:E42" si="14">20000+1648</f>
        <v>21648</v>
      </c>
      <c r="E42" s="742">
        <f t="shared" si="14"/>
        <v>21648</v>
      </c>
      <c r="F42" s="742"/>
      <c r="G42" s="742"/>
      <c r="H42" s="742"/>
      <c r="I42" s="742"/>
      <c r="J42" s="742"/>
      <c r="K42" s="742"/>
      <c r="L42" s="742"/>
      <c r="O42" s="768"/>
    </row>
    <row r="43" spans="1:15" x14ac:dyDescent="0.25">
      <c r="A43" s="721" t="s">
        <v>562</v>
      </c>
      <c r="B43" s="718" t="s">
        <v>1336</v>
      </c>
      <c r="C43" s="740"/>
      <c r="D43" s="740"/>
      <c r="E43" s="740"/>
      <c r="F43" s="740"/>
      <c r="G43" s="740"/>
      <c r="H43" s="740"/>
      <c r="I43" s="740"/>
      <c r="J43" s="740"/>
      <c r="K43" s="740"/>
      <c r="L43" s="740"/>
      <c r="M43" s="199">
        <v>122717</v>
      </c>
      <c r="O43" s="768"/>
    </row>
    <row r="44" spans="1:15" x14ac:dyDescent="0.25">
      <c r="A44" s="721" t="s">
        <v>564</v>
      </c>
      <c r="B44" s="718" t="s">
        <v>1372</v>
      </c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O44" s="768"/>
    </row>
    <row r="45" spans="1:15" x14ac:dyDescent="0.25">
      <c r="A45" s="696" t="s">
        <v>318</v>
      </c>
      <c r="B45" s="697" t="s">
        <v>1009</v>
      </c>
      <c r="C45" s="745">
        <v>0</v>
      </c>
      <c r="D45" s="745">
        <v>0</v>
      </c>
      <c r="E45" s="745">
        <v>0</v>
      </c>
      <c r="F45" s="745">
        <v>0</v>
      </c>
      <c r="G45" s="745">
        <v>0</v>
      </c>
      <c r="H45" s="745"/>
      <c r="I45" s="745"/>
      <c r="J45" s="745"/>
      <c r="K45" s="745"/>
      <c r="L45" s="745"/>
      <c r="O45" s="768"/>
    </row>
    <row r="46" spans="1:15" x14ac:dyDescent="0.25">
      <c r="A46" s="721" t="s">
        <v>311</v>
      </c>
      <c r="B46" s="718" t="s">
        <v>1010</v>
      </c>
      <c r="C46" s="740"/>
      <c r="D46" s="740"/>
      <c r="E46" s="740"/>
      <c r="F46" s="740"/>
      <c r="G46" s="740"/>
      <c r="H46" s="740"/>
      <c r="I46" s="740"/>
      <c r="J46" s="740"/>
      <c r="K46" s="740"/>
      <c r="L46" s="740"/>
      <c r="O46" s="768"/>
    </row>
    <row r="47" spans="1:15" x14ac:dyDescent="0.25">
      <c r="A47" s="721" t="s">
        <v>322</v>
      </c>
      <c r="B47" s="718" t="s">
        <v>1007</v>
      </c>
      <c r="C47" s="740"/>
      <c r="D47" s="740"/>
      <c r="E47" s="740"/>
      <c r="F47" s="740"/>
      <c r="G47" s="740"/>
      <c r="H47" s="740"/>
      <c r="I47" s="740"/>
      <c r="J47" s="740"/>
      <c r="K47" s="740"/>
      <c r="L47" s="740"/>
      <c r="O47" s="768"/>
    </row>
    <row r="48" spans="1:15" x14ac:dyDescent="0.25">
      <c r="A48" s="721" t="s">
        <v>315</v>
      </c>
      <c r="B48" s="718" t="s">
        <v>991</v>
      </c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O48" s="768"/>
    </row>
    <row r="49" spans="1:15" s="205" customFormat="1" x14ac:dyDescent="0.25">
      <c r="A49" s="746"/>
      <c r="B49" s="747" t="s">
        <v>553</v>
      </c>
      <c r="C49" s="748">
        <f t="shared" ref="C49:L49" si="15">C5+C45</f>
        <v>294748</v>
      </c>
      <c r="D49" s="748">
        <f t="shared" si="15"/>
        <v>247922</v>
      </c>
      <c r="E49" s="748">
        <f t="shared" si="15"/>
        <v>247922</v>
      </c>
      <c r="F49" s="748">
        <f t="shared" si="15"/>
        <v>0</v>
      </c>
      <c r="G49" s="748">
        <f t="shared" si="15"/>
        <v>0</v>
      </c>
      <c r="H49" s="748">
        <f t="shared" si="15"/>
        <v>0</v>
      </c>
      <c r="I49" s="748">
        <f t="shared" si="15"/>
        <v>0</v>
      </c>
      <c r="J49" s="748">
        <f t="shared" si="15"/>
        <v>0</v>
      </c>
      <c r="K49" s="748">
        <f t="shared" ref="K49" si="16">K5+K45</f>
        <v>0</v>
      </c>
      <c r="L49" s="748">
        <f t="shared" si="15"/>
        <v>0</v>
      </c>
      <c r="O49" s="769"/>
    </row>
    <row r="50" spans="1:15" x14ac:dyDescent="0.25">
      <c r="C50" s="412"/>
      <c r="D50" s="412"/>
    </row>
    <row r="51" spans="1:15" x14ac:dyDescent="0.25">
      <c r="C51" s="412"/>
      <c r="D51" s="412"/>
    </row>
    <row r="52" spans="1:15" x14ac:dyDescent="0.25">
      <c r="C52" s="413"/>
      <c r="D52" s="413"/>
    </row>
    <row r="56" spans="1:15" x14ac:dyDescent="0.25">
      <c r="N56" s="206"/>
    </row>
  </sheetData>
  <mergeCells count="1"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&amp;L 8.  melléklet a ...../2019. (.......) önkormányzati rendelethez</oddHeader>
    <oddFooter>&amp;C&amp;10&amp;P&amp;R&amp;10&amp;D  &amp;T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7A4E-16ED-4B0D-AADB-1CD2DEE09FA6}">
  <sheetPr>
    <outlinePr summaryBelow="0"/>
    <pageSetUpPr fitToPage="1"/>
  </sheetPr>
  <dimension ref="A1:W134"/>
  <sheetViews>
    <sheetView view="pageBreakPreview" topLeftCell="D1" zoomScale="85" zoomScaleNormal="80" zoomScaleSheetLayoutView="85" workbookViewId="0">
      <pane ySplit="3" topLeftCell="A4" activePane="bottomLeft" state="frozen"/>
      <selection pane="bottomLeft" activeCell="N22" sqref="N22"/>
    </sheetView>
  </sheetViews>
  <sheetFormatPr defaultColWidth="9.140625" defaultRowHeight="15.75" x14ac:dyDescent="0.25"/>
  <cols>
    <col min="1" max="1" width="9.140625" style="823"/>
    <col min="2" max="2" width="0" style="823" hidden="1" customWidth="1"/>
    <col min="3" max="3" width="55.28515625" style="813" customWidth="1"/>
    <col min="4" max="4" width="15.7109375" style="814" customWidth="1"/>
    <col min="5" max="5" width="60.85546875" style="806" hidden="1" customWidth="1"/>
    <col min="6" max="6" width="14.7109375" style="850" customWidth="1"/>
    <col min="7" max="7" width="14.85546875" style="812" customWidth="1"/>
    <col min="8" max="8" width="14.7109375" style="812" customWidth="1"/>
    <col min="9" max="9" width="15.7109375" style="814" hidden="1" customWidth="1"/>
    <col min="10" max="10" width="60.85546875" style="806" hidden="1" customWidth="1"/>
    <col min="11" max="11" width="14.7109375" style="866" hidden="1" customWidth="1"/>
    <col min="12" max="12" width="14.85546875" style="812" hidden="1" customWidth="1"/>
    <col min="13" max="13" width="14.7109375" style="812" hidden="1" customWidth="1"/>
    <col min="14" max="14" width="15.7109375" style="814" customWidth="1"/>
    <col min="15" max="15" width="60.85546875" style="806" hidden="1" customWidth="1"/>
    <col min="16" max="16" width="14.7109375" style="866" customWidth="1"/>
    <col min="17" max="17" width="14.85546875" style="895" customWidth="1"/>
    <col min="18" max="18" width="14.7109375" style="895" customWidth="1"/>
    <col min="19" max="19" width="15.7109375" style="814" customWidth="1"/>
    <col min="20" max="20" width="60.85546875" style="806" hidden="1" customWidth="1"/>
    <col min="21" max="21" width="14.7109375" style="866" customWidth="1"/>
    <col min="22" max="22" width="14.85546875" style="895" customWidth="1"/>
    <col min="23" max="23" width="14.7109375" style="895" customWidth="1"/>
    <col min="24" max="16384" width="9.140625" style="807"/>
  </cols>
  <sheetData>
    <row r="1" spans="1:23" s="788" customFormat="1" ht="21" x14ac:dyDescent="0.25">
      <c r="A1" s="1044" t="s">
        <v>1691</v>
      </c>
      <c r="B1" s="1044"/>
      <c r="C1" s="1044"/>
      <c r="D1" s="1044"/>
      <c r="E1" s="1045"/>
      <c r="F1" s="842"/>
      <c r="G1" s="843"/>
      <c r="H1" s="843"/>
      <c r="K1" s="862"/>
      <c r="L1" s="843"/>
      <c r="M1" s="843"/>
      <c r="P1" s="862"/>
      <c r="Q1" s="891"/>
      <c r="R1" s="891"/>
      <c r="U1" s="862"/>
      <c r="V1" s="891"/>
      <c r="W1" s="891"/>
    </row>
    <row r="2" spans="1:23" s="792" customFormat="1" x14ac:dyDescent="0.25">
      <c r="A2" s="789"/>
      <c r="B2" s="789"/>
      <c r="C2" s="790"/>
      <c r="D2" s="791"/>
      <c r="E2" s="790"/>
      <c r="F2" s="844"/>
      <c r="G2" s="844"/>
      <c r="H2" s="844"/>
      <c r="I2" s="791"/>
      <c r="J2" s="790"/>
      <c r="K2" s="863"/>
      <c r="L2" s="844"/>
      <c r="M2" s="844"/>
      <c r="N2" s="791"/>
      <c r="O2" s="790"/>
      <c r="P2" s="863"/>
      <c r="Q2" s="863"/>
      <c r="R2" s="863"/>
      <c r="S2" s="791"/>
      <c r="T2" s="790"/>
      <c r="U2" s="863"/>
      <c r="V2" s="863"/>
      <c r="W2" s="863"/>
    </row>
    <row r="3" spans="1:23" s="789" customFormat="1" ht="31.5" x14ac:dyDescent="0.25">
      <c r="A3" s="793" t="s">
        <v>1532</v>
      </c>
      <c r="B3" s="1046" t="s">
        <v>1533</v>
      </c>
      <c r="C3" s="794" t="s">
        <v>306</v>
      </c>
      <c r="D3" s="845" t="s">
        <v>1534</v>
      </c>
      <c r="E3" s="794" t="s">
        <v>1535</v>
      </c>
      <c r="F3" s="846" t="s">
        <v>1697</v>
      </c>
      <c r="G3" s="846" t="s">
        <v>1698</v>
      </c>
      <c r="H3" s="846" t="s">
        <v>1699</v>
      </c>
      <c r="I3" s="845" t="s">
        <v>1735</v>
      </c>
      <c r="J3" s="794" t="s">
        <v>1535</v>
      </c>
      <c r="K3" s="864" t="s">
        <v>1697</v>
      </c>
      <c r="L3" s="846" t="s">
        <v>1698</v>
      </c>
      <c r="M3" s="846" t="s">
        <v>1699</v>
      </c>
      <c r="N3" s="845" t="s">
        <v>1736</v>
      </c>
      <c r="O3" s="794" t="s">
        <v>1535</v>
      </c>
      <c r="P3" s="864" t="s">
        <v>1697</v>
      </c>
      <c r="Q3" s="864" t="s">
        <v>1698</v>
      </c>
      <c r="R3" s="864" t="s">
        <v>1699</v>
      </c>
      <c r="S3" s="845" t="s">
        <v>1739</v>
      </c>
      <c r="T3" s="794" t="s">
        <v>1535</v>
      </c>
      <c r="U3" s="864" t="s">
        <v>1697</v>
      </c>
      <c r="V3" s="864" t="s">
        <v>1698</v>
      </c>
      <c r="W3" s="864" t="s">
        <v>1699</v>
      </c>
    </row>
    <row r="4" spans="1:23" s="792" customFormat="1" collapsed="1" x14ac:dyDescent="0.25">
      <c r="A4" s="796" t="s">
        <v>309</v>
      </c>
      <c r="B4" s="1047"/>
      <c r="C4" s="797" t="s">
        <v>1144</v>
      </c>
      <c r="D4" s="798">
        <f>SUM(D5,D8,D11,D14,D16,D18,D19,D21,D22)</f>
        <v>176407.5</v>
      </c>
      <c r="E4" s="799"/>
      <c r="F4" s="847">
        <f>SUM(F5,F8,F11,F14,F16,F18,F19,F21,F22)</f>
        <v>0</v>
      </c>
      <c r="G4" s="847">
        <f>SUM(G5,G8,G11,G14,G16,G18,G19,G21,G22)</f>
        <v>107508</v>
      </c>
      <c r="H4" s="847">
        <f>SUM(H5,H8,H11,H14,H16,H18,H19,H21,H22)</f>
        <v>68900</v>
      </c>
      <c r="I4" s="798">
        <f>SUM(I5,I8,I11,I14,I16,I18,I19,I21,I22,L25,L26,L27,L28,)</f>
        <v>323130</v>
      </c>
      <c r="J4" s="799"/>
      <c r="K4" s="865">
        <f>SUM(K5,K8,K11,K14,K16,K18,K19,K21,K22)</f>
        <v>52039</v>
      </c>
      <c r="L4" s="847">
        <f>SUM(L5,L8,L11,L14,L16,L18,L19,L21,L22,L25,L26,L27,L28,)</f>
        <v>247792</v>
      </c>
      <c r="M4" s="847">
        <f>SUM(M5,M8,M11,M14,M16,M18,M19,M21,M22)</f>
        <v>23299</v>
      </c>
      <c r="N4" s="798">
        <f>SUM(N5,N8,N11,N14,N16,N18,N19,N21,N22,Q25,Q26,Q27,Q28,)</f>
        <v>309386</v>
      </c>
      <c r="O4" s="799"/>
      <c r="P4" s="865">
        <f>SUM(P5,P8,P11,P14,P16,P18,P19,P21,P22,P25,P26,P27,P28)</f>
        <v>70024</v>
      </c>
      <c r="Q4" s="865">
        <f>SUM(Q5,Q8,Q11,Q14,Q16,Q18,Q19,Q21,Q22,Q25,Q26,Q27,Q28,)</f>
        <v>213409</v>
      </c>
      <c r="R4" s="865">
        <f>SUM(R5,R8,R11,R14,R16,R18,R19,R21,R22)</f>
        <v>26365</v>
      </c>
      <c r="S4" s="798">
        <f>SUM(U4:W4)</f>
        <v>308200</v>
      </c>
      <c r="T4" s="799"/>
      <c r="U4" s="865">
        <f>SUM(U5,U8,U11,U14,U16,U18,U19,U21,U22,U25,U26,U27,U28)</f>
        <v>70213</v>
      </c>
      <c r="V4" s="865">
        <f>SUM(V5,V8,V11,V14,V16,V18,V19,V21,V22,V25,V26,V27,V28,)</f>
        <v>186643</v>
      </c>
      <c r="W4" s="865">
        <f>SUM(W5,W8,W11,W14,W16,W18,W19,W21,W22)</f>
        <v>51344</v>
      </c>
    </row>
    <row r="5" spans="1:23" s="792" customFormat="1" ht="18" customHeight="1" x14ac:dyDescent="0.25">
      <c r="A5" s="801">
        <v>1</v>
      </c>
      <c r="B5" s="801">
        <v>1901</v>
      </c>
      <c r="C5" s="802" t="s">
        <v>1537</v>
      </c>
      <c r="D5" s="897">
        <f>SUM(D6:D7)/1000</f>
        <v>51508</v>
      </c>
      <c r="E5" s="898"/>
      <c r="F5" s="899"/>
      <c r="G5" s="900">
        <v>51508</v>
      </c>
      <c r="H5" s="900"/>
      <c r="I5" s="803">
        <f>SUM(K5:M5)</f>
        <v>51508</v>
      </c>
      <c r="J5" s="804"/>
      <c r="K5" s="848"/>
      <c r="L5" s="849">
        <v>51508</v>
      </c>
      <c r="M5" s="849"/>
      <c r="N5" s="803">
        <f>SUM(P5:R5)</f>
        <v>55482</v>
      </c>
      <c r="O5" s="804"/>
      <c r="P5" s="892">
        <v>1318</v>
      </c>
      <c r="Q5" s="866">
        <f>51508+3974-1318</f>
        <v>54164</v>
      </c>
      <c r="R5" s="866"/>
      <c r="S5" s="897">
        <f>SUM(U5:W5)</f>
        <v>55482</v>
      </c>
      <c r="T5" s="898"/>
      <c r="U5" s="916">
        <v>1318</v>
      </c>
      <c r="V5" s="914">
        <v>54164</v>
      </c>
      <c r="W5" s="914"/>
    </row>
    <row r="6" spans="1:23" ht="18" hidden="1" customHeight="1" x14ac:dyDescent="0.25">
      <c r="A6" s="801"/>
      <c r="B6" s="801"/>
      <c r="C6" s="802" t="s">
        <v>1538</v>
      </c>
      <c r="D6" s="897">
        <v>51000000</v>
      </c>
      <c r="E6" s="901" t="s">
        <v>1539</v>
      </c>
      <c r="F6" s="902"/>
      <c r="G6" s="900"/>
      <c r="H6" s="900"/>
      <c r="I6" s="803">
        <v>51000000</v>
      </c>
      <c r="J6" s="806" t="s">
        <v>1539</v>
      </c>
      <c r="K6" s="850"/>
      <c r="L6" s="849"/>
      <c r="M6" s="849"/>
      <c r="N6" s="803">
        <v>51000000</v>
      </c>
      <c r="O6" s="806" t="s">
        <v>1539</v>
      </c>
      <c r="Q6" s="866"/>
      <c r="R6" s="866"/>
      <c r="S6" s="897">
        <v>51000000</v>
      </c>
      <c r="T6" s="901" t="s">
        <v>1539</v>
      </c>
      <c r="U6" s="914"/>
      <c r="V6" s="914"/>
      <c r="W6" s="914"/>
    </row>
    <row r="7" spans="1:23" ht="18" hidden="1" customHeight="1" x14ac:dyDescent="0.25">
      <c r="A7" s="801"/>
      <c r="B7" s="801"/>
      <c r="C7" s="802" t="s">
        <v>1540</v>
      </c>
      <c r="D7" s="897">
        <v>508000</v>
      </c>
      <c r="E7" s="901"/>
      <c r="F7" s="902"/>
      <c r="G7" s="900"/>
      <c r="H7" s="900"/>
      <c r="I7" s="803">
        <v>508000</v>
      </c>
      <c r="K7" s="850"/>
      <c r="L7" s="849"/>
      <c r="M7" s="849"/>
      <c r="N7" s="803">
        <v>508000</v>
      </c>
      <c r="Q7" s="866"/>
      <c r="R7" s="866"/>
      <c r="S7" s="897">
        <v>508000</v>
      </c>
      <c r="T7" s="901"/>
      <c r="U7" s="914"/>
      <c r="V7" s="914"/>
      <c r="W7" s="914"/>
    </row>
    <row r="8" spans="1:23" s="792" customFormat="1" ht="18" customHeight="1" x14ac:dyDescent="0.25">
      <c r="A8" s="801">
        <v>2</v>
      </c>
      <c r="B8" s="801">
        <v>1902</v>
      </c>
      <c r="C8" s="802" t="s">
        <v>1541</v>
      </c>
      <c r="D8" s="897">
        <f>SUM(D9:D10)/1000-23445</f>
        <v>11999.5</v>
      </c>
      <c r="E8" s="898"/>
      <c r="F8" s="899"/>
      <c r="G8" s="900"/>
      <c r="H8" s="900">
        <v>12000</v>
      </c>
      <c r="I8" s="803">
        <f t="shared" ref="I8:I75" si="0">SUM(K8:M8)</f>
        <v>14984</v>
      </c>
      <c r="J8" s="804"/>
      <c r="K8" s="848"/>
      <c r="L8" s="849"/>
      <c r="M8" s="849">
        <f>12000+2984</f>
        <v>14984</v>
      </c>
      <c r="N8" s="803">
        <f t="shared" ref="N8:N28" si="1">SUM(P8:R8)</f>
        <v>18050</v>
      </c>
      <c r="O8" s="804"/>
      <c r="P8" s="892"/>
      <c r="Q8" s="866"/>
      <c r="R8" s="866">
        <f>14984+3066</f>
        <v>18050</v>
      </c>
      <c r="S8" s="897">
        <f t="shared" ref="S8:S28" si="2">SUM(U8:W8)</f>
        <v>18005</v>
      </c>
      <c r="T8" s="898"/>
      <c r="U8" s="916"/>
      <c r="V8" s="914"/>
      <c r="W8" s="914">
        <f>18050-45</f>
        <v>18005</v>
      </c>
    </row>
    <row r="9" spans="1:23" ht="18" hidden="1" customHeight="1" x14ac:dyDescent="0.25">
      <c r="A9" s="801"/>
      <c r="B9" s="801"/>
      <c r="C9" s="802" t="s">
        <v>1542</v>
      </c>
      <c r="D9" s="897">
        <v>35000000</v>
      </c>
      <c r="E9" s="901"/>
      <c r="F9" s="902"/>
      <c r="G9" s="900"/>
      <c r="H9" s="900"/>
      <c r="I9" s="803">
        <f t="shared" si="0"/>
        <v>0</v>
      </c>
      <c r="K9" s="850"/>
      <c r="L9" s="849"/>
      <c r="M9" s="849"/>
      <c r="N9" s="803">
        <f t="shared" si="1"/>
        <v>0</v>
      </c>
      <c r="Q9" s="866"/>
      <c r="R9" s="866"/>
      <c r="S9" s="897">
        <f t="shared" si="2"/>
        <v>0</v>
      </c>
      <c r="T9" s="901"/>
      <c r="U9" s="914"/>
      <c r="V9" s="914"/>
      <c r="W9" s="914"/>
    </row>
    <row r="10" spans="1:23" ht="18" hidden="1" customHeight="1" x14ac:dyDescent="0.25">
      <c r="A10" s="801"/>
      <c r="B10" s="801"/>
      <c r="C10" s="802" t="s">
        <v>1540</v>
      </c>
      <c r="D10" s="897">
        <v>444500</v>
      </c>
      <c r="E10" s="901"/>
      <c r="F10" s="902"/>
      <c r="G10" s="900"/>
      <c r="H10" s="900"/>
      <c r="I10" s="803">
        <f t="shared" si="0"/>
        <v>0</v>
      </c>
      <c r="K10" s="850"/>
      <c r="L10" s="849"/>
      <c r="M10" s="849"/>
      <c r="N10" s="803">
        <f t="shared" si="1"/>
        <v>0</v>
      </c>
      <c r="Q10" s="866"/>
      <c r="R10" s="866"/>
      <c r="S10" s="897">
        <f t="shared" si="2"/>
        <v>0</v>
      </c>
      <c r="T10" s="901"/>
      <c r="U10" s="914"/>
      <c r="V10" s="914"/>
      <c r="W10" s="914"/>
    </row>
    <row r="11" spans="1:23" s="792" customFormat="1" ht="18" customHeight="1" x14ac:dyDescent="0.25">
      <c r="A11" s="801">
        <v>3</v>
      </c>
      <c r="B11" s="801">
        <v>1903</v>
      </c>
      <c r="C11" s="802" t="s">
        <v>1543</v>
      </c>
      <c r="D11" s="897">
        <f>SUM(D12:D13)/1000</f>
        <v>6000</v>
      </c>
      <c r="E11" s="898"/>
      <c r="F11" s="899"/>
      <c r="G11" s="900">
        <v>6000</v>
      </c>
      <c r="H11" s="900"/>
      <c r="I11" s="803">
        <f t="shared" si="0"/>
        <v>6284</v>
      </c>
      <c r="J11" s="804"/>
      <c r="K11" s="848"/>
      <c r="L11" s="849">
        <f>6000+284</f>
        <v>6284</v>
      </c>
      <c r="M11" s="849"/>
      <c r="N11" s="803">
        <f t="shared" si="1"/>
        <v>8084</v>
      </c>
      <c r="O11" s="804"/>
      <c r="P11" s="892">
        <v>6255</v>
      </c>
      <c r="Q11" s="866">
        <f>6284+2300-500-6255</f>
        <v>1829</v>
      </c>
      <c r="R11" s="866"/>
      <c r="S11" s="897">
        <f t="shared" si="2"/>
        <v>8626</v>
      </c>
      <c r="T11" s="898"/>
      <c r="U11" s="916">
        <v>6255</v>
      </c>
      <c r="V11" s="914">
        <f>1829+542</f>
        <v>2371</v>
      </c>
      <c r="W11" s="914"/>
    </row>
    <row r="12" spans="1:23" ht="18" hidden="1" customHeight="1" x14ac:dyDescent="0.25">
      <c r="A12" s="801"/>
      <c r="B12" s="801"/>
      <c r="C12" s="802" t="s">
        <v>1544</v>
      </c>
      <c r="D12" s="897">
        <v>4000000</v>
      </c>
      <c r="E12" s="901" t="s">
        <v>1545</v>
      </c>
      <c r="F12" s="902"/>
      <c r="G12" s="900"/>
      <c r="H12" s="900"/>
      <c r="I12" s="803">
        <f t="shared" si="0"/>
        <v>0</v>
      </c>
      <c r="J12" s="806" t="s">
        <v>1545</v>
      </c>
      <c r="K12" s="850"/>
      <c r="L12" s="849"/>
      <c r="M12" s="849"/>
      <c r="N12" s="803">
        <f t="shared" si="1"/>
        <v>0</v>
      </c>
      <c r="O12" s="806" t="s">
        <v>1545</v>
      </c>
      <c r="Q12" s="866"/>
      <c r="R12" s="866"/>
      <c r="S12" s="897">
        <f t="shared" si="2"/>
        <v>0</v>
      </c>
      <c r="T12" s="901" t="s">
        <v>1545</v>
      </c>
      <c r="U12" s="914"/>
      <c r="V12" s="914"/>
      <c r="W12" s="914"/>
    </row>
    <row r="13" spans="1:23" ht="18" hidden="1" customHeight="1" x14ac:dyDescent="0.25">
      <c r="A13" s="801"/>
      <c r="B13" s="801"/>
      <c r="C13" s="802" t="s">
        <v>1546</v>
      </c>
      <c r="D13" s="897">
        <v>2000000</v>
      </c>
      <c r="E13" s="901" t="s">
        <v>1547</v>
      </c>
      <c r="F13" s="902"/>
      <c r="G13" s="900"/>
      <c r="H13" s="900"/>
      <c r="I13" s="803">
        <f t="shared" si="0"/>
        <v>0</v>
      </c>
      <c r="J13" s="806" t="s">
        <v>1547</v>
      </c>
      <c r="K13" s="850"/>
      <c r="L13" s="849"/>
      <c r="M13" s="849"/>
      <c r="N13" s="803">
        <f t="shared" si="1"/>
        <v>0</v>
      </c>
      <c r="O13" s="806" t="s">
        <v>1547</v>
      </c>
      <c r="Q13" s="866"/>
      <c r="R13" s="866"/>
      <c r="S13" s="897">
        <f t="shared" si="2"/>
        <v>0</v>
      </c>
      <c r="T13" s="901" t="s">
        <v>1547</v>
      </c>
      <c r="U13" s="914"/>
      <c r="V13" s="914"/>
      <c r="W13" s="914"/>
    </row>
    <row r="14" spans="1:23" s="792" customFormat="1" ht="18" customHeight="1" x14ac:dyDescent="0.25">
      <c r="A14" s="801">
        <v>4</v>
      </c>
      <c r="B14" s="801">
        <v>1904</v>
      </c>
      <c r="C14" s="802" t="s">
        <v>1548</v>
      </c>
      <c r="D14" s="897">
        <f>SUM(D15)/1000</f>
        <v>1900</v>
      </c>
      <c r="E14" s="898"/>
      <c r="F14" s="899"/>
      <c r="G14" s="900"/>
      <c r="H14" s="900">
        <v>1900</v>
      </c>
      <c r="I14" s="803">
        <f t="shared" si="0"/>
        <v>1900</v>
      </c>
      <c r="J14" s="804"/>
      <c r="K14" s="848">
        <v>1900</v>
      </c>
      <c r="L14" s="849"/>
      <c r="M14" s="849">
        <f>1900-1900</f>
        <v>0</v>
      </c>
      <c r="N14" s="803">
        <f t="shared" si="1"/>
        <v>1900</v>
      </c>
      <c r="O14" s="804"/>
      <c r="P14" s="892">
        <v>1900</v>
      </c>
      <c r="Q14" s="866"/>
      <c r="R14" s="866">
        <f>1900-1900</f>
        <v>0</v>
      </c>
      <c r="S14" s="897">
        <f t="shared" si="2"/>
        <v>1889</v>
      </c>
      <c r="T14" s="898"/>
      <c r="U14" s="916">
        <f>1900-11</f>
        <v>1889</v>
      </c>
      <c r="V14" s="914"/>
      <c r="W14" s="917">
        <f>1900-1900-11+11</f>
        <v>0</v>
      </c>
    </row>
    <row r="15" spans="1:23" ht="18" hidden="1" customHeight="1" x14ac:dyDescent="0.25">
      <c r="A15" s="801"/>
      <c r="B15" s="801"/>
      <c r="C15" s="802" t="s">
        <v>1549</v>
      </c>
      <c r="D15" s="897">
        <v>1900000</v>
      </c>
      <c r="E15" s="903" t="s">
        <v>1550</v>
      </c>
      <c r="F15" s="902"/>
      <c r="G15" s="900"/>
      <c r="H15" s="900"/>
      <c r="I15" s="803">
        <f t="shared" si="0"/>
        <v>0</v>
      </c>
      <c r="J15" s="808" t="s">
        <v>1550</v>
      </c>
      <c r="K15" s="850"/>
      <c r="L15" s="849"/>
      <c r="M15" s="849"/>
      <c r="N15" s="803">
        <f t="shared" si="1"/>
        <v>0</v>
      </c>
      <c r="O15" s="808" t="s">
        <v>1550</v>
      </c>
      <c r="Q15" s="866"/>
      <c r="R15" s="866"/>
      <c r="S15" s="897">
        <f t="shared" si="2"/>
        <v>0</v>
      </c>
      <c r="T15" s="903" t="s">
        <v>1550</v>
      </c>
      <c r="U15" s="914"/>
      <c r="V15" s="914"/>
      <c r="W15" s="914"/>
    </row>
    <row r="16" spans="1:23" s="792" customFormat="1" ht="18" customHeight="1" x14ac:dyDescent="0.25">
      <c r="A16" s="801">
        <v>5</v>
      </c>
      <c r="B16" s="801">
        <v>1905</v>
      </c>
      <c r="C16" s="802" t="s">
        <v>1551</v>
      </c>
      <c r="D16" s="897">
        <f>SUM(D17)/1000-40000</f>
        <v>0</v>
      </c>
      <c r="E16" s="903"/>
      <c r="F16" s="899"/>
      <c r="G16" s="900"/>
      <c r="H16" s="900"/>
      <c r="I16" s="803">
        <f t="shared" si="0"/>
        <v>0</v>
      </c>
      <c r="J16" s="809"/>
      <c r="K16" s="848"/>
      <c r="L16" s="849"/>
      <c r="M16" s="849"/>
      <c r="N16" s="803">
        <f t="shared" si="1"/>
        <v>0</v>
      </c>
      <c r="O16" s="809"/>
      <c r="P16" s="892"/>
      <c r="Q16" s="866"/>
      <c r="R16" s="866"/>
      <c r="S16" s="897">
        <f t="shared" si="2"/>
        <v>0</v>
      </c>
      <c r="T16" s="903"/>
      <c r="U16" s="916"/>
      <c r="V16" s="914"/>
      <c r="W16" s="914"/>
    </row>
    <row r="17" spans="1:23" s="792" customFormat="1" ht="18" hidden="1" customHeight="1" x14ac:dyDescent="0.25">
      <c r="A17" s="801"/>
      <c r="B17" s="801"/>
      <c r="C17" s="802" t="s">
        <v>1549</v>
      </c>
      <c r="D17" s="897">
        <v>40000000</v>
      </c>
      <c r="E17" s="901" t="s">
        <v>1552</v>
      </c>
      <c r="F17" s="899"/>
      <c r="G17" s="900"/>
      <c r="H17" s="900"/>
      <c r="I17" s="803">
        <f t="shared" si="0"/>
        <v>0</v>
      </c>
      <c r="J17" s="806" t="s">
        <v>1552</v>
      </c>
      <c r="K17" s="848"/>
      <c r="L17" s="849"/>
      <c r="M17" s="849"/>
      <c r="N17" s="803">
        <f t="shared" si="1"/>
        <v>0</v>
      </c>
      <c r="O17" s="806" t="s">
        <v>1552</v>
      </c>
      <c r="P17" s="892"/>
      <c r="Q17" s="866"/>
      <c r="R17" s="866"/>
      <c r="S17" s="897">
        <f t="shared" si="2"/>
        <v>0</v>
      </c>
      <c r="T17" s="901" t="s">
        <v>1552</v>
      </c>
      <c r="U17" s="916"/>
      <c r="V17" s="914"/>
      <c r="W17" s="914"/>
    </row>
    <row r="18" spans="1:23" s="792" customFormat="1" ht="18" customHeight="1" x14ac:dyDescent="0.25">
      <c r="A18" s="801">
        <v>6</v>
      </c>
      <c r="B18" s="801">
        <v>1906</v>
      </c>
      <c r="C18" s="802" t="s">
        <v>1678</v>
      </c>
      <c r="D18" s="897">
        <f>25000-25000</f>
        <v>0</v>
      </c>
      <c r="E18" s="901"/>
      <c r="F18" s="899"/>
      <c r="G18" s="900"/>
      <c r="H18" s="900"/>
      <c r="I18" s="803">
        <f t="shared" si="0"/>
        <v>0</v>
      </c>
      <c r="J18" s="806"/>
      <c r="K18" s="848"/>
      <c r="L18" s="849"/>
      <c r="M18" s="849"/>
      <c r="N18" s="803">
        <f t="shared" si="1"/>
        <v>0</v>
      </c>
      <c r="O18" s="806"/>
      <c r="P18" s="892"/>
      <c r="Q18" s="866"/>
      <c r="R18" s="866"/>
      <c r="S18" s="897">
        <f t="shared" si="2"/>
        <v>140</v>
      </c>
      <c r="T18" s="901"/>
      <c r="U18" s="916">
        <v>140</v>
      </c>
      <c r="V18" s="914"/>
      <c r="W18" s="914"/>
    </row>
    <row r="19" spans="1:23" s="812" customFormat="1" ht="38.1" customHeight="1" x14ac:dyDescent="0.25">
      <c r="A19" s="801">
        <v>5</v>
      </c>
      <c r="B19" s="801">
        <v>1907</v>
      </c>
      <c r="C19" s="802" t="s">
        <v>1553</v>
      </c>
      <c r="D19" s="897">
        <f>SUM(D20)/1000-35000</f>
        <v>45000</v>
      </c>
      <c r="E19" s="904" t="s">
        <v>1554</v>
      </c>
      <c r="F19" s="902"/>
      <c r="G19" s="900"/>
      <c r="H19" s="900">
        <v>45000</v>
      </c>
      <c r="I19" s="803">
        <f t="shared" si="0"/>
        <v>50139</v>
      </c>
      <c r="J19" s="810" t="s">
        <v>1554</v>
      </c>
      <c r="K19" s="850">
        <f>45000+5139</f>
        <v>50139</v>
      </c>
      <c r="L19" s="849"/>
      <c r="M19" s="849">
        <f>45000-45000</f>
        <v>0</v>
      </c>
      <c r="N19" s="803">
        <f t="shared" si="1"/>
        <v>60139</v>
      </c>
      <c r="O19" s="810" t="s">
        <v>1554</v>
      </c>
      <c r="P19" s="866">
        <f>50139+10000</f>
        <v>60139</v>
      </c>
      <c r="Q19" s="866"/>
      <c r="R19" s="866">
        <f>45000-45000</f>
        <v>0</v>
      </c>
      <c r="S19" s="897">
        <f t="shared" si="2"/>
        <v>77025</v>
      </c>
      <c r="T19" s="904" t="s">
        <v>1554</v>
      </c>
      <c r="U19" s="914">
        <f>60139</f>
        <v>60139</v>
      </c>
      <c r="V19" s="914"/>
      <c r="W19" s="914">
        <f>12643+4243</f>
        <v>16886</v>
      </c>
    </row>
    <row r="20" spans="1:23" ht="18" hidden="1" customHeight="1" x14ac:dyDescent="0.25">
      <c r="A20" s="801"/>
      <c r="B20" s="801"/>
      <c r="C20" s="802" t="s">
        <v>1549</v>
      </c>
      <c r="D20" s="897">
        <v>80000000</v>
      </c>
      <c r="E20" s="905" t="s">
        <v>1555</v>
      </c>
      <c r="F20" s="902"/>
      <c r="G20" s="900"/>
      <c r="H20" s="900"/>
      <c r="I20" s="803">
        <f t="shared" si="0"/>
        <v>0</v>
      </c>
      <c r="J20" s="813" t="s">
        <v>1555</v>
      </c>
      <c r="K20" s="850"/>
      <c r="L20" s="849"/>
      <c r="M20" s="849"/>
      <c r="N20" s="803">
        <f t="shared" si="1"/>
        <v>0</v>
      </c>
      <c r="O20" s="813" t="s">
        <v>1555</v>
      </c>
      <c r="Q20" s="866"/>
      <c r="R20" s="866"/>
      <c r="S20" s="897">
        <f t="shared" si="2"/>
        <v>0</v>
      </c>
      <c r="T20" s="905" t="s">
        <v>1555</v>
      </c>
      <c r="U20" s="914"/>
      <c r="V20" s="914"/>
      <c r="W20" s="914"/>
    </row>
    <row r="21" spans="1:23" s="812" customFormat="1" ht="31.5" x14ac:dyDescent="0.25">
      <c r="A21" s="801">
        <v>6</v>
      </c>
      <c r="B21" s="801">
        <v>1908</v>
      </c>
      <c r="C21" s="802" t="s">
        <v>1556</v>
      </c>
      <c r="D21" s="897">
        <f>50000000/1000</f>
        <v>50000</v>
      </c>
      <c r="E21" s="904" t="s">
        <v>1554</v>
      </c>
      <c r="F21" s="902"/>
      <c r="G21" s="900">
        <v>50000</v>
      </c>
      <c r="H21" s="900"/>
      <c r="I21" s="803">
        <f t="shared" si="0"/>
        <v>50000</v>
      </c>
      <c r="J21" s="810" t="s">
        <v>1554</v>
      </c>
      <c r="K21" s="850"/>
      <c r="L21" s="849">
        <v>50000</v>
      </c>
      <c r="M21" s="849"/>
      <c r="N21" s="803">
        <f t="shared" si="1"/>
        <v>33321</v>
      </c>
      <c r="O21" s="810" t="s">
        <v>1554</v>
      </c>
      <c r="P21" s="866"/>
      <c r="Q21" s="866">
        <f>50000-6679-10000</f>
        <v>33321</v>
      </c>
      <c r="R21" s="866"/>
      <c r="S21" s="897">
        <f t="shared" si="2"/>
        <v>20678</v>
      </c>
      <c r="T21" s="904" t="s">
        <v>1554</v>
      </c>
      <c r="U21" s="914"/>
      <c r="V21" s="914">
        <f>33321-12643</f>
        <v>20678</v>
      </c>
      <c r="W21" s="914"/>
    </row>
    <row r="22" spans="1:23" s="812" customFormat="1" ht="33.4" customHeight="1" x14ac:dyDescent="0.25">
      <c r="A22" s="801">
        <v>7</v>
      </c>
      <c r="B22" s="801">
        <v>1909</v>
      </c>
      <c r="C22" s="802" t="s">
        <v>1557</v>
      </c>
      <c r="D22" s="897">
        <f>SUM(D23)/1000-15000</f>
        <v>10000</v>
      </c>
      <c r="E22" s="904" t="s">
        <v>1554</v>
      </c>
      <c r="F22" s="902"/>
      <c r="G22" s="900"/>
      <c r="H22" s="900">
        <v>10000</v>
      </c>
      <c r="I22" s="803">
        <f t="shared" si="0"/>
        <v>8315</v>
      </c>
      <c r="J22" s="810" t="s">
        <v>1554</v>
      </c>
      <c r="K22" s="850"/>
      <c r="L22" s="849"/>
      <c r="M22" s="849">
        <f>10000-1685</f>
        <v>8315</v>
      </c>
      <c r="N22" s="803">
        <f t="shared" si="1"/>
        <v>8315</v>
      </c>
      <c r="O22" s="810" t="s">
        <v>1554</v>
      </c>
      <c r="P22" s="866"/>
      <c r="Q22" s="866"/>
      <c r="R22" s="866">
        <f>10000-1685</f>
        <v>8315</v>
      </c>
      <c r="S22" s="897">
        <f t="shared" si="2"/>
        <v>17610</v>
      </c>
      <c r="T22" s="904" t="s">
        <v>1554</v>
      </c>
      <c r="U22" s="914"/>
      <c r="V22" s="914">
        <f>1157</f>
        <v>1157</v>
      </c>
      <c r="W22" s="914">
        <f>8315+8138</f>
        <v>16453</v>
      </c>
    </row>
    <row r="23" spans="1:23" s="792" customFormat="1" ht="22.9" hidden="1" customHeight="1" x14ac:dyDescent="0.25">
      <c r="A23" s="789"/>
      <c r="B23" s="789"/>
      <c r="C23" s="813"/>
      <c r="D23" s="897">
        <v>25000000</v>
      </c>
      <c r="E23" s="901" t="s">
        <v>1558</v>
      </c>
      <c r="F23" s="899"/>
      <c r="G23" s="899"/>
      <c r="H23" s="899"/>
      <c r="I23" s="814">
        <f t="shared" si="0"/>
        <v>0</v>
      </c>
      <c r="J23" s="815" t="s">
        <v>1558</v>
      </c>
      <c r="K23" s="848"/>
      <c r="L23" s="851"/>
      <c r="M23" s="851"/>
      <c r="N23" s="814">
        <f t="shared" si="1"/>
        <v>0</v>
      </c>
      <c r="O23" s="815" t="s">
        <v>1558</v>
      </c>
      <c r="P23" s="892"/>
      <c r="Q23" s="863"/>
      <c r="R23" s="863"/>
      <c r="S23" s="897">
        <f t="shared" si="2"/>
        <v>0</v>
      </c>
      <c r="T23" s="901" t="s">
        <v>1558</v>
      </c>
      <c r="U23" s="916"/>
      <c r="V23" s="916"/>
      <c r="W23" s="916"/>
    </row>
    <row r="24" spans="1:23" s="788" customFormat="1" hidden="1" x14ac:dyDescent="0.25">
      <c r="A24" s="789"/>
      <c r="B24" s="816"/>
      <c r="C24" s="817"/>
      <c r="D24" s="906"/>
      <c r="E24" s="907" t="s">
        <v>1559</v>
      </c>
      <c r="F24" s="908"/>
      <c r="G24" s="908"/>
      <c r="H24" s="908"/>
      <c r="I24" s="818">
        <f t="shared" si="0"/>
        <v>0</v>
      </c>
      <c r="J24" s="819" t="s">
        <v>1559</v>
      </c>
      <c r="K24" s="842"/>
      <c r="L24" s="843"/>
      <c r="M24" s="843"/>
      <c r="N24" s="818">
        <f t="shared" si="1"/>
        <v>0</v>
      </c>
      <c r="O24" s="819" t="s">
        <v>1559</v>
      </c>
      <c r="P24" s="862"/>
      <c r="Q24" s="891"/>
      <c r="R24" s="891"/>
      <c r="S24" s="897">
        <f t="shared" si="2"/>
        <v>0</v>
      </c>
      <c r="T24" s="901" t="s">
        <v>1559</v>
      </c>
      <c r="U24" s="916"/>
      <c r="V24" s="916"/>
      <c r="W24" s="915"/>
    </row>
    <row r="25" spans="1:23" s="788" customFormat="1" x14ac:dyDescent="0.25">
      <c r="A25" s="823">
        <v>8</v>
      </c>
      <c r="B25" s="816"/>
      <c r="C25" s="802" t="s">
        <v>1551</v>
      </c>
      <c r="D25" s="906"/>
      <c r="E25" s="907"/>
      <c r="F25" s="908"/>
      <c r="G25" s="908"/>
      <c r="H25" s="899"/>
      <c r="I25" s="814">
        <f t="shared" si="0"/>
        <v>70000</v>
      </c>
      <c r="J25" s="815"/>
      <c r="K25" s="848"/>
      <c r="L25" s="863">
        <v>70000</v>
      </c>
      <c r="M25" s="851"/>
      <c r="N25" s="814">
        <f t="shared" si="1"/>
        <v>70000</v>
      </c>
      <c r="O25" s="815"/>
      <c r="P25" s="892"/>
      <c r="Q25" s="863">
        <v>70000</v>
      </c>
      <c r="R25" s="863"/>
      <c r="S25" s="897">
        <f t="shared" si="2"/>
        <v>50900</v>
      </c>
      <c r="T25" s="901"/>
      <c r="U25" s="916"/>
      <c r="V25" s="916">
        <f>70000-21404+2304</f>
        <v>50900</v>
      </c>
      <c r="W25" s="916"/>
    </row>
    <row r="26" spans="1:23" s="788" customFormat="1" x14ac:dyDescent="0.25">
      <c r="A26" s="823">
        <v>9</v>
      </c>
      <c r="B26" s="816"/>
      <c r="C26" s="802" t="s">
        <v>1678</v>
      </c>
      <c r="D26" s="906"/>
      <c r="E26" s="907"/>
      <c r="F26" s="908"/>
      <c r="G26" s="908"/>
      <c r="H26" s="899"/>
      <c r="I26" s="814">
        <f t="shared" si="0"/>
        <v>28000</v>
      </c>
      <c r="J26" s="815"/>
      <c r="K26" s="848"/>
      <c r="L26" s="863">
        <v>28000</v>
      </c>
      <c r="M26" s="851"/>
      <c r="N26" s="814">
        <f t="shared" si="1"/>
        <v>28000</v>
      </c>
      <c r="O26" s="815"/>
      <c r="P26" s="892">
        <v>103</v>
      </c>
      <c r="Q26" s="863">
        <f>28000-103</f>
        <v>27897</v>
      </c>
      <c r="R26" s="863"/>
      <c r="S26" s="897">
        <f t="shared" si="2"/>
        <v>49404</v>
      </c>
      <c r="T26" s="901"/>
      <c r="U26" s="916">
        <v>103</v>
      </c>
      <c r="V26" s="916">
        <f>27897+21404</f>
        <v>49301</v>
      </c>
      <c r="W26" s="916"/>
    </row>
    <row r="27" spans="1:23" s="788" customFormat="1" x14ac:dyDescent="0.25">
      <c r="A27" s="823">
        <v>10</v>
      </c>
      <c r="B27" s="816"/>
      <c r="C27" s="877" t="s">
        <v>1722</v>
      </c>
      <c r="D27" s="906"/>
      <c r="E27" s="907"/>
      <c r="F27" s="908"/>
      <c r="G27" s="908"/>
      <c r="H27" s="899"/>
      <c r="I27" s="814">
        <f t="shared" si="0"/>
        <v>34000</v>
      </c>
      <c r="J27" s="815"/>
      <c r="K27" s="848"/>
      <c r="L27" s="863">
        <v>34000</v>
      </c>
      <c r="M27" s="851"/>
      <c r="N27" s="814">
        <f t="shared" si="1"/>
        <v>18507</v>
      </c>
      <c r="O27" s="815"/>
      <c r="P27" s="892"/>
      <c r="Q27" s="863">
        <f>34000-4700-1482-2271-3066-3974</f>
        <v>18507</v>
      </c>
      <c r="R27" s="863"/>
      <c r="S27" s="897">
        <f t="shared" si="2"/>
        <v>146</v>
      </c>
      <c r="T27" s="901"/>
      <c r="U27" s="916">
        <f>2304-2304</f>
        <v>0</v>
      </c>
      <c r="V27" s="916">
        <f>18507-2294-1737-542-939-796-696-4243-2304-7114+2304</f>
        <v>146</v>
      </c>
      <c r="W27" s="915"/>
    </row>
    <row r="28" spans="1:23" s="788" customFormat="1" x14ac:dyDescent="0.25">
      <c r="A28" s="823">
        <v>11</v>
      </c>
      <c r="B28" s="816"/>
      <c r="C28" s="877" t="s">
        <v>1721</v>
      </c>
      <c r="D28" s="906"/>
      <c r="E28" s="907"/>
      <c r="F28" s="908"/>
      <c r="G28" s="908"/>
      <c r="H28" s="899"/>
      <c r="I28" s="814">
        <f t="shared" si="0"/>
        <v>8000</v>
      </c>
      <c r="J28" s="815"/>
      <c r="K28" s="848"/>
      <c r="L28" s="863">
        <v>8000</v>
      </c>
      <c r="M28" s="851"/>
      <c r="N28" s="814">
        <f t="shared" si="1"/>
        <v>8000</v>
      </c>
      <c r="O28" s="815"/>
      <c r="P28" s="892">
        <v>309</v>
      </c>
      <c r="Q28" s="863">
        <f>8000-309</f>
        <v>7691</v>
      </c>
      <c r="R28" s="863"/>
      <c r="S28" s="897">
        <f t="shared" si="2"/>
        <v>8295</v>
      </c>
      <c r="T28" s="901"/>
      <c r="U28" s="916">
        <f>309+60</f>
        <v>369</v>
      </c>
      <c r="V28" s="916">
        <f>7691+235</f>
        <v>7926</v>
      </c>
      <c r="W28" s="916"/>
    </row>
    <row r="29" spans="1:23" s="792" customFormat="1" ht="26.65" customHeight="1" x14ac:dyDescent="0.25">
      <c r="A29" s="796" t="s">
        <v>318</v>
      </c>
      <c r="B29" s="796"/>
      <c r="C29" s="797" t="s">
        <v>1693</v>
      </c>
      <c r="D29" s="798">
        <f>SUM(D30,D35,D37,D39,D41,D43,D45,D47,D49,D50,D51,D52,D53,D54)</f>
        <v>432992</v>
      </c>
      <c r="E29" s="799"/>
      <c r="F29" s="847">
        <f>SUM(F30,F35,F37,F39,F41,F43,F45,F47,F49,F50,F51,F52,F53)</f>
        <v>0</v>
      </c>
      <c r="G29" s="847">
        <f>SUM(G30,G35,G37,G39,G41,G43,G45,G47,G49,G50,G51,G52,G53,G54)</f>
        <v>352845</v>
      </c>
      <c r="H29" s="847">
        <f>SUM(H30,H35,H37,H39,H41,H43,H45,H47,H49,H50,H51,H52,H53)</f>
        <v>80147</v>
      </c>
      <c r="I29" s="798">
        <f>I30+I35+I37+I39+I41+I43+I45+I47+I49+I50+I51+I52+I53+I54</f>
        <v>539937</v>
      </c>
      <c r="J29" s="799"/>
      <c r="K29" s="798">
        <f t="shared" ref="K29:M29" si="3">K30+K35+K37+K39+K41+K43+K45+K47+K49+K50+K51+K52+K53+K54</f>
        <v>3444</v>
      </c>
      <c r="L29" s="798">
        <f t="shared" si="3"/>
        <v>426984</v>
      </c>
      <c r="M29" s="798">
        <f t="shared" si="3"/>
        <v>109509</v>
      </c>
      <c r="N29" s="798">
        <f>N30+N35+N37+N39+N41+N43+N45+N47+N49+N50+N51+N52+N53+N54</f>
        <v>633795</v>
      </c>
      <c r="O29" s="799"/>
      <c r="P29" s="893">
        <f t="shared" ref="P29:R29" si="4">P30+P35+P37+P39+P41+P43+P45+P47+P49+P50+P51+P52+P53+P54</f>
        <v>10686</v>
      </c>
      <c r="Q29" s="893">
        <f t="shared" si="4"/>
        <v>525680</v>
      </c>
      <c r="R29" s="893">
        <f t="shared" si="4"/>
        <v>97429</v>
      </c>
      <c r="S29" s="798">
        <f>S30+S35+S37+S39+S41+S43+S45+S47+S49+S50+S51+S52+S53+S54</f>
        <v>660310</v>
      </c>
      <c r="T29" s="799"/>
      <c r="U29" s="893">
        <f t="shared" ref="U29:W29" si="5">U30+U35+U37+U39+U41+U43+U45+U47+U49+U50+U51+U52+U53+U54</f>
        <v>34086</v>
      </c>
      <c r="V29" s="893">
        <f t="shared" si="5"/>
        <v>534755</v>
      </c>
      <c r="W29" s="893">
        <f t="shared" si="5"/>
        <v>91469</v>
      </c>
    </row>
    <row r="30" spans="1:23" s="792" customFormat="1" ht="26.65" customHeight="1" x14ac:dyDescent="0.25">
      <c r="A30" s="801">
        <v>1</v>
      </c>
      <c r="B30" s="801">
        <v>1910</v>
      </c>
      <c r="C30" s="802" t="s">
        <v>1560</v>
      </c>
      <c r="D30" s="897">
        <f>300000000/1000</f>
        <v>300000</v>
      </c>
      <c r="E30" s="898" t="s">
        <v>1561</v>
      </c>
      <c r="F30" s="900"/>
      <c r="G30" s="900">
        <v>300000</v>
      </c>
      <c r="H30" s="900"/>
      <c r="I30" s="803">
        <f>SUM(K30:M30)</f>
        <v>300000</v>
      </c>
      <c r="J30" s="804" t="s">
        <v>1561</v>
      </c>
      <c r="K30" s="849"/>
      <c r="L30" s="849">
        <v>300000</v>
      </c>
      <c r="M30" s="849"/>
      <c r="N30" s="803">
        <f>SUM(P30:R30)</f>
        <v>390000</v>
      </c>
      <c r="O30" s="804" t="s">
        <v>1561</v>
      </c>
      <c r="P30" s="866"/>
      <c r="Q30" s="866">
        <f>300000+90000</f>
        <v>390000</v>
      </c>
      <c r="R30" s="866"/>
      <c r="S30" s="897">
        <f>SUM(U30:W30)</f>
        <v>390000</v>
      </c>
      <c r="T30" s="898" t="s">
        <v>1561</v>
      </c>
      <c r="U30" s="914"/>
      <c r="V30" s="914">
        <v>390000</v>
      </c>
      <c r="W30" s="914"/>
    </row>
    <row r="31" spans="1:23" ht="26.65" hidden="1" customHeight="1" x14ac:dyDescent="0.25">
      <c r="A31" s="801"/>
      <c r="B31" s="801"/>
      <c r="C31" s="802" t="s">
        <v>1549</v>
      </c>
      <c r="D31" s="897"/>
      <c r="E31" s="901"/>
      <c r="F31" s="900"/>
      <c r="G31" s="900"/>
      <c r="H31" s="900"/>
      <c r="I31" s="803">
        <f t="shared" si="0"/>
        <v>0</v>
      </c>
      <c r="K31" s="849"/>
      <c r="L31" s="849"/>
      <c r="M31" s="849"/>
      <c r="N31" s="803">
        <f t="shared" ref="N31:N75" si="6">SUM(P31:R31)</f>
        <v>0</v>
      </c>
      <c r="Q31" s="866"/>
      <c r="R31" s="866"/>
      <c r="S31" s="897">
        <f t="shared" ref="S31:S75" si="7">SUM(U31:W31)</f>
        <v>0</v>
      </c>
      <c r="T31" s="901"/>
      <c r="U31" s="914"/>
      <c r="V31" s="914"/>
      <c r="W31" s="914"/>
    </row>
    <row r="32" spans="1:23" ht="26.65" hidden="1" customHeight="1" x14ac:dyDescent="0.25">
      <c r="A32" s="801"/>
      <c r="B32" s="801"/>
      <c r="C32" s="802" t="s">
        <v>1562</v>
      </c>
      <c r="D32" s="897"/>
      <c r="E32" s="901"/>
      <c r="F32" s="900"/>
      <c r="G32" s="900"/>
      <c r="H32" s="900"/>
      <c r="I32" s="803">
        <f t="shared" si="0"/>
        <v>0</v>
      </c>
      <c r="K32" s="849"/>
      <c r="L32" s="849"/>
      <c r="M32" s="849"/>
      <c r="N32" s="803">
        <f t="shared" si="6"/>
        <v>0</v>
      </c>
      <c r="Q32" s="866"/>
      <c r="R32" s="866"/>
      <c r="S32" s="897">
        <f t="shared" si="7"/>
        <v>0</v>
      </c>
      <c r="T32" s="901"/>
      <c r="U32" s="914"/>
      <c r="V32" s="914"/>
      <c r="W32" s="914"/>
    </row>
    <row r="33" spans="1:23" ht="26.65" hidden="1" customHeight="1" x14ac:dyDescent="0.25">
      <c r="A33" s="801"/>
      <c r="B33" s="801"/>
      <c r="C33" s="802" t="s">
        <v>1540</v>
      </c>
      <c r="D33" s="897"/>
      <c r="E33" s="901"/>
      <c r="F33" s="900"/>
      <c r="G33" s="900"/>
      <c r="H33" s="900"/>
      <c r="I33" s="803">
        <f t="shared" si="0"/>
        <v>0</v>
      </c>
      <c r="K33" s="849"/>
      <c r="L33" s="849"/>
      <c r="M33" s="849"/>
      <c r="N33" s="803">
        <f t="shared" si="6"/>
        <v>0</v>
      </c>
      <c r="Q33" s="866"/>
      <c r="R33" s="866"/>
      <c r="S33" s="897">
        <f t="shared" si="7"/>
        <v>0</v>
      </c>
      <c r="T33" s="901"/>
      <c r="U33" s="914"/>
      <c r="V33" s="914"/>
      <c r="W33" s="914"/>
    </row>
    <row r="34" spans="1:23" ht="26.65" hidden="1" customHeight="1" x14ac:dyDescent="0.25">
      <c r="A34" s="801"/>
      <c r="B34" s="801"/>
      <c r="C34" s="802" t="s">
        <v>1563</v>
      </c>
      <c r="D34" s="897"/>
      <c r="E34" s="901"/>
      <c r="F34" s="900">
        <v>12800000</v>
      </c>
      <c r="G34" s="900"/>
      <c r="H34" s="900"/>
      <c r="I34" s="803">
        <f t="shared" si="0"/>
        <v>12800000</v>
      </c>
      <c r="K34" s="849">
        <v>12800000</v>
      </c>
      <c r="L34" s="849"/>
      <c r="M34" s="849"/>
      <c r="N34" s="803">
        <f t="shared" si="6"/>
        <v>12800000</v>
      </c>
      <c r="P34" s="866">
        <v>12800000</v>
      </c>
      <c r="Q34" s="866"/>
      <c r="R34" s="866"/>
      <c r="S34" s="897">
        <f t="shared" si="7"/>
        <v>12800000</v>
      </c>
      <c r="T34" s="901"/>
      <c r="U34" s="914">
        <v>12800000</v>
      </c>
      <c r="V34" s="914"/>
      <c r="W34" s="914"/>
    </row>
    <row r="35" spans="1:23" s="792" customFormat="1" ht="26.65" customHeight="1" x14ac:dyDescent="0.25">
      <c r="A35" s="801">
        <v>2</v>
      </c>
      <c r="B35" s="801">
        <v>1911</v>
      </c>
      <c r="C35" s="802" t="s">
        <v>1564</v>
      </c>
      <c r="D35" s="897">
        <f>SUM(D36)/1000</f>
        <v>20000</v>
      </c>
      <c r="E35" s="898"/>
      <c r="F35" s="900"/>
      <c r="G35" s="900">
        <v>20000</v>
      </c>
      <c r="H35" s="900"/>
      <c r="I35" s="803">
        <f t="shared" si="0"/>
        <v>20000</v>
      </c>
      <c r="J35" s="804"/>
      <c r="K35" s="849"/>
      <c r="L35" s="849">
        <v>20000</v>
      </c>
      <c r="M35" s="849"/>
      <c r="N35" s="803">
        <f t="shared" si="6"/>
        <v>20000</v>
      </c>
      <c r="O35" s="804"/>
      <c r="P35" s="866"/>
      <c r="Q35" s="866">
        <v>20000</v>
      </c>
      <c r="R35" s="866"/>
      <c r="S35" s="897">
        <f t="shared" si="7"/>
        <v>20000</v>
      </c>
      <c r="T35" s="898"/>
      <c r="U35" s="914"/>
      <c r="V35" s="914">
        <v>20000</v>
      </c>
      <c r="W35" s="914"/>
    </row>
    <row r="36" spans="1:23" s="820" customFormat="1" ht="26.65" hidden="1" customHeight="1" x14ac:dyDescent="0.25">
      <c r="A36" s="801"/>
      <c r="B36" s="801"/>
      <c r="C36" s="802" t="s">
        <v>1565</v>
      </c>
      <c r="D36" s="897">
        <v>20000000</v>
      </c>
      <c r="E36" s="901"/>
      <c r="F36" s="900"/>
      <c r="G36" s="900"/>
      <c r="H36" s="900"/>
      <c r="I36" s="803">
        <f t="shared" si="0"/>
        <v>0</v>
      </c>
      <c r="J36" s="815"/>
      <c r="K36" s="849"/>
      <c r="L36" s="849"/>
      <c r="M36" s="849"/>
      <c r="N36" s="803">
        <f t="shared" si="6"/>
        <v>0</v>
      </c>
      <c r="O36" s="815"/>
      <c r="P36" s="866"/>
      <c r="Q36" s="866"/>
      <c r="R36" s="866"/>
      <c r="S36" s="897">
        <f t="shared" si="7"/>
        <v>0</v>
      </c>
      <c r="T36" s="901"/>
      <c r="U36" s="914"/>
      <c r="V36" s="914"/>
      <c r="W36" s="914"/>
    </row>
    <row r="37" spans="1:23" s="792" customFormat="1" ht="26.65" customHeight="1" x14ac:dyDescent="0.25">
      <c r="A37" s="801">
        <v>3</v>
      </c>
      <c r="B37" s="801">
        <v>1912</v>
      </c>
      <c r="C37" s="802" t="s">
        <v>1566</v>
      </c>
      <c r="D37" s="897">
        <f>SUM(D38)/1000</f>
        <v>5000</v>
      </c>
      <c r="E37" s="898"/>
      <c r="F37" s="900"/>
      <c r="G37" s="900">
        <v>5000</v>
      </c>
      <c r="H37" s="900"/>
      <c r="I37" s="803">
        <f t="shared" si="0"/>
        <v>5000</v>
      </c>
      <c r="J37" s="804"/>
      <c r="K37" s="849"/>
      <c r="L37" s="849">
        <v>5000</v>
      </c>
      <c r="M37" s="849"/>
      <c r="N37" s="803">
        <f t="shared" si="6"/>
        <v>5000</v>
      </c>
      <c r="O37" s="804"/>
      <c r="P37" s="866">
        <v>3348</v>
      </c>
      <c r="Q37" s="866">
        <f>5000-3348</f>
        <v>1652</v>
      </c>
      <c r="R37" s="866"/>
      <c r="S37" s="897">
        <f t="shared" si="7"/>
        <v>7319</v>
      </c>
      <c r="T37" s="898"/>
      <c r="U37" s="914">
        <f>3348+1228</f>
        <v>4576</v>
      </c>
      <c r="V37" s="914">
        <f>1652+1901-458-352</f>
        <v>2743</v>
      </c>
      <c r="W37" s="914"/>
    </row>
    <row r="38" spans="1:23" s="820" customFormat="1" ht="26.65" hidden="1" customHeight="1" x14ac:dyDescent="0.25">
      <c r="A38" s="801"/>
      <c r="B38" s="801"/>
      <c r="C38" s="802" t="s">
        <v>1567</v>
      </c>
      <c r="D38" s="803">
        <v>5000000</v>
      </c>
      <c r="E38" s="815"/>
      <c r="F38" s="849"/>
      <c r="G38" s="849"/>
      <c r="H38" s="849"/>
      <c r="I38" s="803">
        <f t="shared" si="0"/>
        <v>0</v>
      </c>
      <c r="J38" s="815"/>
      <c r="K38" s="849"/>
      <c r="L38" s="849"/>
      <c r="M38" s="849"/>
      <c r="N38" s="803">
        <f t="shared" si="6"/>
        <v>0</v>
      </c>
      <c r="O38" s="815"/>
      <c r="P38" s="866"/>
      <c r="Q38" s="866"/>
      <c r="R38" s="866"/>
      <c r="S38" s="897">
        <f t="shared" si="7"/>
        <v>0</v>
      </c>
      <c r="T38" s="901"/>
      <c r="U38" s="914"/>
      <c r="V38" s="914"/>
      <c r="W38" s="914"/>
    </row>
    <row r="39" spans="1:23" s="792" customFormat="1" ht="26.65" customHeight="1" x14ac:dyDescent="0.25">
      <c r="A39" s="801">
        <v>4</v>
      </c>
      <c r="B39" s="801">
        <v>1913</v>
      </c>
      <c r="C39" s="802" t="s">
        <v>1568</v>
      </c>
      <c r="D39" s="897">
        <f>SUM(D40)/1000</f>
        <v>5000</v>
      </c>
      <c r="E39" s="898"/>
      <c r="F39" s="900"/>
      <c r="G39" s="900">
        <v>5000</v>
      </c>
      <c r="H39" s="900"/>
      <c r="I39" s="803">
        <f t="shared" si="0"/>
        <v>8791</v>
      </c>
      <c r="J39" s="804"/>
      <c r="K39" s="849"/>
      <c r="L39" s="849">
        <v>5000</v>
      </c>
      <c r="M39" s="849">
        <f>3791</f>
        <v>3791</v>
      </c>
      <c r="N39" s="803">
        <f t="shared" si="6"/>
        <v>10400</v>
      </c>
      <c r="O39" s="804"/>
      <c r="P39" s="866">
        <f>858+751</f>
        <v>1609</v>
      </c>
      <c r="Q39" s="866">
        <f>5000+3048</f>
        <v>8048</v>
      </c>
      <c r="R39" s="866">
        <f>3791-3048</f>
        <v>743</v>
      </c>
      <c r="S39" s="897">
        <f t="shared" si="7"/>
        <v>10400</v>
      </c>
      <c r="T39" s="898"/>
      <c r="U39" s="914">
        <v>1609</v>
      </c>
      <c r="V39" s="914">
        <v>8048</v>
      </c>
      <c r="W39" s="914">
        <v>743</v>
      </c>
    </row>
    <row r="40" spans="1:23" s="822" customFormat="1" ht="26.65" hidden="1" customHeight="1" x14ac:dyDescent="0.25">
      <c r="A40" s="801"/>
      <c r="B40" s="801"/>
      <c r="C40" s="802" t="s">
        <v>1567</v>
      </c>
      <c r="D40" s="897">
        <v>5000000</v>
      </c>
      <c r="E40" s="898"/>
      <c r="F40" s="900"/>
      <c r="G40" s="900"/>
      <c r="H40" s="900"/>
      <c r="I40" s="803">
        <f t="shared" si="0"/>
        <v>0</v>
      </c>
      <c r="J40" s="821"/>
      <c r="K40" s="849"/>
      <c r="L40" s="849"/>
      <c r="M40" s="849"/>
      <c r="N40" s="803">
        <f t="shared" si="6"/>
        <v>0</v>
      </c>
      <c r="O40" s="821"/>
      <c r="P40" s="866"/>
      <c r="Q40" s="866"/>
      <c r="R40" s="866"/>
      <c r="S40" s="897">
        <f t="shared" si="7"/>
        <v>0</v>
      </c>
      <c r="T40" s="898"/>
      <c r="U40" s="914"/>
      <c r="V40" s="914"/>
      <c r="W40" s="914"/>
    </row>
    <row r="41" spans="1:23" s="792" customFormat="1" ht="26.65" customHeight="1" x14ac:dyDescent="0.25">
      <c r="A41" s="801">
        <v>5</v>
      </c>
      <c r="B41" s="801">
        <v>1914</v>
      </c>
      <c r="C41" s="802" t="s">
        <v>1569</v>
      </c>
      <c r="D41" s="897">
        <f>SUM(D42)/1000</f>
        <v>5000</v>
      </c>
      <c r="E41" s="898"/>
      <c r="F41" s="900"/>
      <c r="G41" s="900">
        <v>5000</v>
      </c>
      <c r="H41" s="900"/>
      <c r="I41" s="803">
        <f t="shared" si="0"/>
        <v>5000</v>
      </c>
      <c r="J41" s="804"/>
      <c r="K41" s="849"/>
      <c r="L41" s="849">
        <v>5000</v>
      </c>
      <c r="M41" s="849"/>
      <c r="N41" s="803">
        <f t="shared" si="6"/>
        <v>5000</v>
      </c>
      <c r="O41" s="804"/>
      <c r="P41" s="866">
        <v>1053</v>
      </c>
      <c r="Q41" s="866">
        <f>5000-1053</f>
        <v>3947</v>
      </c>
      <c r="R41" s="866"/>
      <c r="S41" s="897">
        <f t="shared" si="7"/>
        <v>5000</v>
      </c>
      <c r="T41" s="898"/>
      <c r="U41" s="914">
        <v>1053</v>
      </c>
      <c r="V41" s="914">
        <v>3947</v>
      </c>
      <c r="W41" s="914"/>
    </row>
    <row r="42" spans="1:23" s="822" customFormat="1" ht="26.65" hidden="1" customHeight="1" x14ac:dyDescent="0.25">
      <c r="A42" s="801"/>
      <c r="B42" s="801"/>
      <c r="C42" s="802" t="s">
        <v>1567</v>
      </c>
      <c r="D42" s="897">
        <v>5000000</v>
      </c>
      <c r="E42" s="898"/>
      <c r="F42" s="900"/>
      <c r="G42" s="900"/>
      <c r="H42" s="900"/>
      <c r="I42" s="803">
        <f t="shared" si="0"/>
        <v>0</v>
      </c>
      <c r="J42" s="821"/>
      <c r="K42" s="849"/>
      <c r="L42" s="849"/>
      <c r="M42" s="849"/>
      <c r="N42" s="803">
        <f t="shared" si="6"/>
        <v>0</v>
      </c>
      <c r="O42" s="821"/>
      <c r="P42" s="866"/>
      <c r="Q42" s="866"/>
      <c r="R42" s="866"/>
      <c r="S42" s="897">
        <f t="shared" si="7"/>
        <v>0</v>
      </c>
      <c r="T42" s="898"/>
      <c r="U42" s="914"/>
      <c r="V42" s="914"/>
      <c r="W42" s="914"/>
    </row>
    <row r="43" spans="1:23" s="792" customFormat="1" ht="26.65" customHeight="1" x14ac:dyDescent="0.25">
      <c r="A43" s="801">
        <v>6</v>
      </c>
      <c r="B43" s="801">
        <v>1915</v>
      </c>
      <c r="C43" s="802" t="s">
        <v>1570</v>
      </c>
      <c r="D43" s="897">
        <f>SUM(D44)/1000</f>
        <v>5000</v>
      </c>
      <c r="E43" s="898"/>
      <c r="F43" s="900"/>
      <c r="G43" s="900">
        <v>5000</v>
      </c>
      <c r="H43" s="900"/>
      <c r="I43" s="803">
        <f t="shared" si="0"/>
        <v>5000</v>
      </c>
      <c r="J43" s="804"/>
      <c r="K43" s="849"/>
      <c r="L43" s="849">
        <v>5000</v>
      </c>
      <c r="M43" s="849"/>
      <c r="N43" s="803">
        <f t="shared" si="6"/>
        <v>5000</v>
      </c>
      <c r="O43" s="804"/>
      <c r="P43" s="866"/>
      <c r="Q43" s="866">
        <v>5000</v>
      </c>
      <c r="R43" s="866"/>
      <c r="S43" s="897">
        <f t="shared" si="7"/>
        <v>5000</v>
      </c>
      <c r="T43" s="898"/>
      <c r="U43" s="914"/>
      <c r="V43" s="914">
        <v>5000</v>
      </c>
      <c r="W43" s="914"/>
    </row>
    <row r="44" spans="1:23" s="822" customFormat="1" ht="26.65" hidden="1" customHeight="1" x14ac:dyDescent="0.25">
      <c r="A44" s="801"/>
      <c r="B44" s="801"/>
      <c r="C44" s="802" t="s">
        <v>1567</v>
      </c>
      <c r="D44" s="897">
        <v>5000000</v>
      </c>
      <c r="E44" s="898"/>
      <c r="F44" s="900"/>
      <c r="G44" s="900"/>
      <c r="H44" s="900"/>
      <c r="I44" s="803">
        <f t="shared" si="0"/>
        <v>0</v>
      </c>
      <c r="J44" s="821"/>
      <c r="K44" s="849"/>
      <c r="L44" s="849"/>
      <c r="M44" s="849"/>
      <c r="N44" s="803">
        <f t="shared" si="6"/>
        <v>0</v>
      </c>
      <c r="O44" s="821"/>
      <c r="P44" s="866"/>
      <c r="Q44" s="866"/>
      <c r="R44" s="866"/>
      <c r="S44" s="897">
        <f t="shared" si="7"/>
        <v>0</v>
      </c>
      <c r="T44" s="898"/>
      <c r="U44" s="914"/>
      <c r="V44" s="914"/>
      <c r="W44" s="914"/>
    </row>
    <row r="45" spans="1:23" ht="26.65" customHeight="1" x14ac:dyDescent="0.25">
      <c r="A45" s="801">
        <v>7</v>
      </c>
      <c r="B45" s="801">
        <v>1916</v>
      </c>
      <c r="C45" s="815" t="s">
        <v>1571</v>
      </c>
      <c r="D45" s="897">
        <f>SUM(D46:D46)/1000</f>
        <v>7200</v>
      </c>
      <c r="E45" s="898"/>
      <c r="F45" s="900"/>
      <c r="G45" s="900"/>
      <c r="H45" s="900">
        <v>7200</v>
      </c>
      <c r="I45" s="803">
        <f t="shared" si="0"/>
        <v>8200</v>
      </c>
      <c r="J45" s="804"/>
      <c r="K45" s="849"/>
      <c r="L45" s="849"/>
      <c r="M45" s="849">
        <f>7200+1000</f>
        <v>8200</v>
      </c>
      <c r="N45" s="803">
        <f t="shared" si="6"/>
        <v>8217</v>
      </c>
      <c r="O45" s="804"/>
      <c r="Q45" s="866"/>
      <c r="R45" s="866">
        <f>8200+17</f>
        <v>8217</v>
      </c>
      <c r="S45" s="897">
        <f t="shared" si="7"/>
        <v>8217</v>
      </c>
      <c r="T45" s="898"/>
      <c r="U45" s="914"/>
      <c r="V45" s="914"/>
      <c r="W45" s="914">
        <v>8217</v>
      </c>
    </row>
    <row r="46" spans="1:23" ht="26.65" hidden="1" customHeight="1" x14ac:dyDescent="0.25">
      <c r="A46" s="801"/>
      <c r="B46" s="801"/>
      <c r="C46" s="815" t="s">
        <v>1572</v>
      </c>
      <c r="D46" s="897">
        <v>7200000</v>
      </c>
      <c r="E46" s="901" t="s">
        <v>1573</v>
      </c>
      <c r="F46" s="900"/>
      <c r="G46" s="900"/>
      <c r="H46" s="900"/>
      <c r="I46" s="803">
        <f t="shared" si="0"/>
        <v>0</v>
      </c>
      <c r="J46" s="806" t="s">
        <v>1573</v>
      </c>
      <c r="K46" s="849"/>
      <c r="L46" s="849"/>
      <c r="M46" s="849"/>
      <c r="N46" s="803">
        <f t="shared" si="6"/>
        <v>0</v>
      </c>
      <c r="O46" s="806" t="s">
        <v>1573</v>
      </c>
      <c r="Q46" s="866"/>
      <c r="R46" s="866"/>
      <c r="S46" s="897">
        <f t="shared" si="7"/>
        <v>0</v>
      </c>
      <c r="T46" s="901" t="s">
        <v>1573</v>
      </c>
      <c r="U46" s="914"/>
      <c r="V46" s="914"/>
      <c r="W46" s="914"/>
    </row>
    <row r="47" spans="1:23" ht="26.65" customHeight="1" x14ac:dyDescent="0.25">
      <c r="A47" s="801">
        <v>8</v>
      </c>
      <c r="B47" s="801">
        <v>1917</v>
      </c>
      <c r="C47" s="815" t="s">
        <v>1574</v>
      </c>
      <c r="D47" s="897">
        <f>SUM(D48)/1000</f>
        <v>2000</v>
      </c>
      <c r="E47" s="898"/>
      <c r="F47" s="900"/>
      <c r="G47" s="900"/>
      <c r="H47" s="900">
        <v>2000</v>
      </c>
      <c r="I47" s="803">
        <f t="shared" si="0"/>
        <v>2000</v>
      </c>
      <c r="J47" s="804"/>
      <c r="K47" s="849"/>
      <c r="L47" s="849"/>
      <c r="M47" s="849">
        <v>2000</v>
      </c>
      <c r="N47" s="803">
        <f t="shared" si="6"/>
        <v>2271</v>
      </c>
      <c r="O47" s="804"/>
      <c r="Q47" s="866"/>
      <c r="R47" s="866">
        <f>2000+2271-2000</f>
        <v>2271</v>
      </c>
      <c r="S47" s="897">
        <f t="shared" si="7"/>
        <v>3081</v>
      </c>
      <c r="T47" s="898"/>
      <c r="U47" s="914">
        <f>458+352</f>
        <v>810</v>
      </c>
      <c r="V47" s="914"/>
      <c r="W47" s="914">
        <v>2271</v>
      </c>
    </row>
    <row r="48" spans="1:23" ht="26.65" hidden="1" customHeight="1" x14ac:dyDescent="0.25">
      <c r="A48" s="801"/>
      <c r="B48" s="801"/>
      <c r="C48" s="815" t="s">
        <v>1575</v>
      </c>
      <c r="D48" s="897">
        <v>2000000</v>
      </c>
      <c r="E48" s="901" t="s">
        <v>1576</v>
      </c>
      <c r="F48" s="900"/>
      <c r="G48" s="900"/>
      <c r="H48" s="900"/>
      <c r="I48" s="803">
        <f t="shared" si="0"/>
        <v>0</v>
      </c>
      <c r="J48" s="806" t="s">
        <v>1576</v>
      </c>
      <c r="K48" s="849"/>
      <c r="L48" s="849"/>
      <c r="M48" s="849"/>
      <c r="N48" s="803">
        <f t="shared" si="6"/>
        <v>0</v>
      </c>
      <c r="O48" s="806" t="s">
        <v>1576</v>
      </c>
      <c r="Q48" s="866"/>
      <c r="R48" s="866"/>
      <c r="S48" s="897">
        <f t="shared" si="7"/>
        <v>0</v>
      </c>
      <c r="T48" s="901" t="s">
        <v>1576</v>
      </c>
      <c r="U48" s="914"/>
      <c r="V48" s="914"/>
      <c r="W48" s="914"/>
    </row>
    <row r="49" spans="1:23" s="792" customFormat="1" ht="26.65" customHeight="1" x14ac:dyDescent="0.25">
      <c r="A49" s="801">
        <v>9</v>
      </c>
      <c r="B49" s="801">
        <v>1918</v>
      </c>
      <c r="C49" s="815" t="s">
        <v>1577</v>
      </c>
      <c r="D49" s="897">
        <v>12600</v>
      </c>
      <c r="E49" s="898"/>
      <c r="F49" s="900"/>
      <c r="G49" s="900"/>
      <c r="H49" s="900">
        <v>12600</v>
      </c>
      <c r="I49" s="803">
        <f t="shared" si="0"/>
        <v>12600</v>
      </c>
      <c r="J49" s="804"/>
      <c r="K49" s="849"/>
      <c r="L49" s="849"/>
      <c r="M49" s="849">
        <v>12600</v>
      </c>
      <c r="N49" s="803">
        <f t="shared" si="6"/>
        <v>12600</v>
      </c>
      <c r="O49" s="804"/>
      <c r="P49" s="866"/>
      <c r="Q49" s="866"/>
      <c r="R49" s="866">
        <v>12600</v>
      </c>
      <c r="S49" s="897">
        <f t="shared" si="7"/>
        <v>12600</v>
      </c>
      <c r="T49" s="898"/>
      <c r="U49" s="914"/>
      <c r="V49" s="914"/>
      <c r="W49" s="914">
        <v>12600</v>
      </c>
    </row>
    <row r="50" spans="1:23" ht="26.65" customHeight="1" x14ac:dyDescent="0.25">
      <c r="A50" s="823">
        <v>10</v>
      </c>
      <c r="B50" s="823">
        <v>1919</v>
      </c>
      <c r="C50" s="806" t="s">
        <v>1679</v>
      </c>
      <c r="D50" s="897">
        <v>20000</v>
      </c>
      <c r="E50" s="907" t="s">
        <v>1578</v>
      </c>
      <c r="F50" s="900"/>
      <c r="G50" s="900"/>
      <c r="H50" s="900">
        <v>20000</v>
      </c>
      <c r="I50" s="803">
        <f t="shared" si="0"/>
        <v>34286</v>
      </c>
      <c r="J50" s="824" t="s">
        <v>1578</v>
      </c>
      <c r="K50" s="849"/>
      <c r="L50" s="849">
        <f>2286</f>
        <v>2286</v>
      </c>
      <c r="M50" s="849">
        <f>20000+12000</f>
        <v>32000</v>
      </c>
      <c r="N50" s="803">
        <f t="shared" si="6"/>
        <v>34286</v>
      </c>
      <c r="O50" s="824" t="s">
        <v>1578</v>
      </c>
      <c r="Q50" s="866">
        <f>2286</f>
        <v>2286</v>
      </c>
      <c r="R50" s="866">
        <f>20000+12000</f>
        <v>32000</v>
      </c>
      <c r="S50" s="897">
        <f t="shared" si="7"/>
        <v>42033</v>
      </c>
      <c r="T50" s="907" t="s">
        <v>1578</v>
      </c>
      <c r="U50" s="914">
        <v>1290</v>
      </c>
      <c r="V50" s="914">
        <f>2286+4703</f>
        <v>6989</v>
      </c>
      <c r="W50" s="914">
        <f>32000+1754</f>
        <v>33754</v>
      </c>
    </row>
    <row r="51" spans="1:23" s="825" customFormat="1" ht="26.65" customHeight="1" x14ac:dyDescent="0.25">
      <c r="A51" s="823">
        <v>11</v>
      </c>
      <c r="B51" s="823">
        <v>1920</v>
      </c>
      <c r="C51" s="806" t="s">
        <v>1680</v>
      </c>
      <c r="D51" s="897">
        <f>18347</f>
        <v>18347</v>
      </c>
      <c r="E51" s="907"/>
      <c r="F51" s="900"/>
      <c r="G51" s="900"/>
      <c r="H51" s="900">
        <f>18347</f>
        <v>18347</v>
      </c>
      <c r="I51" s="803">
        <f t="shared" si="0"/>
        <v>18347</v>
      </c>
      <c r="J51" s="824"/>
      <c r="K51" s="849"/>
      <c r="L51" s="849"/>
      <c r="M51" s="849">
        <f>18347</f>
        <v>18347</v>
      </c>
      <c r="N51" s="803">
        <f t="shared" si="6"/>
        <v>18347</v>
      </c>
      <c r="O51" s="824"/>
      <c r="P51" s="866"/>
      <c r="Q51" s="866"/>
      <c r="R51" s="866">
        <f>18347</f>
        <v>18347</v>
      </c>
      <c r="S51" s="897">
        <f t="shared" si="7"/>
        <v>18347</v>
      </c>
      <c r="T51" s="907"/>
      <c r="U51" s="914"/>
      <c r="V51" s="914"/>
      <c r="W51" s="914">
        <f>18347</f>
        <v>18347</v>
      </c>
    </row>
    <row r="52" spans="1:23" s="825" customFormat="1" ht="26.65" customHeight="1" x14ac:dyDescent="0.25">
      <c r="A52" s="823">
        <v>12</v>
      </c>
      <c r="B52" s="823">
        <v>1921</v>
      </c>
      <c r="C52" s="806" t="s">
        <v>1700</v>
      </c>
      <c r="D52" s="897">
        <v>10000</v>
      </c>
      <c r="E52" s="907" t="s">
        <v>1579</v>
      </c>
      <c r="F52" s="900"/>
      <c r="G52" s="900"/>
      <c r="H52" s="900">
        <v>10000</v>
      </c>
      <c r="I52" s="803">
        <f t="shared" si="0"/>
        <v>10000</v>
      </c>
      <c r="J52" s="824" t="s">
        <v>1579</v>
      </c>
      <c r="K52" s="849"/>
      <c r="L52" s="849"/>
      <c r="M52" s="849">
        <v>10000</v>
      </c>
      <c r="N52" s="803">
        <f t="shared" si="6"/>
        <v>10000</v>
      </c>
      <c r="O52" s="824" t="s">
        <v>1579</v>
      </c>
      <c r="P52" s="866"/>
      <c r="Q52" s="866"/>
      <c r="R52" s="866">
        <v>10000</v>
      </c>
      <c r="S52" s="897">
        <f t="shared" si="7"/>
        <v>0</v>
      </c>
      <c r="T52" s="907" t="s">
        <v>1579</v>
      </c>
      <c r="U52" s="914"/>
      <c r="V52" s="914"/>
      <c r="W52" s="914">
        <f>10000-10000</f>
        <v>0</v>
      </c>
    </row>
    <row r="53" spans="1:23" s="825" customFormat="1" ht="26.65" customHeight="1" x14ac:dyDescent="0.25">
      <c r="A53" s="823">
        <v>13</v>
      </c>
      <c r="B53" s="823">
        <v>1922</v>
      </c>
      <c r="C53" s="806" t="s">
        <v>1682</v>
      </c>
      <c r="D53" s="897">
        <v>10000</v>
      </c>
      <c r="E53" s="907"/>
      <c r="F53" s="900"/>
      <c r="G53" s="900"/>
      <c r="H53" s="900">
        <v>10000</v>
      </c>
      <c r="I53" s="803">
        <f t="shared" si="0"/>
        <v>10000</v>
      </c>
      <c r="J53" s="824"/>
      <c r="K53" s="849"/>
      <c r="L53" s="849"/>
      <c r="M53" s="849">
        <v>10000</v>
      </c>
      <c r="N53" s="803">
        <f t="shared" si="6"/>
        <v>680</v>
      </c>
      <c r="O53" s="824"/>
      <c r="P53" s="866"/>
      <c r="Q53" s="866"/>
      <c r="R53" s="866">
        <f>10000-7068-818-483-629-17-305</f>
        <v>680</v>
      </c>
      <c r="S53" s="897">
        <f t="shared" si="7"/>
        <v>0</v>
      </c>
      <c r="T53" s="901"/>
      <c r="U53" s="914"/>
      <c r="V53" s="914"/>
      <c r="W53" s="914">
        <f>680-138-130-429+17</f>
        <v>0</v>
      </c>
    </row>
    <row r="54" spans="1:23" s="825" customFormat="1" ht="26.65" customHeight="1" x14ac:dyDescent="0.25">
      <c r="A54" s="823">
        <v>14</v>
      </c>
      <c r="B54" s="823"/>
      <c r="C54" s="806" t="s">
        <v>1701</v>
      </c>
      <c r="D54" s="897">
        <f>3810+1500+7535</f>
        <v>12845</v>
      </c>
      <c r="E54" s="907"/>
      <c r="F54" s="909"/>
      <c r="G54" s="900">
        <f>1500+3810+7535</f>
        <v>12845</v>
      </c>
      <c r="H54" s="909"/>
      <c r="I54" s="803">
        <f t="shared" si="0"/>
        <v>100713</v>
      </c>
      <c r="J54" s="824"/>
      <c r="K54" s="850">
        <f>559+444+10385-444-7500</f>
        <v>3444</v>
      </c>
      <c r="L54" s="852">
        <f>12845+116+2794+154+5247+5855+775+28572+18520+18923-826-8277</f>
        <v>84698</v>
      </c>
      <c r="M54" s="812">
        <f>2445+3791+10126-3791</f>
        <v>12571</v>
      </c>
      <c r="N54" s="803">
        <f t="shared" si="6"/>
        <v>111994</v>
      </c>
      <c r="O54" s="806"/>
      <c r="P54" s="866">
        <f>3444+483+305+444</f>
        <v>4676</v>
      </c>
      <c r="Q54" s="895">
        <f>84698+350+500+3048+4891+1260</f>
        <v>94747</v>
      </c>
      <c r="R54" s="895">
        <f>2445+3791+10126-3791</f>
        <v>12571</v>
      </c>
      <c r="S54" s="897">
        <f t="shared" si="7"/>
        <v>138313</v>
      </c>
      <c r="T54" s="901"/>
      <c r="U54" s="914">
        <f>4676+308+150+939-31+200+4152-900+845+762+11278+1+11+2304+53</f>
        <v>24748</v>
      </c>
      <c r="V54" s="914">
        <f>94747+659+500-3048+254+151-150+122+31+3239+1000+991-4152-193+248+1143+1925-11278+14144-1-2304</f>
        <v>98028</v>
      </c>
      <c r="W54" s="914">
        <f>12571+3048-1-11-17-53</f>
        <v>15537</v>
      </c>
    </row>
    <row r="55" spans="1:23" s="792" customFormat="1" ht="28.5" customHeight="1" x14ac:dyDescent="0.25">
      <c r="A55" s="796" t="s">
        <v>328</v>
      </c>
      <c r="B55" s="796"/>
      <c r="C55" s="797" t="s">
        <v>1580</v>
      </c>
      <c r="D55" s="798">
        <f>SUM(D56,D61,D64,D67,D68)</f>
        <v>304128</v>
      </c>
      <c r="E55" s="799"/>
      <c r="F55" s="847">
        <f>SUM(F56,F61,F64,F67,F68)</f>
        <v>0</v>
      </c>
      <c r="G55" s="847">
        <f>SUM(G56,G61,G64,G67,G68)</f>
        <v>254128</v>
      </c>
      <c r="H55" s="847">
        <f>SUM(H56,H61,H64,H67,H68)</f>
        <v>50000</v>
      </c>
      <c r="I55" s="798">
        <f t="shared" si="0"/>
        <v>327162</v>
      </c>
      <c r="J55" s="799"/>
      <c r="K55" s="847">
        <f>SUM(K56,K61,K64,K67,K68,K69)</f>
        <v>7944</v>
      </c>
      <c r="L55" s="847">
        <f>SUM(L56,L61,L64,L67,L68,L69)</f>
        <v>269218</v>
      </c>
      <c r="M55" s="847">
        <f>SUM(M56,M61,M64,M67,M68)</f>
        <v>50000</v>
      </c>
      <c r="N55" s="798">
        <f t="shared" si="6"/>
        <v>229436</v>
      </c>
      <c r="O55" s="799"/>
      <c r="P55" s="865">
        <f>SUM(P56,P61,P64,P67,P68,P69)</f>
        <v>11701</v>
      </c>
      <c r="Q55" s="865">
        <f>SUM(Q56,Q61,Q64,Q67,Q68,Q69)</f>
        <v>175461</v>
      </c>
      <c r="R55" s="865">
        <f>SUM(R56,R61,R64,R67,R68)</f>
        <v>42274</v>
      </c>
      <c r="S55" s="865">
        <f t="shared" ref="S55:V55" si="8">SUM(S56:S72)</f>
        <v>280851</v>
      </c>
      <c r="T55" s="865">
        <f t="shared" si="8"/>
        <v>0</v>
      </c>
      <c r="U55" s="865">
        <f t="shared" si="8"/>
        <v>13248</v>
      </c>
      <c r="V55" s="865">
        <f t="shared" si="8"/>
        <v>241795</v>
      </c>
      <c r="W55" s="865">
        <f>SUM(W56:W72)</f>
        <v>25808</v>
      </c>
    </row>
    <row r="56" spans="1:23" s="792" customFormat="1" ht="18" customHeight="1" x14ac:dyDescent="0.25">
      <c r="A56" s="801">
        <v>1</v>
      </c>
      <c r="B56" s="801">
        <v>1923</v>
      </c>
      <c r="C56" s="802" t="s">
        <v>1581</v>
      </c>
      <c r="D56" s="897">
        <f>SUM(D57:D60)/1000</f>
        <v>199000</v>
      </c>
      <c r="E56" s="910"/>
      <c r="F56" s="900"/>
      <c r="G56" s="900">
        <v>199000</v>
      </c>
      <c r="H56" s="900"/>
      <c r="I56" s="803">
        <f t="shared" si="0"/>
        <v>200270</v>
      </c>
      <c r="J56" s="826"/>
      <c r="K56" s="849">
        <f>444</f>
        <v>444</v>
      </c>
      <c r="L56" s="849">
        <f>199000+826</f>
        <v>199826</v>
      </c>
      <c r="M56" s="849"/>
      <c r="N56" s="803">
        <f t="shared" si="6"/>
        <v>110270</v>
      </c>
      <c r="O56" s="826"/>
      <c r="P56" s="866">
        <f>444+344</f>
        <v>788</v>
      </c>
      <c r="Q56" s="866">
        <f>199826-90000-344</f>
        <v>109482</v>
      </c>
      <c r="R56" s="866"/>
      <c r="S56" s="897">
        <f t="shared" si="7"/>
        <v>110270</v>
      </c>
      <c r="T56" s="910"/>
      <c r="U56" s="914">
        <v>788</v>
      </c>
      <c r="V56" s="914">
        <v>109482</v>
      </c>
      <c r="W56" s="914"/>
    </row>
    <row r="57" spans="1:23" ht="18" hidden="1" customHeight="1" x14ac:dyDescent="0.25">
      <c r="A57" s="801"/>
      <c r="B57" s="801"/>
      <c r="C57" s="802" t="s">
        <v>1549</v>
      </c>
      <c r="D57" s="897">
        <v>150000000</v>
      </c>
      <c r="E57" s="901"/>
      <c r="F57" s="900"/>
      <c r="G57" s="900"/>
      <c r="H57" s="900"/>
      <c r="I57" s="803">
        <f t="shared" si="0"/>
        <v>0</v>
      </c>
      <c r="K57" s="849"/>
      <c r="L57" s="849"/>
      <c r="M57" s="849"/>
      <c r="N57" s="803">
        <f t="shared" si="6"/>
        <v>0</v>
      </c>
      <c r="Q57" s="866"/>
      <c r="R57" s="866"/>
      <c r="S57" s="897">
        <f t="shared" si="7"/>
        <v>0</v>
      </c>
      <c r="T57" s="901"/>
      <c r="U57" s="914"/>
      <c r="V57" s="914"/>
      <c r="W57" s="914"/>
    </row>
    <row r="58" spans="1:23" ht="18" hidden="1" customHeight="1" x14ac:dyDescent="0.25">
      <c r="A58" s="801"/>
      <c r="B58" s="801"/>
      <c r="C58" s="802" t="s">
        <v>1562</v>
      </c>
      <c r="D58" s="897">
        <v>1500000</v>
      </c>
      <c r="E58" s="901"/>
      <c r="F58" s="900"/>
      <c r="G58" s="900"/>
      <c r="H58" s="900"/>
      <c r="I58" s="803">
        <f t="shared" si="0"/>
        <v>0</v>
      </c>
      <c r="K58" s="849"/>
      <c r="L58" s="849"/>
      <c r="M58" s="849"/>
      <c r="N58" s="803">
        <f t="shared" si="6"/>
        <v>0</v>
      </c>
      <c r="Q58" s="866"/>
      <c r="R58" s="866"/>
      <c r="S58" s="897">
        <f t="shared" si="7"/>
        <v>0</v>
      </c>
      <c r="T58" s="901"/>
      <c r="U58" s="914"/>
      <c r="V58" s="914"/>
      <c r="W58" s="914"/>
    </row>
    <row r="59" spans="1:23" ht="18" hidden="1" customHeight="1" x14ac:dyDescent="0.25">
      <c r="A59" s="801"/>
      <c r="B59" s="801"/>
      <c r="C59" s="802" t="s">
        <v>1582</v>
      </c>
      <c r="D59" s="897">
        <v>1500000</v>
      </c>
      <c r="E59" s="901"/>
      <c r="F59" s="900"/>
      <c r="G59" s="900"/>
      <c r="H59" s="900"/>
      <c r="I59" s="803">
        <f t="shared" si="0"/>
        <v>0</v>
      </c>
      <c r="K59" s="849"/>
      <c r="L59" s="849"/>
      <c r="M59" s="849"/>
      <c r="N59" s="803">
        <f t="shared" si="6"/>
        <v>0</v>
      </c>
      <c r="Q59" s="866"/>
      <c r="R59" s="866"/>
      <c r="S59" s="897">
        <f t="shared" si="7"/>
        <v>0</v>
      </c>
      <c r="T59" s="901"/>
      <c r="U59" s="914"/>
      <c r="V59" s="914"/>
      <c r="W59" s="914"/>
    </row>
    <row r="60" spans="1:23" ht="18" hidden="1" customHeight="1" x14ac:dyDescent="0.25">
      <c r="A60" s="801"/>
      <c r="B60" s="801"/>
      <c r="C60" s="802" t="s">
        <v>1583</v>
      </c>
      <c r="D60" s="897">
        <v>46000000</v>
      </c>
      <c r="E60" s="901" t="s">
        <v>1584</v>
      </c>
      <c r="F60" s="900"/>
      <c r="G60" s="900"/>
      <c r="H60" s="900"/>
      <c r="I60" s="803">
        <f t="shared" si="0"/>
        <v>0</v>
      </c>
      <c r="J60" s="806" t="s">
        <v>1584</v>
      </c>
      <c r="K60" s="849"/>
      <c r="L60" s="849"/>
      <c r="M60" s="849"/>
      <c r="N60" s="803">
        <f t="shared" si="6"/>
        <v>0</v>
      </c>
      <c r="O60" s="806" t="s">
        <v>1584</v>
      </c>
      <c r="Q60" s="866"/>
      <c r="R60" s="866"/>
      <c r="S60" s="897">
        <f t="shared" si="7"/>
        <v>0</v>
      </c>
      <c r="T60" s="901" t="s">
        <v>1584</v>
      </c>
      <c r="U60" s="914"/>
      <c r="V60" s="914"/>
      <c r="W60" s="914"/>
    </row>
    <row r="61" spans="1:23" ht="18" customHeight="1" x14ac:dyDescent="0.25">
      <c r="A61" s="801">
        <v>2</v>
      </c>
      <c r="B61" s="801">
        <v>1924</v>
      </c>
      <c r="C61" s="802" t="s">
        <v>1585</v>
      </c>
      <c r="D61" s="897">
        <f>SUM(D62:D63)/1000</f>
        <v>15000</v>
      </c>
      <c r="E61" s="901"/>
      <c r="F61" s="900"/>
      <c r="G61" s="900">
        <v>15000</v>
      </c>
      <c r="H61" s="900"/>
      <c r="I61" s="803">
        <f t="shared" si="0"/>
        <v>20987</v>
      </c>
      <c r="J61" s="827"/>
      <c r="K61" s="849"/>
      <c r="L61" s="849">
        <f>15000+5987</f>
        <v>20987</v>
      </c>
      <c r="M61" s="849"/>
      <c r="N61" s="803">
        <f t="shared" si="6"/>
        <v>20987</v>
      </c>
      <c r="O61" s="827"/>
      <c r="Q61" s="866">
        <f>15000+5987</f>
        <v>20987</v>
      </c>
      <c r="R61" s="866"/>
      <c r="S61" s="897">
        <f t="shared" si="7"/>
        <v>20987</v>
      </c>
      <c r="T61" s="901"/>
      <c r="U61" s="914"/>
      <c r="V61" s="914">
        <v>20987</v>
      </c>
      <c r="W61" s="914"/>
    </row>
    <row r="62" spans="1:23" ht="18" hidden="1" customHeight="1" x14ac:dyDescent="0.25">
      <c r="A62" s="801"/>
      <c r="B62" s="801"/>
      <c r="C62" s="802" t="s">
        <v>1586</v>
      </c>
      <c r="D62" s="897">
        <v>7742000</v>
      </c>
      <c r="E62" s="901" t="s">
        <v>1587</v>
      </c>
      <c r="F62" s="900"/>
      <c r="G62" s="900"/>
      <c r="H62" s="900"/>
      <c r="I62" s="803">
        <f t="shared" si="0"/>
        <v>0</v>
      </c>
      <c r="J62" s="806" t="s">
        <v>1587</v>
      </c>
      <c r="K62" s="849"/>
      <c r="L62" s="849"/>
      <c r="M62" s="849"/>
      <c r="N62" s="803">
        <f t="shared" si="6"/>
        <v>0</v>
      </c>
      <c r="O62" s="806" t="s">
        <v>1587</v>
      </c>
      <c r="Q62" s="866"/>
      <c r="R62" s="866"/>
      <c r="S62" s="897">
        <f t="shared" si="7"/>
        <v>0</v>
      </c>
      <c r="T62" s="901" t="s">
        <v>1587</v>
      </c>
      <c r="U62" s="914"/>
      <c r="V62" s="914"/>
      <c r="W62" s="914"/>
    </row>
    <row r="63" spans="1:23" ht="18" hidden="1" customHeight="1" x14ac:dyDescent="0.25">
      <c r="A63" s="801"/>
      <c r="B63" s="801"/>
      <c r="C63" s="802" t="s">
        <v>1588</v>
      </c>
      <c r="D63" s="897">
        <v>7258000</v>
      </c>
      <c r="E63" s="901" t="s">
        <v>1589</v>
      </c>
      <c r="F63" s="900"/>
      <c r="G63" s="900"/>
      <c r="H63" s="900"/>
      <c r="I63" s="803">
        <f t="shared" si="0"/>
        <v>0</v>
      </c>
      <c r="J63" s="806" t="s">
        <v>1589</v>
      </c>
      <c r="K63" s="849"/>
      <c r="L63" s="849"/>
      <c r="M63" s="849"/>
      <c r="N63" s="803">
        <f t="shared" si="6"/>
        <v>0</v>
      </c>
      <c r="O63" s="806" t="s">
        <v>1589</v>
      </c>
      <c r="Q63" s="866"/>
      <c r="R63" s="866"/>
      <c r="S63" s="897">
        <f t="shared" si="7"/>
        <v>0</v>
      </c>
      <c r="T63" s="901" t="s">
        <v>1589</v>
      </c>
      <c r="U63" s="914"/>
      <c r="V63" s="914"/>
      <c r="W63" s="914"/>
    </row>
    <row r="64" spans="1:23" s="792" customFormat="1" ht="18" customHeight="1" x14ac:dyDescent="0.25">
      <c r="A64" s="801">
        <v>3</v>
      </c>
      <c r="B64" s="801">
        <v>1925</v>
      </c>
      <c r="C64" s="802" t="s">
        <v>1590</v>
      </c>
      <c r="D64" s="897">
        <f>SUM(D65:D66)/1000</f>
        <v>6600</v>
      </c>
      <c r="E64" s="898"/>
      <c r="F64" s="900"/>
      <c r="G64" s="900">
        <v>6600</v>
      </c>
      <c r="H64" s="900"/>
      <c r="I64" s="803">
        <f t="shared" si="0"/>
        <v>6600</v>
      </c>
      <c r="J64" s="804"/>
      <c r="K64" s="849"/>
      <c r="L64" s="849">
        <v>6600</v>
      </c>
      <c r="M64" s="849"/>
      <c r="N64" s="803">
        <f t="shared" si="6"/>
        <v>6600</v>
      </c>
      <c r="O64" s="804"/>
      <c r="P64" s="866"/>
      <c r="Q64" s="866">
        <v>6600</v>
      </c>
      <c r="R64" s="866"/>
      <c r="S64" s="897">
        <f t="shared" si="7"/>
        <v>6600</v>
      </c>
      <c r="T64" s="898"/>
      <c r="U64" s="914"/>
      <c r="V64" s="914">
        <v>6600</v>
      </c>
      <c r="W64" s="914"/>
    </row>
    <row r="65" spans="1:23" ht="18" hidden="1" customHeight="1" x14ac:dyDescent="0.25">
      <c r="A65" s="801"/>
      <c r="B65" s="801"/>
      <c r="C65" s="802" t="s">
        <v>1591</v>
      </c>
      <c r="D65" s="897">
        <v>1600000</v>
      </c>
      <c r="E65" s="901"/>
      <c r="F65" s="900"/>
      <c r="G65" s="900"/>
      <c r="H65" s="900"/>
      <c r="I65" s="803">
        <f t="shared" si="0"/>
        <v>0</v>
      </c>
      <c r="K65" s="849"/>
      <c r="L65" s="849"/>
      <c r="M65" s="849"/>
      <c r="N65" s="803">
        <f t="shared" si="6"/>
        <v>0</v>
      </c>
      <c r="Q65" s="866"/>
      <c r="R65" s="866"/>
      <c r="S65" s="897">
        <f t="shared" si="7"/>
        <v>0</v>
      </c>
      <c r="T65" s="901"/>
      <c r="U65" s="914"/>
      <c r="V65" s="914"/>
      <c r="W65" s="914"/>
    </row>
    <row r="66" spans="1:23" ht="18" hidden="1" customHeight="1" x14ac:dyDescent="0.25">
      <c r="A66" s="801"/>
      <c r="B66" s="801"/>
      <c r="C66" s="802" t="s">
        <v>1592</v>
      </c>
      <c r="D66" s="897">
        <v>5000000</v>
      </c>
      <c r="E66" s="901"/>
      <c r="F66" s="900"/>
      <c r="G66" s="900"/>
      <c r="H66" s="900"/>
      <c r="I66" s="803">
        <f t="shared" si="0"/>
        <v>0</v>
      </c>
      <c r="K66" s="849"/>
      <c r="L66" s="849"/>
      <c r="M66" s="849"/>
      <c r="N66" s="803">
        <f t="shared" si="6"/>
        <v>0</v>
      </c>
      <c r="Q66" s="866"/>
      <c r="R66" s="866"/>
      <c r="S66" s="897">
        <f t="shared" si="7"/>
        <v>0</v>
      </c>
      <c r="T66" s="901"/>
      <c r="U66" s="914"/>
      <c r="V66" s="914"/>
      <c r="W66" s="914"/>
    </row>
    <row r="67" spans="1:23" s="792" customFormat="1" ht="18" customHeight="1" x14ac:dyDescent="0.25">
      <c r="A67" s="801">
        <v>4</v>
      </c>
      <c r="B67" s="801">
        <v>1926</v>
      </c>
      <c r="C67" s="802" t="s">
        <v>1593</v>
      </c>
      <c r="D67" s="897">
        <v>33528</v>
      </c>
      <c r="E67" s="898"/>
      <c r="F67" s="900"/>
      <c r="G67" s="900">
        <v>33528</v>
      </c>
      <c r="H67" s="900"/>
      <c r="I67" s="803">
        <f t="shared" si="0"/>
        <v>33528</v>
      </c>
      <c r="J67" s="804"/>
      <c r="K67" s="849"/>
      <c r="L67" s="849">
        <v>33528</v>
      </c>
      <c r="M67" s="849"/>
      <c r="N67" s="803">
        <f t="shared" si="6"/>
        <v>33528</v>
      </c>
      <c r="O67" s="804"/>
      <c r="P67" s="866">
        <v>3413</v>
      </c>
      <c r="Q67" s="866">
        <f>33528-3413</f>
        <v>30115</v>
      </c>
      <c r="R67" s="866"/>
      <c r="S67" s="897">
        <f t="shared" si="7"/>
        <v>72644</v>
      </c>
      <c r="T67" s="898"/>
      <c r="U67" s="914">
        <v>3413</v>
      </c>
      <c r="V67" s="914">
        <f>30115+39116</f>
        <v>69231</v>
      </c>
      <c r="W67" s="914"/>
    </row>
    <row r="68" spans="1:23" x14ac:dyDescent="0.25">
      <c r="A68" s="823">
        <v>5</v>
      </c>
      <c r="B68" s="823">
        <v>1927</v>
      </c>
      <c r="C68" s="807" t="s">
        <v>1683</v>
      </c>
      <c r="D68" s="897">
        <v>50000</v>
      </c>
      <c r="E68" s="905" t="s">
        <v>1594</v>
      </c>
      <c r="F68" s="900"/>
      <c r="G68" s="900"/>
      <c r="H68" s="900">
        <v>50000</v>
      </c>
      <c r="I68" s="814">
        <f t="shared" si="0"/>
        <v>50000</v>
      </c>
      <c r="J68" s="813" t="s">
        <v>1594</v>
      </c>
      <c r="K68" s="849"/>
      <c r="L68" s="849"/>
      <c r="M68" s="849">
        <v>50000</v>
      </c>
      <c r="N68" s="814">
        <f t="shared" si="6"/>
        <v>42274</v>
      </c>
      <c r="O68" s="813" t="s">
        <v>1594</v>
      </c>
      <c r="Q68" s="866"/>
      <c r="R68" s="866">
        <f>50000-5737-380-858-751</f>
        <v>42274</v>
      </c>
      <c r="S68" s="897">
        <f t="shared" si="7"/>
        <v>25618</v>
      </c>
      <c r="T68" s="905" t="s">
        <v>1594</v>
      </c>
      <c r="U68" s="914">
        <f>796+751</f>
        <v>1547</v>
      </c>
      <c r="V68" s="914"/>
      <c r="W68" s="914">
        <f>42274-659-500-13915-3129</f>
        <v>24071</v>
      </c>
    </row>
    <row r="69" spans="1:23" x14ac:dyDescent="0.25">
      <c r="A69" s="823">
        <v>6</v>
      </c>
      <c r="C69" s="813" t="s">
        <v>1719</v>
      </c>
      <c r="D69" s="897"/>
      <c r="E69" s="901"/>
      <c r="F69" s="902"/>
      <c r="G69" s="902"/>
      <c r="H69" s="902"/>
      <c r="I69" s="803">
        <f t="shared" ref="I69" si="9">SUM(K69:M69)</f>
        <v>15777</v>
      </c>
      <c r="J69" s="815"/>
      <c r="K69" s="850">
        <f>7500</f>
        <v>7500</v>
      </c>
      <c r="L69" s="812">
        <v>8277</v>
      </c>
      <c r="N69" s="803">
        <f t="shared" si="6"/>
        <v>15777</v>
      </c>
      <c r="O69" s="815"/>
      <c r="P69" s="866">
        <f>7500</f>
        <v>7500</v>
      </c>
      <c r="Q69" s="895">
        <v>8277</v>
      </c>
      <c r="S69" s="897">
        <f t="shared" si="7"/>
        <v>15777</v>
      </c>
      <c r="T69" s="901"/>
      <c r="U69" s="914">
        <f>7500</f>
        <v>7500</v>
      </c>
      <c r="V69" s="914">
        <v>8277</v>
      </c>
      <c r="W69" s="914"/>
    </row>
    <row r="70" spans="1:23" x14ac:dyDescent="0.25">
      <c r="A70" s="823">
        <v>7</v>
      </c>
      <c r="C70" s="813" t="s">
        <v>1752</v>
      </c>
      <c r="D70" s="897"/>
      <c r="E70" s="901"/>
      <c r="F70" s="902"/>
      <c r="G70" s="902"/>
      <c r="H70" s="902"/>
      <c r="I70" s="803"/>
      <c r="J70" s="815"/>
      <c r="K70" s="850"/>
      <c r="N70" s="803"/>
      <c r="O70" s="815"/>
      <c r="S70" s="897">
        <f t="shared" si="7"/>
        <v>13915</v>
      </c>
      <c r="T70" s="901"/>
      <c r="U70" s="914"/>
      <c r="V70" s="914">
        <f>13915</f>
        <v>13915</v>
      </c>
      <c r="W70" s="914"/>
    </row>
    <row r="71" spans="1:23" ht="31.5" x14ac:dyDescent="0.25">
      <c r="A71" s="823">
        <v>8</v>
      </c>
      <c r="C71" s="813" t="s">
        <v>1755</v>
      </c>
      <c r="D71" s="897"/>
      <c r="E71" s="901"/>
      <c r="F71" s="902"/>
      <c r="G71" s="902"/>
      <c r="H71" s="902"/>
      <c r="I71" s="803"/>
      <c r="J71" s="815"/>
      <c r="K71" s="850"/>
      <c r="N71" s="803"/>
      <c r="O71" s="815"/>
      <c r="S71" s="897">
        <f t="shared" si="7"/>
        <v>1737</v>
      </c>
      <c r="T71" s="901"/>
      <c r="U71" s="914"/>
      <c r="V71" s="914"/>
      <c r="W71" s="914">
        <v>1737</v>
      </c>
    </row>
    <row r="72" spans="1:23" x14ac:dyDescent="0.25">
      <c r="A72" s="823">
        <v>9</v>
      </c>
      <c r="C72" s="813" t="s">
        <v>1756</v>
      </c>
      <c r="D72" s="897"/>
      <c r="E72" s="901"/>
      <c r="F72" s="902"/>
      <c r="G72" s="902"/>
      <c r="H72" s="902"/>
      <c r="I72" s="803"/>
      <c r="J72" s="815"/>
      <c r="K72" s="850"/>
      <c r="N72" s="803"/>
      <c r="O72" s="815"/>
      <c r="S72" s="897">
        <f t="shared" si="7"/>
        <v>13303</v>
      </c>
      <c r="T72" s="901"/>
      <c r="U72" s="914"/>
      <c r="V72" s="914">
        <f>696+12607</f>
        <v>13303</v>
      </c>
      <c r="W72" s="914"/>
    </row>
    <row r="73" spans="1:23" s="792" customFormat="1" x14ac:dyDescent="0.25">
      <c r="A73" s="796" t="s">
        <v>1136</v>
      </c>
      <c r="B73" s="796"/>
      <c r="C73" s="797" t="s">
        <v>1146</v>
      </c>
      <c r="D73" s="798">
        <f>SUM(D74,D76,D78,D80,D82)</f>
        <v>69745</v>
      </c>
      <c r="E73" s="799"/>
      <c r="F73" s="847">
        <f>SUM(F74,F76,F78,F80,F82)</f>
        <v>0</v>
      </c>
      <c r="G73" s="847">
        <f>SUM(G74,G76,G78,G80,G82)</f>
        <v>3500</v>
      </c>
      <c r="H73" s="847">
        <f>SUM(H74,H76,H78,H80,H82)</f>
        <v>66245</v>
      </c>
      <c r="I73" s="798">
        <f t="shared" si="0"/>
        <v>70897</v>
      </c>
      <c r="J73" s="799"/>
      <c r="K73" s="847">
        <f>SUM(K74,K76,K78,K80,K82)</f>
        <v>0</v>
      </c>
      <c r="L73" s="847">
        <f>SUM(L74,L76,L78,L80,L82)</f>
        <v>4453</v>
      </c>
      <c r="M73" s="847">
        <f>SUM(M74,M76,M78,M80,M82)</f>
        <v>66444</v>
      </c>
      <c r="N73" s="798">
        <f t="shared" si="6"/>
        <v>78783</v>
      </c>
      <c r="O73" s="799"/>
      <c r="P73" s="865">
        <f>SUM(P74,P76,P78,P80,P82)</f>
        <v>0</v>
      </c>
      <c r="Q73" s="865">
        <f>SUM(Q74,Q76,Q78,Q80,Q82)</f>
        <v>5271</v>
      </c>
      <c r="R73" s="865">
        <f>SUM(R74,R76,R78,R80,R82)</f>
        <v>73512</v>
      </c>
      <c r="S73" s="798">
        <f t="shared" si="7"/>
        <v>78783</v>
      </c>
      <c r="T73" s="799"/>
      <c r="U73" s="865">
        <f>SUM(U74,U76,U78,U80,U82)</f>
        <v>0</v>
      </c>
      <c r="V73" s="865">
        <f>SUM(V74,V76,V78,V80,V82)</f>
        <v>5271</v>
      </c>
      <c r="W73" s="865">
        <f>SUM(W74,W76,W78,W80,W82)</f>
        <v>73512</v>
      </c>
    </row>
    <row r="74" spans="1:23" s="792" customFormat="1" ht="18" customHeight="1" x14ac:dyDescent="0.25">
      <c r="A74" s="801">
        <v>1</v>
      </c>
      <c r="B74" s="801">
        <v>1928</v>
      </c>
      <c r="C74" s="802" t="s">
        <v>1595</v>
      </c>
      <c r="D74" s="897">
        <f>6500000/1000</f>
        <v>6500</v>
      </c>
      <c r="E74" s="898"/>
      <c r="F74" s="900"/>
      <c r="G74" s="900"/>
      <c r="H74" s="900">
        <v>6500</v>
      </c>
      <c r="I74" s="803">
        <f t="shared" si="0"/>
        <v>7453</v>
      </c>
      <c r="J74" s="804"/>
      <c r="K74" s="849"/>
      <c r="L74" s="849">
        <f>953</f>
        <v>953</v>
      </c>
      <c r="M74" s="849">
        <v>6500</v>
      </c>
      <c r="N74" s="803">
        <f t="shared" si="6"/>
        <v>7453</v>
      </c>
      <c r="O74" s="804"/>
      <c r="P74" s="866"/>
      <c r="Q74" s="866">
        <f>953</f>
        <v>953</v>
      </c>
      <c r="R74" s="866">
        <v>6500</v>
      </c>
      <c r="S74" s="897">
        <f t="shared" si="7"/>
        <v>7453</v>
      </c>
      <c r="T74" s="898"/>
      <c r="U74" s="914"/>
      <c r="V74" s="914">
        <f>953</f>
        <v>953</v>
      </c>
      <c r="W74" s="914">
        <v>6500</v>
      </c>
    </row>
    <row r="75" spans="1:23" ht="18" hidden="1" customHeight="1" x14ac:dyDescent="0.25">
      <c r="A75" s="801"/>
      <c r="B75" s="801"/>
      <c r="C75" s="802" t="s">
        <v>1549</v>
      </c>
      <c r="D75" s="897"/>
      <c r="E75" s="901" t="s">
        <v>1596</v>
      </c>
      <c r="F75" s="900"/>
      <c r="G75" s="900"/>
      <c r="H75" s="900"/>
      <c r="I75" s="803">
        <f t="shared" si="0"/>
        <v>0</v>
      </c>
      <c r="J75" s="806" t="s">
        <v>1596</v>
      </c>
      <c r="K75" s="849"/>
      <c r="L75" s="849"/>
      <c r="M75" s="849"/>
      <c r="N75" s="803">
        <f t="shared" si="6"/>
        <v>0</v>
      </c>
      <c r="O75" s="806" t="s">
        <v>1596</v>
      </c>
      <c r="Q75" s="866"/>
      <c r="R75" s="866"/>
      <c r="S75" s="897">
        <f t="shared" si="7"/>
        <v>0</v>
      </c>
      <c r="T75" s="901" t="s">
        <v>1596</v>
      </c>
      <c r="U75" s="914"/>
      <c r="V75" s="914"/>
      <c r="W75" s="914"/>
    </row>
    <row r="76" spans="1:23" s="792" customFormat="1" ht="18" customHeight="1" x14ac:dyDescent="0.25">
      <c r="A76" s="801">
        <v>2</v>
      </c>
      <c r="B76" s="801">
        <v>1929</v>
      </c>
      <c r="C76" s="802" t="s">
        <v>1597</v>
      </c>
      <c r="D76" s="897">
        <f>SUM(D77)/1000</f>
        <v>3500</v>
      </c>
      <c r="E76" s="898"/>
      <c r="F76" s="900"/>
      <c r="G76" s="900">
        <v>3500</v>
      </c>
      <c r="H76" s="900"/>
      <c r="I76" s="803">
        <f t="shared" ref="I76:I134" si="10">SUM(K76:M76)</f>
        <v>3500</v>
      </c>
      <c r="J76" s="804"/>
      <c r="K76" s="849"/>
      <c r="L76" s="849">
        <v>3500</v>
      </c>
      <c r="M76" s="849"/>
      <c r="N76" s="803">
        <f t="shared" ref="N76:N134" si="11">SUM(P76:R76)</f>
        <v>4318</v>
      </c>
      <c r="O76" s="804"/>
      <c r="P76" s="866"/>
      <c r="Q76" s="866">
        <f>3500+818</f>
        <v>4318</v>
      </c>
      <c r="R76" s="866"/>
      <c r="S76" s="897">
        <f t="shared" ref="S76:S102" si="12">SUM(U76:W76)</f>
        <v>4318</v>
      </c>
      <c r="T76" s="898"/>
      <c r="U76" s="914"/>
      <c r="V76" s="914">
        <v>4318</v>
      </c>
      <c r="W76" s="914"/>
    </row>
    <row r="77" spans="1:23" ht="18" hidden="1" customHeight="1" x14ac:dyDescent="0.25">
      <c r="A77" s="801"/>
      <c r="B77" s="801"/>
      <c r="C77" s="802" t="s">
        <v>1549</v>
      </c>
      <c r="D77" s="897">
        <v>3500000</v>
      </c>
      <c r="E77" s="901" t="s">
        <v>1545</v>
      </c>
      <c r="F77" s="900"/>
      <c r="G77" s="900"/>
      <c r="H77" s="900"/>
      <c r="I77" s="803">
        <f t="shared" si="10"/>
        <v>0</v>
      </c>
      <c r="J77" s="815" t="s">
        <v>1545</v>
      </c>
      <c r="K77" s="849"/>
      <c r="L77" s="849"/>
      <c r="M77" s="849"/>
      <c r="N77" s="803">
        <f t="shared" si="11"/>
        <v>0</v>
      </c>
      <c r="O77" s="815" t="s">
        <v>1545</v>
      </c>
      <c r="Q77" s="866"/>
      <c r="R77" s="866"/>
      <c r="S77" s="897">
        <f t="shared" si="12"/>
        <v>0</v>
      </c>
      <c r="T77" s="901" t="s">
        <v>1545</v>
      </c>
      <c r="U77" s="914"/>
      <c r="V77" s="914"/>
      <c r="W77" s="914"/>
    </row>
    <row r="78" spans="1:23" ht="18" customHeight="1" x14ac:dyDescent="0.25">
      <c r="A78" s="801">
        <v>3</v>
      </c>
      <c r="B78" s="801">
        <v>1930</v>
      </c>
      <c r="C78" s="802" t="s">
        <v>1598</v>
      </c>
      <c r="D78" s="897">
        <f>SUM(D79)/1000</f>
        <v>13000</v>
      </c>
      <c r="E78" s="898"/>
      <c r="F78" s="900"/>
      <c r="G78" s="900"/>
      <c r="H78" s="900">
        <v>13000</v>
      </c>
      <c r="I78" s="803">
        <f t="shared" si="10"/>
        <v>13199</v>
      </c>
      <c r="J78" s="804"/>
      <c r="K78" s="849"/>
      <c r="L78" s="849"/>
      <c r="M78" s="849">
        <f>13000+199</f>
        <v>13199</v>
      </c>
      <c r="N78" s="803">
        <f t="shared" si="11"/>
        <v>13199</v>
      </c>
      <c r="O78" s="804"/>
      <c r="Q78" s="866"/>
      <c r="R78" s="866">
        <f>13000+199</f>
        <v>13199</v>
      </c>
      <c r="S78" s="897">
        <f t="shared" si="12"/>
        <v>13199</v>
      </c>
      <c r="T78" s="898"/>
      <c r="U78" s="914"/>
      <c r="V78" s="914"/>
      <c r="W78" s="914">
        <v>13199</v>
      </c>
    </row>
    <row r="79" spans="1:23" ht="18" hidden="1" customHeight="1" x14ac:dyDescent="0.25">
      <c r="A79" s="801"/>
      <c r="B79" s="801"/>
      <c r="C79" s="802" t="s">
        <v>1549</v>
      </c>
      <c r="D79" s="897">
        <v>13000000</v>
      </c>
      <c r="E79" s="901" t="s">
        <v>1599</v>
      </c>
      <c r="F79" s="900"/>
      <c r="G79" s="900"/>
      <c r="H79" s="900"/>
      <c r="I79" s="803">
        <f t="shared" si="10"/>
        <v>0</v>
      </c>
      <c r="J79" s="815" t="s">
        <v>1599</v>
      </c>
      <c r="K79" s="849"/>
      <c r="L79" s="849"/>
      <c r="M79" s="849"/>
      <c r="N79" s="803">
        <f t="shared" si="11"/>
        <v>0</v>
      </c>
      <c r="O79" s="815" t="s">
        <v>1599</v>
      </c>
      <c r="Q79" s="866"/>
      <c r="R79" s="866"/>
      <c r="S79" s="897">
        <f t="shared" si="12"/>
        <v>0</v>
      </c>
      <c r="T79" s="901" t="s">
        <v>1599</v>
      </c>
      <c r="U79" s="914"/>
      <c r="V79" s="914"/>
      <c r="W79" s="914"/>
    </row>
    <row r="80" spans="1:23" ht="18" customHeight="1" x14ac:dyDescent="0.25">
      <c r="A80" s="801">
        <v>4</v>
      </c>
      <c r="B80" s="801">
        <v>1931</v>
      </c>
      <c r="C80" s="802" t="s">
        <v>1600</v>
      </c>
      <c r="D80" s="897">
        <v>18300</v>
      </c>
      <c r="E80" s="907" t="s">
        <v>1601</v>
      </c>
      <c r="F80" s="900"/>
      <c r="G80" s="900"/>
      <c r="H80" s="900">
        <v>18300</v>
      </c>
      <c r="I80" s="803">
        <f t="shared" si="10"/>
        <v>18300</v>
      </c>
      <c r="J80" s="829" t="s">
        <v>1601</v>
      </c>
      <c r="K80" s="849"/>
      <c r="L80" s="849"/>
      <c r="M80" s="849">
        <v>18300</v>
      </c>
      <c r="N80" s="803">
        <f t="shared" si="11"/>
        <v>25368</v>
      </c>
      <c r="O80" s="829" t="s">
        <v>1601</v>
      </c>
      <c r="Q80" s="866"/>
      <c r="R80" s="866">
        <f>18300+7068</f>
        <v>25368</v>
      </c>
      <c r="S80" s="897">
        <f t="shared" si="12"/>
        <v>25368</v>
      </c>
      <c r="T80" s="907" t="s">
        <v>1601</v>
      </c>
      <c r="U80" s="914"/>
      <c r="V80" s="914"/>
      <c r="W80" s="914">
        <v>25368</v>
      </c>
    </row>
    <row r="81" spans="1:23" ht="18" hidden="1" customHeight="1" x14ac:dyDescent="0.25">
      <c r="A81" s="801"/>
      <c r="B81" s="801"/>
      <c r="C81" s="802" t="s">
        <v>1549</v>
      </c>
      <c r="D81" s="897">
        <v>8000000</v>
      </c>
      <c r="E81" s="901" t="s">
        <v>1602</v>
      </c>
      <c r="F81" s="900"/>
      <c r="G81" s="900"/>
      <c r="H81" s="900"/>
      <c r="I81" s="803">
        <f t="shared" si="10"/>
        <v>0</v>
      </c>
      <c r="J81" s="815" t="s">
        <v>1602</v>
      </c>
      <c r="K81" s="849"/>
      <c r="L81" s="849"/>
      <c r="M81" s="849"/>
      <c r="N81" s="803">
        <f t="shared" si="11"/>
        <v>0</v>
      </c>
      <c r="O81" s="815" t="s">
        <v>1602</v>
      </c>
      <c r="Q81" s="866"/>
      <c r="R81" s="866"/>
      <c r="S81" s="897">
        <f t="shared" si="12"/>
        <v>0</v>
      </c>
      <c r="T81" s="901" t="s">
        <v>1602</v>
      </c>
      <c r="U81" s="914"/>
      <c r="V81" s="914"/>
      <c r="W81" s="914"/>
    </row>
    <row r="82" spans="1:23" ht="18" customHeight="1" x14ac:dyDescent="0.25">
      <c r="A82" s="801">
        <v>5</v>
      </c>
      <c r="B82" s="801">
        <v>1932</v>
      </c>
      <c r="C82" s="802" t="s">
        <v>1684</v>
      </c>
      <c r="D82" s="897">
        <v>28445</v>
      </c>
      <c r="E82" s="898"/>
      <c r="F82" s="900"/>
      <c r="G82" s="900"/>
      <c r="H82" s="900">
        <v>28445</v>
      </c>
      <c r="I82" s="803">
        <f t="shared" si="10"/>
        <v>28445</v>
      </c>
      <c r="J82" s="804"/>
      <c r="K82" s="849"/>
      <c r="L82" s="849"/>
      <c r="M82" s="849">
        <v>28445</v>
      </c>
      <c r="N82" s="803">
        <f t="shared" si="11"/>
        <v>28445</v>
      </c>
      <c r="O82" s="804"/>
      <c r="Q82" s="866"/>
      <c r="R82" s="866">
        <v>28445</v>
      </c>
      <c r="S82" s="897">
        <f t="shared" si="12"/>
        <v>28445</v>
      </c>
      <c r="T82" s="898"/>
      <c r="U82" s="914"/>
      <c r="V82" s="914"/>
      <c r="W82" s="914">
        <v>28445</v>
      </c>
    </row>
    <row r="83" spans="1:23" hidden="1" x14ac:dyDescent="0.25">
      <c r="D83" s="814">
        <v>9500000</v>
      </c>
      <c r="E83" s="815" t="s">
        <v>1603</v>
      </c>
      <c r="I83" s="814">
        <f t="shared" si="10"/>
        <v>0</v>
      </c>
      <c r="J83" s="815" t="s">
        <v>1603</v>
      </c>
      <c r="K83" s="850"/>
      <c r="N83" s="814">
        <f t="shared" si="11"/>
        <v>0</v>
      </c>
      <c r="O83" s="815" t="s">
        <v>1603</v>
      </c>
      <c r="S83" s="814">
        <f t="shared" si="12"/>
        <v>0</v>
      </c>
      <c r="T83" s="815" t="s">
        <v>1603</v>
      </c>
    </row>
    <row r="84" spans="1:23" s="792" customFormat="1" x14ac:dyDescent="0.25">
      <c r="A84" s="796" t="s">
        <v>1183</v>
      </c>
      <c r="B84" s="796"/>
      <c r="C84" s="797" t="s">
        <v>1604</v>
      </c>
      <c r="D84" s="798">
        <f>SUM(D85,D87,D89,D90,D92,D94,D96,D97,D98)</f>
        <v>155900</v>
      </c>
      <c r="E84" s="799"/>
      <c r="F84" s="847">
        <f>SUM(F85,F87,F89,F90,F92,F94,F96,F97,F98)</f>
        <v>900</v>
      </c>
      <c r="G84" s="847">
        <f>SUM(G85,G87,G89,G90,G92,G94,G96,G97,G98)</f>
        <v>100000</v>
      </c>
      <c r="H84" s="847">
        <f>SUM(H85,H87,H89,H90,H92,H94,H96,H97,H98)</f>
        <v>55000</v>
      </c>
      <c r="I84" s="798">
        <f t="shared" si="10"/>
        <v>144585</v>
      </c>
      <c r="J84" s="799"/>
      <c r="K84" s="847">
        <f>SUM(K85,K87,K89,K90,K92,K94,K96,K97,K98)</f>
        <v>11585</v>
      </c>
      <c r="L84" s="847">
        <f>SUM(L85,L87,L89,L90,L92,L94,L96,L97,L98)</f>
        <v>87000</v>
      </c>
      <c r="M84" s="847">
        <f>SUM(M85,M87,M89,M90,M92,M94,M96,M97,M98)</f>
        <v>46000</v>
      </c>
      <c r="N84" s="798">
        <f t="shared" si="11"/>
        <v>143648</v>
      </c>
      <c r="O84" s="799"/>
      <c r="P84" s="865">
        <f>SUM(P85,P87,P89,P90,P92,P94,P96,P97,P98)</f>
        <v>11585</v>
      </c>
      <c r="Q84" s="865">
        <f>SUM(Q85,Q87,Q89,Q90,Q92,Q94,Q96,Q97,Q98,Q100,Q101)</f>
        <v>85434</v>
      </c>
      <c r="R84" s="865">
        <f>SUM(R85,R87,R89,R90,R92,R94,R96,R97,R98)</f>
        <v>46629</v>
      </c>
      <c r="S84" s="798">
        <f>SUM(S74:S83)</f>
        <v>78783</v>
      </c>
      <c r="T84" s="799"/>
      <c r="U84" s="865">
        <f>SUM(U85:U102)</f>
        <v>11936</v>
      </c>
      <c r="V84" s="865">
        <f t="shared" ref="V84:W84" si="13">SUM(V85:V102)</f>
        <v>75689</v>
      </c>
      <c r="W84" s="865">
        <f t="shared" si="13"/>
        <v>57691</v>
      </c>
    </row>
    <row r="85" spans="1:23" s="792" customFormat="1" ht="31.9" customHeight="1" x14ac:dyDescent="0.25">
      <c r="A85" s="801">
        <v>1</v>
      </c>
      <c r="B85" s="801">
        <v>1933</v>
      </c>
      <c r="C85" s="802" t="s">
        <v>1605</v>
      </c>
      <c r="D85" s="897">
        <f>SUM(D86)/1000</f>
        <v>9000</v>
      </c>
      <c r="E85" s="898"/>
      <c r="F85" s="900"/>
      <c r="G85" s="900"/>
      <c r="H85" s="900">
        <v>9000</v>
      </c>
      <c r="I85" s="803">
        <f t="shared" si="10"/>
        <v>9000</v>
      </c>
      <c r="J85" s="804"/>
      <c r="K85" s="849"/>
      <c r="L85" s="849"/>
      <c r="M85" s="849">
        <v>9000</v>
      </c>
      <c r="N85" s="803">
        <f t="shared" si="11"/>
        <v>9000</v>
      </c>
      <c r="O85" s="804"/>
      <c r="P85" s="866"/>
      <c r="Q85" s="866"/>
      <c r="R85" s="866">
        <v>9000</v>
      </c>
      <c r="S85" s="897">
        <f>SUM(U85:W85)</f>
        <v>20015</v>
      </c>
      <c r="T85" s="898"/>
      <c r="U85" s="914"/>
      <c r="V85" s="914"/>
      <c r="W85" s="914">
        <f>9000+11015</f>
        <v>20015</v>
      </c>
    </row>
    <row r="86" spans="1:23" s="820" customFormat="1" hidden="1" x14ac:dyDescent="0.25">
      <c r="A86" s="801"/>
      <c r="B86" s="801"/>
      <c r="C86" s="802" t="s">
        <v>1606</v>
      </c>
      <c r="D86" s="897">
        <v>9000000</v>
      </c>
      <c r="E86" s="901"/>
      <c r="F86" s="900"/>
      <c r="G86" s="900"/>
      <c r="H86" s="900"/>
      <c r="I86" s="803">
        <f t="shared" si="10"/>
        <v>0</v>
      </c>
      <c r="J86" s="815"/>
      <c r="K86" s="849"/>
      <c r="L86" s="849"/>
      <c r="M86" s="849"/>
      <c r="N86" s="803">
        <f t="shared" si="11"/>
        <v>0</v>
      </c>
      <c r="O86" s="815"/>
      <c r="P86" s="866"/>
      <c r="Q86" s="866"/>
      <c r="R86" s="866"/>
      <c r="S86" s="897">
        <f t="shared" si="12"/>
        <v>0</v>
      </c>
      <c r="T86" s="901"/>
      <c r="U86" s="914"/>
      <c r="V86" s="914"/>
      <c r="W86" s="914"/>
    </row>
    <row r="87" spans="1:23" s="820" customFormat="1" ht="18" customHeight="1" x14ac:dyDescent="0.25">
      <c r="A87" s="801">
        <v>2</v>
      </c>
      <c r="B87" s="801">
        <v>1934</v>
      </c>
      <c r="C87" s="802" t="s">
        <v>1607</v>
      </c>
      <c r="D87" s="897">
        <f>SUM(D88)/1000</f>
        <v>12000</v>
      </c>
      <c r="E87" s="898"/>
      <c r="F87" s="900"/>
      <c r="G87" s="900"/>
      <c r="H87" s="900">
        <v>12000</v>
      </c>
      <c r="I87" s="803">
        <f t="shared" si="10"/>
        <v>12000</v>
      </c>
      <c r="J87" s="804"/>
      <c r="K87" s="849">
        <f>6500</f>
        <v>6500</v>
      </c>
      <c r="L87" s="849"/>
      <c r="M87" s="849">
        <f>12000-6500</f>
        <v>5500</v>
      </c>
      <c r="N87" s="803">
        <f t="shared" si="11"/>
        <v>12000</v>
      </c>
      <c r="O87" s="804"/>
      <c r="P87" s="866">
        <f>6500</f>
        <v>6500</v>
      </c>
      <c r="Q87" s="866"/>
      <c r="R87" s="866">
        <f>12000-6500</f>
        <v>5500</v>
      </c>
      <c r="S87" s="897">
        <f t="shared" si="12"/>
        <v>12000</v>
      </c>
      <c r="T87" s="898"/>
      <c r="U87" s="914">
        <f>6500</f>
        <v>6500</v>
      </c>
      <c r="V87" s="914"/>
      <c r="W87" s="914">
        <v>5500</v>
      </c>
    </row>
    <row r="88" spans="1:23" s="820" customFormat="1" hidden="1" x14ac:dyDescent="0.25">
      <c r="A88" s="801"/>
      <c r="B88" s="801"/>
      <c r="C88" s="802" t="s">
        <v>1549</v>
      </c>
      <c r="D88" s="897">
        <v>12000000</v>
      </c>
      <c r="E88" s="901" t="s">
        <v>1608</v>
      </c>
      <c r="F88" s="900"/>
      <c r="G88" s="900"/>
      <c r="H88" s="900"/>
      <c r="I88" s="803">
        <f t="shared" si="10"/>
        <v>0</v>
      </c>
      <c r="J88" s="815" t="s">
        <v>1608</v>
      </c>
      <c r="K88" s="849"/>
      <c r="L88" s="849"/>
      <c r="M88" s="849"/>
      <c r="N88" s="803">
        <f t="shared" si="11"/>
        <v>0</v>
      </c>
      <c r="O88" s="815" t="s">
        <v>1608</v>
      </c>
      <c r="P88" s="866"/>
      <c r="Q88" s="866"/>
      <c r="R88" s="866"/>
      <c r="S88" s="897">
        <f t="shared" si="12"/>
        <v>0</v>
      </c>
      <c r="T88" s="901" t="s">
        <v>1608</v>
      </c>
      <c r="U88" s="914"/>
      <c r="V88" s="914"/>
      <c r="W88" s="914"/>
    </row>
    <row r="89" spans="1:23" s="822" customFormat="1" ht="18" customHeight="1" x14ac:dyDescent="0.25">
      <c r="A89" s="801">
        <v>3</v>
      </c>
      <c r="B89" s="801">
        <v>1935</v>
      </c>
      <c r="C89" s="802" t="s">
        <v>1609</v>
      </c>
      <c r="D89" s="897">
        <v>2500</v>
      </c>
      <c r="E89" s="898"/>
      <c r="F89" s="900"/>
      <c r="G89" s="900"/>
      <c r="H89" s="900">
        <v>2500</v>
      </c>
      <c r="I89" s="803">
        <f t="shared" si="10"/>
        <v>2500</v>
      </c>
      <c r="J89" s="804"/>
      <c r="K89" s="849">
        <f>2500</f>
        <v>2500</v>
      </c>
      <c r="L89" s="849"/>
      <c r="M89" s="849">
        <f>2500-2500</f>
        <v>0</v>
      </c>
      <c r="N89" s="803">
        <f t="shared" si="11"/>
        <v>2500</v>
      </c>
      <c r="O89" s="804"/>
      <c r="P89" s="866">
        <f>2500</f>
        <v>2500</v>
      </c>
      <c r="Q89" s="866"/>
      <c r="R89" s="866">
        <f>2500-2500</f>
        <v>0</v>
      </c>
      <c r="S89" s="897">
        <f t="shared" si="12"/>
        <v>2447</v>
      </c>
      <c r="T89" s="898"/>
      <c r="U89" s="914">
        <f>2500-53</f>
        <v>2447</v>
      </c>
      <c r="V89" s="914"/>
      <c r="W89" s="917">
        <f>-53+53</f>
        <v>0</v>
      </c>
    </row>
    <row r="90" spans="1:23" s="822" customFormat="1" ht="18" customHeight="1" x14ac:dyDescent="0.25">
      <c r="A90" s="801">
        <v>4</v>
      </c>
      <c r="B90" s="801">
        <v>1936</v>
      </c>
      <c r="C90" s="802" t="s">
        <v>1610</v>
      </c>
      <c r="D90" s="897">
        <v>3500</v>
      </c>
      <c r="E90" s="898"/>
      <c r="F90" s="900"/>
      <c r="G90" s="900"/>
      <c r="H90" s="900">
        <v>3500</v>
      </c>
      <c r="I90" s="803">
        <f t="shared" si="10"/>
        <v>3500</v>
      </c>
      <c r="J90" s="804"/>
      <c r="K90" s="849"/>
      <c r="L90" s="849"/>
      <c r="M90" s="849">
        <v>3500</v>
      </c>
      <c r="N90" s="803">
        <f t="shared" si="11"/>
        <v>3500</v>
      </c>
      <c r="O90" s="804"/>
      <c r="P90" s="866"/>
      <c r="Q90" s="866"/>
      <c r="R90" s="866">
        <v>3500</v>
      </c>
      <c r="S90" s="897">
        <f t="shared" si="12"/>
        <v>4704</v>
      </c>
      <c r="T90" s="898"/>
      <c r="U90" s="914"/>
      <c r="V90" s="914"/>
      <c r="W90" s="914">
        <f>3500+1204</f>
        <v>4704</v>
      </c>
    </row>
    <row r="91" spans="1:23" s="820" customFormat="1" hidden="1" x14ac:dyDescent="0.25">
      <c r="A91" s="801"/>
      <c r="B91" s="801"/>
      <c r="C91" s="802" t="s">
        <v>1538</v>
      </c>
      <c r="D91" s="897"/>
      <c r="E91" s="901"/>
      <c r="F91" s="900"/>
      <c r="G91" s="900"/>
      <c r="H91" s="900"/>
      <c r="I91" s="803">
        <f t="shared" si="10"/>
        <v>0</v>
      </c>
      <c r="J91" s="806"/>
      <c r="K91" s="849"/>
      <c r="L91" s="849"/>
      <c r="M91" s="849"/>
      <c r="N91" s="803">
        <f t="shared" si="11"/>
        <v>0</v>
      </c>
      <c r="O91" s="806"/>
      <c r="P91" s="866"/>
      <c r="Q91" s="866"/>
      <c r="R91" s="866"/>
      <c r="S91" s="897">
        <f t="shared" si="12"/>
        <v>0</v>
      </c>
      <c r="T91" s="901"/>
      <c r="U91" s="914"/>
      <c r="V91" s="914"/>
      <c r="W91" s="914"/>
    </row>
    <row r="92" spans="1:23" s="822" customFormat="1" ht="27.2" customHeight="1" x14ac:dyDescent="0.25">
      <c r="A92" s="801">
        <v>5</v>
      </c>
      <c r="B92" s="801">
        <v>1937</v>
      </c>
      <c r="C92" s="802" t="s">
        <v>1702</v>
      </c>
      <c r="D92" s="897">
        <f>SUM(D93)/1000</f>
        <v>900</v>
      </c>
      <c r="E92" s="898"/>
      <c r="F92" s="900">
        <v>900</v>
      </c>
      <c r="G92" s="900"/>
      <c r="H92" s="900"/>
      <c r="I92" s="803">
        <f t="shared" si="10"/>
        <v>2585</v>
      </c>
      <c r="J92" s="804"/>
      <c r="K92" s="849">
        <f>900+1685</f>
        <v>2585</v>
      </c>
      <c r="L92" s="849"/>
      <c r="M92" s="849"/>
      <c r="N92" s="803">
        <f t="shared" si="11"/>
        <v>2585</v>
      </c>
      <c r="O92" s="804"/>
      <c r="P92" s="866">
        <f>900+1685</f>
        <v>2585</v>
      </c>
      <c r="Q92" s="866"/>
      <c r="R92" s="866"/>
      <c r="S92" s="897">
        <f t="shared" si="12"/>
        <v>2570</v>
      </c>
      <c r="T92" s="898"/>
      <c r="U92" s="914">
        <f>2585-15</f>
        <v>2570</v>
      </c>
      <c r="V92" s="914"/>
      <c r="W92" s="914"/>
    </row>
    <row r="93" spans="1:23" s="820" customFormat="1" hidden="1" x14ac:dyDescent="0.25">
      <c r="A93" s="801"/>
      <c r="B93" s="801"/>
      <c r="C93" s="802" t="s">
        <v>1549</v>
      </c>
      <c r="D93" s="897">
        <v>900000</v>
      </c>
      <c r="E93" s="901" t="s">
        <v>1612</v>
      </c>
      <c r="F93" s="900"/>
      <c r="G93" s="900"/>
      <c r="H93" s="900"/>
      <c r="I93" s="803">
        <f t="shared" si="10"/>
        <v>0</v>
      </c>
      <c r="J93" s="806" t="s">
        <v>1612</v>
      </c>
      <c r="K93" s="849"/>
      <c r="L93" s="849"/>
      <c r="M93" s="849"/>
      <c r="N93" s="803">
        <f t="shared" si="11"/>
        <v>0</v>
      </c>
      <c r="O93" s="806" t="s">
        <v>1612</v>
      </c>
      <c r="P93" s="866"/>
      <c r="Q93" s="866"/>
      <c r="R93" s="866"/>
      <c r="S93" s="897">
        <f t="shared" si="12"/>
        <v>0</v>
      </c>
      <c r="T93" s="901" t="s">
        <v>1612</v>
      </c>
      <c r="U93" s="914"/>
      <c r="V93" s="914"/>
      <c r="W93" s="914"/>
    </row>
    <row r="94" spans="1:23" s="822" customFormat="1" ht="18" customHeight="1" x14ac:dyDescent="0.25">
      <c r="A94" s="801">
        <v>6</v>
      </c>
      <c r="B94" s="801">
        <v>1938</v>
      </c>
      <c r="C94" s="802" t="s">
        <v>1613</v>
      </c>
      <c r="D94" s="897">
        <v>14000</v>
      </c>
      <c r="E94" s="898"/>
      <c r="F94" s="900"/>
      <c r="G94" s="900"/>
      <c r="H94" s="900">
        <v>14000</v>
      </c>
      <c r="I94" s="803">
        <f t="shared" si="10"/>
        <v>14000</v>
      </c>
      <c r="J94" s="804"/>
      <c r="K94" s="849"/>
      <c r="L94" s="849"/>
      <c r="M94" s="849">
        <v>14000</v>
      </c>
      <c r="N94" s="803">
        <f t="shared" si="11"/>
        <v>14000</v>
      </c>
      <c r="O94" s="804"/>
      <c r="P94" s="866"/>
      <c r="Q94" s="866"/>
      <c r="R94" s="866">
        <v>14000</v>
      </c>
      <c r="S94" s="897">
        <f t="shared" si="12"/>
        <v>14000</v>
      </c>
      <c r="T94" s="898"/>
      <c r="U94" s="914"/>
      <c r="V94" s="914"/>
      <c r="W94" s="914">
        <v>14000</v>
      </c>
    </row>
    <row r="95" spans="1:23" s="820" customFormat="1" ht="31.5" hidden="1" x14ac:dyDescent="0.25">
      <c r="A95" s="801"/>
      <c r="B95" s="801"/>
      <c r="C95" s="802" t="s">
        <v>1549</v>
      </c>
      <c r="D95" s="897"/>
      <c r="E95" s="901" t="s">
        <v>1614</v>
      </c>
      <c r="F95" s="900"/>
      <c r="G95" s="900"/>
      <c r="H95" s="900"/>
      <c r="I95" s="803">
        <f t="shared" si="10"/>
        <v>0</v>
      </c>
      <c r="J95" s="806" t="s">
        <v>1614</v>
      </c>
      <c r="K95" s="849"/>
      <c r="L95" s="849"/>
      <c r="M95" s="849"/>
      <c r="N95" s="803">
        <f t="shared" si="11"/>
        <v>0</v>
      </c>
      <c r="O95" s="806" t="s">
        <v>1614</v>
      </c>
      <c r="P95" s="866"/>
      <c r="Q95" s="866"/>
      <c r="R95" s="866"/>
      <c r="S95" s="897">
        <f t="shared" si="12"/>
        <v>0</v>
      </c>
      <c r="T95" s="901" t="s">
        <v>1614</v>
      </c>
      <c r="U95" s="914"/>
      <c r="V95" s="914"/>
      <c r="W95" s="914"/>
    </row>
    <row r="96" spans="1:23" s="820" customFormat="1" ht="19.7" customHeight="1" x14ac:dyDescent="0.25">
      <c r="A96" s="801">
        <v>7</v>
      </c>
      <c r="B96" s="801">
        <v>1939</v>
      </c>
      <c r="C96" s="802" t="s">
        <v>1615</v>
      </c>
      <c r="D96" s="897">
        <v>9000</v>
      </c>
      <c r="E96" s="898"/>
      <c r="F96" s="900"/>
      <c r="G96" s="900"/>
      <c r="H96" s="900">
        <v>9000</v>
      </c>
      <c r="I96" s="803">
        <f t="shared" si="10"/>
        <v>9000</v>
      </c>
      <c r="J96" s="804"/>
      <c r="K96" s="849"/>
      <c r="L96" s="849"/>
      <c r="M96" s="849">
        <v>9000</v>
      </c>
      <c r="N96" s="803">
        <f t="shared" si="11"/>
        <v>9629</v>
      </c>
      <c r="O96" s="804"/>
      <c r="P96" s="866"/>
      <c r="Q96" s="866"/>
      <c r="R96" s="866">
        <f>9000+629</f>
        <v>9629</v>
      </c>
      <c r="S96" s="897">
        <f t="shared" si="12"/>
        <v>10048</v>
      </c>
      <c r="T96" s="898"/>
      <c r="U96" s="914">
        <v>419</v>
      </c>
      <c r="V96" s="914"/>
      <c r="W96" s="914">
        <v>9629</v>
      </c>
    </row>
    <row r="97" spans="1:23" s="820" customFormat="1" ht="28.15" customHeight="1" x14ac:dyDescent="0.25">
      <c r="A97" s="801">
        <v>8</v>
      </c>
      <c r="B97" s="801">
        <v>1940</v>
      </c>
      <c r="C97" s="802" t="s">
        <v>1685</v>
      </c>
      <c r="D97" s="897">
        <v>100000</v>
      </c>
      <c r="E97" s="898"/>
      <c r="F97" s="900"/>
      <c r="G97" s="900">
        <v>100000</v>
      </c>
      <c r="H97" s="900"/>
      <c r="I97" s="803">
        <f t="shared" si="10"/>
        <v>87000</v>
      </c>
      <c r="J97" s="804"/>
      <c r="K97" s="849"/>
      <c r="L97" s="849">
        <f>100000-1000-12000</f>
        <v>87000</v>
      </c>
      <c r="M97" s="849"/>
      <c r="N97" s="803">
        <f t="shared" si="11"/>
        <v>67160</v>
      </c>
      <c r="O97" s="804"/>
      <c r="P97" s="866"/>
      <c r="Q97" s="866">
        <f>87000-16792-3048</f>
        <v>67160</v>
      </c>
      <c r="R97" s="894"/>
      <c r="S97" s="897">
        <f t="shared" si="12"/>
        <v>55121</v>
      </c>
      <c r="T97" s="898"/>
      <c r="U97" s="914"/>
      <c r="V97" s="914">
        <f>67160-1024-11015</f>
        <v>55121</v>
      </c>
      <c r="W97" s="917"/>
    </row>
    <row r="98" spans="1:23" s="820" customFormat="1" ht="18" customHeight="1" x14ac:dyDescent="0.25">
      <c r="A98" s="801">
        <v>9</v>
      </c>
      <c r="B98" s="801">
        <v>1941</v>
      </c>
      <c r="C98" s="802" t="s">
        <v>1686</v>
      </c>
      <c r="D98" s="897">
        <v>5000</v>
      </c>
      <c r="E98" s="898"/>
      <c r="F98" s="900"/>
      <c r="G98" s="900"/>
      <c r="H98" s="900">
        <v>5000</v>
      </c>
      <c r="I98" s="803">
        <f t="shared" si="10"/>
        <v>5000</v>
      </c>
      <c r="J98" s="804"/>
      <c r="K98" s="849"/>
      <c r="L98" s="849"/>
      <c r="M98" s="849">
        <v>5000</v>
      </c>
      <c r="N98" s="803">
        <f t="shared" si="11"/>
        <v>5000</v>
      </c>
      <c r="O98" s="804"/>
      <c r="P98" s="866"/>
      <c r="Q98" s="866"/>
      <c r="R98" s="866">
        <v>5000</v>
      </c>
      <c r="S98" s="897">
        <f t="shared" si="12"/>
        <v>3843</v>
      </c>
      <c r="T98" s="898"/>
      <c r="U98" s="914"/>
      <c r="V98" s="914"/>
      <c r="W98" s="914">
        <f>5000-1157</f>
        <v>3843</v>
      </c>
    </row>
    <row r="99" spans="1:23" s="820" customFormat="1" hidden="1" x14ac:dyDescent="0.25">
      <c r="A99" s="801"/>
      <c r="B99" s="801"/>
      <c r="C99" s="802"/>
      <c r="D99" s="897"/>
      <c r="E99" s="901"/>
      <c r="F99" s="902"/>
      <c r="G99" s="902"/>
      <c r="H99" s="902"/>
      <c r="I99" s="803">
        <f t="shared" si="10"/>
        <v>0</v>
      </c>
      <c r="J99" s="806"/>
      <c r="K99" s="850"/>
      <c r="L99" s="850"/>
      <c r="M99" s="850"/>
      <c r="N99" s="803">
        <f t="shared" si="11"/>
        <v>0</v>
      </c>
      <c r="O99" s="806"/>
      <c r="P99" s="866"/>
      <c r="Q99" s="866"/>
      <c r="R99" s="866"/>
      <c r="S99" s="897">
        <f t="shared" si="12"/>
        <v>0</v>
      </c>
      <c r="T99" s="901"/>
      <c r="U99" s="914"/>
      <c r="V99" s="914"/>
      <c r="W99" s="914"/>
    </row>
    <row r="100" spans="1:23" s="820" customFormat="1" x14ac:dyDescent="0.25">
      <c r="A100" s="801">
        <v>10</v>
      </c>
      <c r="B100" s="801"/>
      <c r="C100" s="802" t="s">
        <v>1737</v>
      </c>
      <c r="D100" s="897"/>
      <c r="E100" s="901"/>
      <c r="F100" s="902"/>
      <c r="G100" s="902"/>
      <c r="H100" s="902"/>
      <c r="I100" s="803"/>
      <c r="J100" s="806"/>
      <c r="K100" s="850"/>
      <c r="L100" s="850"/>
      <c r="M100" s="850"/>
      <c r="N100" s="803">
        <f>SUM(P100:R100)</f>
        <v>16792</v>
      </c>
      <c r="O100" s="806"/>
      <c r="P100" s="866"/>
      <c r="Q100" s="866">
        <v>16792</v>
      </c>
      <c r="R100" s="866"/>
      <c r="S100" s="897">
        <f t="shared" si="12"/>
        <v>16792</v>
      </c>
      <c r="T100" s="901"/>
      <c r="U100" s="914"/>
      <c r="V100" s="914">
        <v>16792</v>
      </c>
      <c r="W100" s="914"/>
    </row>
    <row r="101" spans="1:23" s="820" customFormat="1" x14ac:dyDescent="0.25">
      <c r="A101" s="801">
        <v>11</v>
      </c>
      <c r="B101" s="801"/>
      <c r="C101" s="802" t="s">
        <v>1738</v>
      </c>
      <c r="D101" s="897"/>
      <c r="E101" s="901"/>
      <c r="F101" s="902"/>
      <c r="G101" s="902"/>
      <c r="H101" s="902"/>
      <c r="I101" s="803"/>
      <c r="J101" s="806"/>
      <c r="K101" s="850"/>
      <c r="L101" s="850"/>
      <c r="M101" s="850"/>
      <c r="N101" s="803">
        <f>SUM(P101:R101)</f>
        <v>1482</v>
      </c>
      <c r="O101" s="806"/>
      <c r="P101" s="866"/>
      <c r="Q101" s="866">
        <v>1482</v>
      </c>
      <c r="R101" s="866"/>
      <c r="S101" s="897">
        <f t="shared" si="12"/>
        <v>1482</v>
      </c>
      <c r="T101" s="901"/>
      <c r="U101" s="914"/>
      <c r="V101" s="914">
        <v>1482</v>
      </c>
      <c r="W101" s="914"/>
    </row>
    <row r="102" spans="1:23" s="820" customFormat="1" x14ac:dyDescent="0.25">
      <c r="A102" s="801">
        <v>12</v>
      </c>
      <c r="B102" s="801"/>
      <c r="C102" s="802" t="s">
        <v>1753</v>
      </c>
      <c r="D102" s="897"/>
      <c r="E102" s="901"/>
      <c r="F102" s="902"/>
      <c r="G102" s="902"/>
      <c r="H102" s="902"/>
      <c r="I102" s="803"/>
      <c r="J102" s="806"/>
      <c r="K102" s="850"/>
      <c r="L102" s="850"/>
      <c r="M102" s="850"/>
      <c r="N102" s="803"/>
      <c r="O102" s="806"/>
      <c r="P102" s="866"/>
      <c r="Q102" s="866"/>
      <c r="R102" s="866"/>
      <c r="S102" s="897">
        <f t="shared" si="12"/>
        <v>2294</v>
      </c>
      <c r="T102" s="901"/>
      <c r="U102" s="914"/>
      <c r="V102" s="914">
        <f>2294</f>
        <v>2294</v>
      </c>
      <c r="W102" s="914"/>
    </row>
    <row r="103" spans="1:23" s="792" customFormat="1" x14ac:dyDescent="0.25">
      <c r="A103" s="796" t="s">
        <v>1184</v>
      </c>
      <c r="B103" s="796"/>
      <c r="C103" s="797" t="s">
        <v>1616</v>
      </c>
      <c r="D103" s="798">
        <f>SUM(D104:D105)</f>
        <v>113090</v>
      </c>
      <c r="E103" s="799"/>
      <c r="F103" s="847">
        <f>SUM(F104:F105)</f>
        <v>0</v>
      </c>
      <c r="G103" s="847">
        <f>SUM(G104:G105)</f>
        <v>0</v>
      </c>
      <c r="H103" s="847">
        <f>SUM(H104:H105)</f>
        <v>113090</v>
      </c>
      <c r="I103" s="798">
        <f t="shared" si="10"/>
        <v>113090</v>
      </c>
      <c r="J103" s="799"/>
      <c r="K103" s="847">
        <f>SUM(K104:K105)</f>
        <v>0</v>
      </c>
      <c r="L103" s="847">
        <f>SUM(L104:L105)</f>
        <v>0</v>
      </c>
      <c r="M103" s="847">
        <f>SUM(M104:M105)</f>
        <v>113090</v>
      </c>
      <c r="N103" s="798">
        <f t="shared" si="11"/>
        <v>113090</v>
      </c>
      <c r="O103" s="799"/>
      <c r="P103" s="865">
        <f>SUM(P104:P105)</f>
        <v>0</v>
      </c>
      <c r="Q103" s="865">
        <f>SUM(Q104:Q105)</f>
        <v>0</v>
      </c>
      <c r="R103" s="865">
        <f>SUM(R104:R105)</f>
        <v>113090</v>
      </c>
      <c r="S103" s="798">
        <f t="shared" ref="S103:S129" si="14">SUM(U103:W103)</f>
        <v>113090</v>
      </c>
      <c r="T103" s="799"/>
      <c r="U103" s="865">
        <f>SUM(U104:U105)</f>
        <v>0</v>
      </c>
      <c r="V103" s="865">
        <f>SUM(V104:V105)</f>
        <v>0</v>
      </c>
      <c r="W103" s="865">
        <f>SUM(W104:W105)</f>
        <v>113090</v>
      </c>
    </row>
    <row r="104" spans="1:23" s="792" customFormat="1" x14ac:dyDescent="0.25">
      <c r="A104" s="830"/>
      <c r="B104" s="830"/>
      <c r="C104" s="802" t="s">
        <v>1000</v>
      </c>
      <c r="D104" s="897">
        <f>+'[4]2E VÉA'!F29</f>
        <v>88980</v>
      </c>
      <c r="E104" s="898"/>
      <c r="F104" s="900"/>
      <c r="G104" s="900"/>
      <c r="H104" s="900">
        <v>88980</v>
      </c>
      <c r="I104" s="803">
        <f t="shared" si="10"/>
        <v>88980</v>
      </c>
      <c r="J104" s="799"/>
      <c r="K104" s="849"/>
      <c r="L104" s="849"/>
      <c r="M104" s="849">
        <v>88980</v>
      </c>
      <c r="N104" s="803">
        <f t="shared" si="11"/>
        <v>88980</v>
      </c>
      <c r="O104" s="799"/>
      <c r="P104" s="866"/>
      <c r="Q104" s="866"/>
      <c r="R104" s="866">
        <v>88980</v>
      </c>
      <c r="S104" s="897">
        <f t="shared" si="14"/>
        <v>88980</v>
      </c>
      <c r="T104" s="898"/>
      <c r="U104" s="914"/>
      <c r="V104" s="914"/>
      <c r="W104" s="914">
        <v>88980</v>
      </c>
    </row>
    <row r="105" spans="1:23" s="822" customFormat="1" x14ac:dyDescent="0.25">
      <c r="A105" s="830"/>
      <c r="B105" s="830"/>
      <c r="C105" s="802" t="s">
        <v>1703</v>
      </c>
      <c r="D105" s="897">
        <v>24110</v>
      </c>
      <c r="E105" s="898"/>
      <c r="F105" s="900"/>
      <c r="G105" s="900"/>
      <c r="H105" s="900">
        <v>24110</v>
      </c>
      <c r="I105" s="803">
        <f t="shared" si="10"/>
        <v>24110</v>
      </c>
      <c r="J105" s="821"/>
      <c r="K105" s="849"/>
      <c r="L105" s="849"/>
      <c r="M105" s="849">
        <v>24110</v>
      </c>
      <c r="N105" s="803">
        <f t="shared" si="11"/>
        <v>24110</v>
      </c>
      <c r="O105" s="821"/>
      <c r="P105" s="866"/>
      <c r="Q105" s="866"/>
      <c r="R105" s="866">
        <v>24110</v>
      </c>
      <c r="S105" s="897">
        <f t="shared" si="14"/>
        <v>24110</v>
      </c>
      <c r="T105" s="898"/>
      <c r="U105" s="914"/>
      <c r="V105" s="914"/>
      <c r="W105" s="914">
        <v>24110</v>
      </c>
    </row>
    <row r="106" spans="1:23" ht="25.15" customHeight="1" x14ac:dyDescent="0.25">
      <c r="A106" s="796" t="s">
        <v>1617</v>
      </c>
      <c r="B106" s="796"/>
      <c r="C106" s="797" t="s">
        <v>1618</v>
      </c>
      <c r="D106" s="798">
        <f>SUM(D107,D110,D112,D118,D120)</f>
        <v>35000</v>
      </c>
      <c r="E106" s="799"/>
      <c r="F106" s="847">
        <f>SUM(F107,F110,F112,F118,F120)</f>
        <v>25500</v>
      </c>
      <c r="G106" s="847">
        <f>SUM(G107,G110,G112,G118,G120)</f>
        <v>9500</v>
      </c>
      <c r="H106" s="847">
        <f>SUM(H107,H110,H112,H118,H120)</f>
        <v>0</v>
      </c>
      <c r="I106" s="798">
        <f t="shared" si="10"/>
        <v>35000</v>
      </c>
      <c r="J106" s="799"/>
      <c r="K106" s="847">
        <f>SUM(K107,K110,K112,K118,K120)</f>
        <v>25500</v>
      </c>
      <c r="L106" s="847">
        <f>SUM(L107,L110,L112,L118,L120)</f>
        <v>9500</v>
      </c>
      <c r="M106" s="847">
        <f>SUM(M107,M110,M112,M118,M120)</f>
        <v>0</v>
      </c>
      <c r="N106" s="798">
        <f t="shared" si="11"/>
        <v>35380</v>
      </c>
      <c r="O106" s="799"/>
      <c r="P106" s="865">
        <f>SUM(P107,P110,P112,P118,P120)</f>
        <v>25500</v>
      </c>
      <c r="Q106" s="865">
        <f>SUM(Q107,Q110,Q112,Q118,Q120)</f>
        <v>9880</v>
      </c>
      <c r="R106" s="865">
        <f>SUM(R107,R110,R112,R118,R120)</f>
        <v>0</v>
      </c>
      <c r="S106" s="798">
        <f t="shared" si="14"/>
        <v>32628</v>
      </c>
      <c r="T106" s="799"/>
      <c r="U106" s="865">
        <f>SUM(U107,U110,U112,U118,U120)</f>
        <v>22956</v>
      </c>
      <c r="V106" s="865">
        <f>SUM(V107,V110,V112,V118,V120)</f>
        <v>9672</v>
      </c>
      <c r="W106" s="865">
        <f>SUM(W107,W110,W112,W118,W120)</f>
        <v>0</v>
      </c>
    </row>
    <row r="107" spans="1:23" ht="18" customHeight="1" x14ac:dyDescent="0.25">
      <c r="A107" s="801">
        <v>1</v>
      </c>
      <c r="B107" s="801">
        <v>1942</v>
      </c>
      <c r="C107" s="802" t="s">
        <v>1619</v>
      </c>
      <c r="D107" s="897">
        <f>SUM(D108:D109)/1000</f>
        <v>4000</v>
      </c>
      <c r="E107" s="898"/>
      <c r="F107" s="900">
        <v>4000</v>
      </c>
      <c r="G107" s="900"/>
      <c r="H107" s="900"/>
      <c r="I107" s="803">
        <f t="shared" si="10"/>
        <v>4000</v>
      </c>
      <c r="J107" s="804"/>
      <c r="K107" s="849">
        <v>4000</v>
      </c>
      <c r="L107" s="849"/>
      <c r="M107" s="849"/>
      <c r="N107" s="803">
        <f t="shared" si="11"/>
        <v>4000</v>
      </c>
      <c r="O107" s="804"/>
      <c r="P107" s="866">
        <v>4000</v>
      </c>
      <c r="Q107" s="866"/>
      <c r="R107" s="866"/>
      <c r="S107" s="897">
        <f t="shared" si="14"/>
        <v>4000</v>
      </c>
      <c r="T107" s="898"/>
      <c r="U107" s="914">
        <v>4000</v>
      </c>
      <c r="V107" s="914"/>
      <c r="W107" s="914"/>
    </row>
    <row r="108" spans="1:23" ht="110.25" hidden="1" x14ac:dyDescent="0.25">
      <c r="A108" s="801"/>
      <c r="B108" s="801"/>
      <c r="C108" s="802" t="s">
        <v>1620</v>
      </c>
      <c r="D108" s="897">
        <v>2000000</v>
      </c>
      <c r="E108" s="901" t="s">
        <v>1621</v>
      </c>
      <c r="F108" s="900"/>
      <c r="G108" s="900"/>
      <c r="H108" s="900"/>
      <c r="I108" s="803">
        <f t="shared" si="10"/>
        <v>0</v>
      </c>
      <c r="J108" s="806" t="s">
        <v>1621</v>
      </c>
      <c r="K108" s="849"/>
      <c r="L108" s="849"/>
      <c r="M108" s="849"/>
      <c r="N108" s="803">
        <f t="shared" si="11"/>
        <v>0</v>
      </c>
      <c r="O108" s="806" t="s">
        <v>1621</v>
      </c>
      <c r="Q108" s="866"/>
      <c r="R108" s="866"/>
      <c r="S108" s="897">
        <f t="shared" si="14"/>
        <v>0</v>
      </c>
      <c r="T108" s="901" t="s">
        <v>1621</v>
      </c>
      <c r="U108" s="914"/>
      <c r="V108" s="914"/>
      <c r="W108" s="914"/>
    </row>
    <row r="109" spans="1:23" ht="141.75" hidden="1" x14ac:dyDescent="0.25">
      <c r="A109" s="801"/>
      <c r="B109" s="801"/>
      <c r="C109" s="802" t="s">
        <v>1622</v>
      </c>
      <c r="D109" s="897">
        <v>2000000</v>
      </c>
      <c r="E109" s="911" t="s">
        <v>1623</v>
      </c>
      <c r="F109" s="900"/>
      <c r="G109" s="900"/>
      <c r="H109" s="900"/>
      <c r="I109" s="803">
        <f t="shared" si="10"/>
        <v>0</v>
      </c>
      <c r="J109" s="831" t="s">
        <v>1623</v>
      </c>
      <c r="K109" s="849"/>
      <c r="L109" s="849"/>
      <c r="M109" s="849"/>
      <c r="N109" s="803">
        <f t="shared" si="11"/>
        <v>0</v>
      </c>
      <c r="O109" s="831" t="s">
        <v>1623</v>
      </c>
      <c r="Q109" s="866"/>
      <c r="R109" s="866"/>
      <c r="S109" s="897">
        <f t="shared" si="14"/>
        <v>0</v>
      </c>
      <c r="T109" s="911" t="s">
        <v>1623</v>
      </c>
      <c r="U109" s="914"/>
      <c r="V109" s="914"/>
      <c r="W109" s="914"/>
    </row>
    <row r="110" spans="1:23" s="792" customFormat="1" ht="18" customHeight="1" x14ac:dyDescent="0.25">
      <c r="A110" s="801">
        <v>2</v>
      </c>
      <c r="B110" s="801">
        <v>1943</v>
      </c>
      <c r="C110" s="802" t="s">
        <v>1624</v>
      </c>
      <c r="D110" s="897">
        <f>SUM(D111)/1000</f>
        <v>1500</v>
      </c>
      <c r="E110" s="898"/>
      <c r="F110" s="900">
        <v>1500</v>
      </c>
      <c r="G110" s="900"/>
      <c r="H110" s="900"/>
      <c r="I110" s="803">
        <f t="shared" si="10"/>
        <v>1500</v>
      </c>
      <c r="J110" s="804"/>
      <c r="K110" s="849">
        <v>1500</v>
      </c>
      <c r="L110" s="849"/>
      <c r="M110" s="849"/>
      <c r="N110" s="803">
        <f t="shared" si="11"/>
        <v>1500</v>
      </c>
      <c r="O110" s="804"/>
      <c r="P110" s="866">
        <v>1500</v>
      </c>
      <c r="Q110" s="866"/>
      <c r="R110" s="866"/>
      <c r="S110" s="897">
        <f t="shared" si="14"/>
        <v>1500</v>
      </c>
      <c r="T110" s="898"/>
      <c r="U110" s="914">
        <v>1500</v>
      </c>
      <c r="V110" s="914"/>
      <c r="W110" s="914"/>
    </row>
    <row r="111" spans="1:23" s="822" customFormat="1" ht="63" hidden="1" x14ac:dyDescent="0.25">
      <c r="A111" s="801"/>
      <c r="B111" s="801"/>
      <c r="C111" s="802" t="s">
        <v>1625</v>
      </c>
      <c r="D111" s="897">
        <v>1500000</v>
      </c>
      <c r="E111" s="901" t="s">
        <v>1626</v>
      </c>
      <c r="F111" s="900"/>
      <c r="G111" s="900"/>
      <c r="H111" s="900"/>
      <c r="I111" s="803">
        <f t="shared" si="10"/>
        <v>0</v>
      </c>
      <c r="J111" s="806" t="s">
        <v>1626</v>
      </c>
      <c r="K111" s="849"/>
      <c r="L111" s="849"/>
      <c r="M111" s="849"/>
      <c r="N111" s="803">
        <f t="shared" si="11"/>
        <v>0</v>
      </c>
      <c r="O111" s="806" t="s">
        <v>1626</v>
      </c>
      <c r="P111" s="866"/>
      <c r="Q111" s="866"/>
      <c r="R111" s="866"/>
      <c r="S111" s="897">
        <f t="shared" si="14"/>
        <v>0</v>
      </c>
      <c r="T111" s="901" t="s">
        <v>1626</v>
      </c>
      <c r="U111" s="914"/>
      <c r="V111" s="914"/>
      <c r="W111" s="914"/>
    </row>
    <row r="112" spans="1:23" s="822" customFormat="1" ht="18" customHeight="1" x14ac:dyDescent="0.25">
      <c r="A112" s="801">
        <v>3</v>
      </c>
      <c r="B112" s="801">
        <v>1944</v>
      </c>
      <c r="C112" s="832" t="s">
        <v>1627</v>
      </c>
      <c r="D112" s="897">
        <v>25000</v>
      </c>
      <c r="E112" s="901"/>
      <c r="F112" s="900">
        <v>20000</v>
      </c>
      <c r="G112" s="900">
        <v>5000</v>
      </c>
      <c r="H112" s="900"/>
      <c r="I112" s="803">
        <f t="shared" si="10"/>
        <v>25000</v>
      </c>
      <c r="J112" s="827"/>
      <c r="K112" s="849">
        <v>20000</v>
      </c>
      <c r="L112" s="849">
        <v>5000</v>
      </c>
      <c r="M112" s="849"/>
      <c r="N112" s="803">
        <f t="shared" si="11"/>
        <v>25380</v>
      </c>
      <c r="O112" s="827"/>
      <c r="P112" s="866">
        <v>20000</v>
      </c>
      <c r="Q112" s="866">
        <f>5000+380</f>
        <v>5380</v>
      </c>
      <c r="R112" s="866"/>
      <c r="S112" s="897">
        <f t="shared" si="14"/>
        <v>22628</v>
      </c>
      <c r="T112" s="901"/>
      <c r="U112" s="914">
        <f>20000-419-151+122-2304</f>
        <v>17248</v>
      </c>
      <c r="V112" s="914">
        <f>5380</f>
        <v>5380</v>
      </c>
      <c r="W112" s="914"/>
    </row>
    <row r="113" spans="1:23" s="822" customFormat="1" ht="31.5" hidden="1" x14ac:dyDescent="0.25">
      <c r="A113" s="801"/>
      <c r="B113" s="801"/>
      <c r="C113" s="802" t="s">
        <v>1628</v>
      </c>
      <c r="D113" s="897">
        <v>3000000</v>
      </c>
      <c r="E113" s="901" t="s">
        <v>1629</v>
      </c>
      <c r="F113" s="900"/>
      <c r="G113" s="900"/>
      <c r="H113" s="900"/>
      <c r="I113" s="803">
        <f t="shared" si="10"/>
        <v>0</v>
      </c>
      <c r="J113" s="806" t="s">
        <v>1629</v>
      </c>
      <c r="K113" s="849"/>
      <c r="L113" s="849"/>
      <c r="M113" s="849"/>
      <c r="N113" s="803">
        <f t="shared" si="11"/>
        <v>0</v>
      </c>
      <c r="O113" s="806" t="s">
        <v>1629</v>
      </c>
      <c r="P113" s="866"/>
      <c r="Q113" s="866"/>
      <c r="R113" s="866"/>
      <c r="S113" s="897">
        <f t="shared" si="14"/>
        <v>0</v>
      </c>
      <c r="T113" s="901" t="s">
        <v>1629</v>
      </c>
      <c r="U113" s="914"/>
      <c r="V113" s="914"/>
      <c r="W113" s="914"/>
    </row>
    <row r="114" spans="1:23" s="822" customFormat="1" ht="47.25" hidden="1" x14ac:dyDescent="0.25">
      <c r="A114" s="801"/>
      <c r="B114" s="801"/>
      <c r="C114" s="802" t="s">
        <v>1630</v>
      </c>
      <c r="D114" s="897">
        <v>3000000</v>
      </c>
      <c r="E114" s="901" t="s">
        <v>1631</v>
      </c>
      <c r="F114" s="900"/>
      <c r="G114" s="900"/>
      <c r="H114" s="900"/>
      <c r="I114" s="803">
        <f t="shared" si="10"/>
        <v>0</v>
      </c>
      <c r="J114" s="806" t="s">
        <v>1631</v>
      </c>
      <c r="K114" s="849"/>
      <c r="L114" s="849"/>
      <c r="M114" s="849"/>
      <c r="N114" s="803">
        <f t="shared" si="11"/>
        <v>0</v>
      </c>
      <c r="O114" s="806" t="s">
        <v>1631</v>
      </c>
      <c r="P114" s="866"/>
      <c r="Q114" s="866"/>
      <c r="R114" s="866"/>
      <c r="S114" s="897">
        <f t="shared" si="14"/>
        <v>0</v>
      </c>
      <c r="T114" s="901" t="s">
        <v>1631</v>
      </c>
      <c r="U114" s="914"/>
      <c r="V114" s="914"/>
      <c r="W114" s="914"/>
    </row>
    <row r="115" spans="1:23" s="822" customFormat="1" ht="157.5" hidden="1" x14ac:dyDescent="0.25">
      <c r="A115" s="801"/>
      <c r="B115" s="801"/>
      <c r="C115" s="802" t="s">
        <v>1632</v>
      </c>
      <c r="D115" s="897">
        <v>5000000</v>
      </c>
      <c r="E115" s="901" t="s">
        <v>1633</v>
      </c>
      <c r="F115" s="900"/>
      <c r="G115" s="900"/>
      <c r="H115" s="900"/>
      <c r="I115" s="803">
        <f t="shared" si="10"/>
        <v>0</v>
      </c>
      <c r="J115" s="806" t="s">
        <v>1633</v>
      </c>
      <c r="K115" s="849"/>
      <c r="L115" s="849"/>
      <c r="M115" s="849"/>
      <c r="N115" s="803">
        <f t="shared" si="11"/>
        <v>0</v>
      </c>
      <c r="O115" s="806" t="s">
        <v>1633</v>
      </c>
      <c r="P115" s="866"/>
      <c r="Q115" s="866"/>
      <c r="R115" s="866"/>
      <c r="S115" s="897">
        <f t="shared" si="14"/>
        <v>0</v>
      </c>
      <c r="T115" s="901" t="s">
        <v>1633</v>
      </c>
      <c r="U115" s="914"/>
      <c r="V115" s="914"/>
      <c r="W115" s="914"/>
    </row>
    <row r="116" spans="1:23" s="822" customFormat="1" ht="31.5" hidden="1" x14ac:dyDescent="0.25">
      <c r="A116" s="801"/>
      <c r="B116" s="801"/>
      <c r="C116" s="802" t="s">
        <v>1634</v>
      </c>
      <c r="D116" s="897">
        <v>1000000</v>
      </c>
      <c r="E116" s="901" t="s">
        <v>1635</v>
      </c>
      <c r="F116" s="900"/>
      <c r="G116" s="900"/>
      <c r="H116" s="900"/>
      <c r="I116" s="803">
        <f t="shared" si="10"/>
        <v>0</v>
      </c>
      <c r="J116" s="806" t="s">
        <v>1635</v>
      </c>
      <c r="K116" s="849"/>
      <c r="L116" s="849"/>
      <c r="M116" s="849"/>
      <c r="N116" s="803">
        <f t="shared" si="11"/>
        <v>0</v>
      </c>
      <c r="O116" s="806" t="s">
        <v>1635</v>
      </c>
      <c r="P116" s="866"/>
      <c r="Q116" s="866"/>
      <c r="R116" s="866"/>
      <c r="S116" s="897">
        <f t="shared" si="14"/>
        <v>0</v>
      </c>
      <c r="T116" s="901" t="s">
        <v>1635</v>
      </c>
      <c r="U116" s="914"/>
      <c r="V116" s="914"/>
      <c r="W116" s="914"/>
    </row>
    <row r="117" spans="1:23" s="822" customFormat="1" ht="252" hidden="1" x14ac:dyDescent="0.25">
      <c r="A117" s="801"/>
      <c r="B117" s="801"/>
      <c r="C117" s="802" t="s">
        <v>1636</v>
      </c>
      <c r="D117" s="897">
        <v>3000000</v>
      </c>
      <c r="E117" s="912" t="s">
        <v>1637</v>
      </c>
      <c r="F117" s="900"/>
      <c r="G117" s="900"/>
      <c r="H117" s="900"/>
      <c r="I117" s="803">
        <f t="shared" si="10"/>
        <v>0</v>
      </c>
      <c r="J117" s="833" t="s">
        <v>1637</v>
      </c>
      <c r="K117" s="849"/>
      <c r="L117" s="849"/>
      <c r="M117" s="849"/>
      <c r="N117" s="803">
        <f t="shared" si="11"/>
        <v>0</v>
      </c>
      <c r="O117" s="833" t="s">
        <v>1637</v>
      </c>
      <c r="P117" s="866"/>
      <c r="Q117" s="866"/>
      <c r="R117" s="866"/>
      <c r="S117" s="897">
        <f t="shared" si="14"/>
        <v>0</v>
      </c>
      <c r="T117" s="912" t="s">
        <v>1637</v>
      </c>
      <c r="U117" s="914"/>
      <c r="V117" s="914"/>
      <c r="W117" s="914"/>
    </row>
    <row r="118" spans="1:23" s="822" customFormat="1" ht="18" customHeight="1" x14ac:dyDescent="0.25">
      <c r="A118" s="801">
        <v>4</v>
      </c>
      <c r="B118" s="801">
        <v>1945</v>
      </c>
      <c r="C118" s="832" t="s">
        <v>1638</v>
      </c>
      <c r="D118" s="897">
        <f>SUM(D119)/1000</f>
        <v>3500</v>
      </c>
      <c r="E118" s="913"/>
      <c r="F118" s="900"/>
      <c r="G118" s="900">
        <v>3500</v>
      </c>
      <c r="H118" s="900"/>
      <c r="I118" s="803">
        <f t="shared" si="10"/>
        <v>3500</v>
      </c>
      <c r="J118" s="834"/>
      <c r="K118" s="849"/>
      <c r="L118" s="849">
        <v>3500</v>
      </c>
      <c r="M118" s="849"/>
      <c r="N118" s="803">
        <f t="shared" si="11"/>
        <v>3500</v>
      </c>
      <c r="O118" s="834"/>
      <c r="P118" s="866"/>
      <c r="Q118" s="866">
        <v>3500</v>
      </c>
      <c r="R118" s="866"/>
      <c r="S118" s="897">
        <f t="shared" si="14"/>
        <v>3292</v>
      </c>
      <c r="T118" s="913"/>
      <c r="U118" s="914"/>
      <c r="V118" s="914">
        <f>3500-208</f>
        <v>3292</v>
      </c>
      <c r="W118" s="914"/>
    </row>
    <row r="119" spans="1:23" s="822" customFormat="1" ht="47.25" hidden="1" x14ac:dyDescent="0.25">
      <c r="A119" s="801"/>
      <c r="B119" s="801"/>
      <c r="C119" s="802" t="s">
        <v>1639</v>
      </c>
      <c r="D119" s="897">
        <v>3500000</v>
      </c>
      <c r="E119" s="901" t="s">
        <v>1640</v>
      </c>
      <c r="F119" s="900"/>
      <c r="G119" s="900"/>
      <c r="H119" s="900"/>
      <c r="I119" s="803">
        <f t="shared" si="10"/>
        <v>0</v>
      </c>
      <c r="J119" s="806" t="s">
        <v>1640</v>
      </c>
      <c r="K119" s="849"/>
      <c r="L119" s="849"/>
      <c r="M119" s="849"/>
      <c r="N119" s="803">
        <f t="shared" si="11"/>
        <v>0</v>
      </c>
      <c r="O119" s="806" t="s">
        <v>1640</v>
      </c>
      <c r="P119" s="866"/>
      <c r="Q119" s="866"/>
      <c r="R119" s="866"/>
      <c r="S119" s="897">
        <f t="shared" si="14"/>
        <v>0</v>
      </c>
      <c r="T119" s="901" t="s">
        <v>1640</v>
      </c>
      <c r="U119" s="914"/>
      <c r="V119" s="914"/>
      <c r="W119" s="914"/>
    </row>
    <row r="120" spans="1:23" s="822" customFormat="1" ht="18" customHeight="1" x14ac:dyDescent="0.25">
      <c r="A120" s="801">
        <v>5</v>
      </c>
      <c r="B120" s="801">
        <v>1946</v>
      </c>
      <c r="C120" s="832" t="s">
        <v>1641</v>
      </c>
      <c r="D120" s="897">
        <v>1000</v>
      </c>
      <c r="E120" s="913"/>
      <c r="F120" s="900"/>
      <c r="G120" s="900">
        <v>1000</v>
      </c>
      <c r="H120" s="900"/>
      <c r="I120" s="803">
        <f t="shared" si="10"/>
        <v>1000</v>
      </c>
      <c r="J120" s="834"/>
      <c r="K120" s="849"/>
      <c r="L120" s="849">
        <v>1000</v>
      </c>
      <c r="M120" s="849"/>
      <c r="N120" s="803">
        <f t="shared" si="11"/>
        <v>1000</v>
      </c>
      <c r="O120" s="834"/>
      <c r="P120" s="866"/>
      <c r="Q120" s="866">
        <v>1000</v>
      </c>
      <c r="R120" s="866"/>
      <c r="S120" s="897">
        <f t="shared" si="14"/>
        <v>1208</v>
      </c>
      <c r="T120" s="913"/>
      <c r="U120" s="914">
        <v>208</v>
      </c>
      <c r="V120" s="914">
        <f>1000</f>
        <v>1000</v>
      </c>
      <c r="W120" s="914"/>
    </row>
    <row r="121" spans="1:23" s="822" customFormat="1" hidden="1" x14ac:dyDescent="0.25">
      <c r="A121" s="801"/>
      <c r="B121" s="801"/>
      <c r="C121" s="813"/>
      <c r="D121" s="803"/>
      <c r="E121" s="806"/>
      <c r="F121" s="849"/>
      <c r="G121" s="849"/>
      <c r="H121" s="849"/>
      <c r="I121" s="803">
        <f t="shared" si="10"/>
        <v>0</v>
      </c>
      <c r="J121" s="806"/>
      <c r="K121" s="849"/>
      <c r="L121" s="849"/>
      <c r="M121" s="849"/>
      <c r="N121" s="803">
        <f t="shared" si="11"/>
        <v>0</v>
      </c>
      <c r="O121" s="806"/>
      <c r="P121" s="866"/>
      <c r="Q121" s="866"/>
      <c r="R121" s="866"/>
      <c r="S121" s="803">
        <f t="shared" si="14"/>
        <v>0</v>
      </c>
      <c r="T121" s="806"/>
      <c r="U121" s="866"/>
      <c r="V121" s="866"/>
      <c r="W121" s="866"/>
    </row>
    <row r="122" spans="1:23" s="822" customFormat="1" x14ac:dyDescent="0.25">
      <c r="A122" s="796" t="s">
        <v>1642</v>
      </c>
      <c r="B122" s="796"/>
      <c r="C122" s="797" t="s">
        <v>1643</v>
      </c>
      <c r="D122" s="798">
        <f>SUM(D123:D128)</f>
        <v>77000</v>
      </c>
      <c r="E122" s="799"/>
      <c r="F122" s="847">
        <f>SUM(F123:F128)</f>
        <v>0</v>
      </c>
      <c r="G122" s="847">
        <f>SUM(G123:G128)</f>
        <v>77000</v>
      </c>
      <c r="H122" s="847">
        <f>SUM(H123:H128)</f>
        <v>0</v>
      </c>
      <c r="I122" s="798">
        <f t="shared" si="10"/>
        <v>77000</v>
      </c>
      <c r="J122" s="799"/>
      <c r="K122" s="847">
        <f>SUM(K123:K128)</f>
        <v>0</v>
      </c>
      <c r="L122" s="847">
        <f>SUM(L123:L128)</f>
        <v>77000</v>
      </c>
      <c r="M122" s="847">
        <f>SUM(M123:M128)</f>
        <v>0</v>
      </c>
      <c r="N122" s="798">
        <f t="shared" si="11"/>
        <v>87437</v>
      </c>
      <c r="O122" s="799"/>
      <c r="P122" s="865">
        <f>SUM(P123:P129)</f>
        <v>10710</v>
      </c>
      <c r="Q122" s="865">
        <f>SUM(Q123:Q129)</f>
        <v>76727</v>
      </c>
      <c r="R122" s="865">
        <f>SUM(R123:R128)</f>
        <v>0</v>
      </c>
      <c r="S122" s="798">
        <f t="shared" si="14"/>
        <v>168068</v>
      </c>
      <c r="T122" s="799"/>
      <c r="U122" s="865">
        <f>SUM(U123:U129)</f>
        <v>24899</v>
      </c>
      <c r="V122" s="865">
        <f>SUM(V123:V129)</f>
        <v>143169</v>
      </c>
      <c r="W122" s="865">
        <f>SUM(W123:W128)</f>
        <v>0</v>
      </c>
    </row>
    <row r="123" spans="1:23" s="822" customFormat="1" ht="18" customHeight="1" x14ac:dyDescent="0.25">
      <c r="A123" s="830"/>
      <c r="B123" s="801">
        <v>1947</v>
      </c>
      <c r="C123" s="813" t="s">
        <v>1644</v>
      </c>
      <c r="D123" s="897">
        <f>40000000/1000</f>
        <v>40000</v>
      </c>
      <c r="E123" s="901" t="s">
        <v>1645</v>
      </c>
      <c r="F123" s="900"/>
      <c r="G123" s="900">
        <v>40000</v>
      </c>
      <c r="H123" s="900"/>
      <c r="I123" s="803">
        <f t="shared" si="10"/>
        <v>40000</v>
      </c>
      <c r="J123" s="806" t="s">
        <v>1645</v>
      </c>
      <c r="K123" s="849"/>
      <c r="L123" s="849">
        <v>40000</v>
      </c>
      <c r="M123" s="849"/>
      <c r="N123" s="803">
        <f t="shared" si="11"/>
        <v>40000</v>
      </c>
      <c r="O123" s="806" t="s">
        <v>1645</v>
      </c>
      <c r="P123" s="866">
        <f>5000+5647</f>
        <v>10647</v>
      </c>
      <c r="Q123" s="866">
        <f>40000-5000-5647</f>
        <v>29353</v>
      </c>
      <c r="R123" s="866"/>
      <c r="S123" s="803">
        <f t="shared" si="14"/>
        <v>37000</v>
      </c>
      <c r="T123" s="806" t="s">
        <v>1645</v>
      </c>
      <c r="U123" s="866">
        <f>10647+8500+184+5505</f>
        <v>24836</v>
      </c>
      <c r="V123" s="866">
        <f>29353-8500-184-8505</f>
        <v>12164</v>
      </c>
      <c r="W123" s="866"/>
    </row>
    <row r="124" spans="1:23" s="822" customFormat="1" ht="18" customHeight="1" x14ac:dyDescent="0.25">
      <c r="A124" s="830"/>
      <c r="B124" s="801">
        <v>1948</v>
      </c>
      <c r="C124" s="813" t="s">
        <v>1646</v>
      </c>
      <c r="D124" s="897">
        <f>15000000/1000</f>
        <v>15000</v>
      </c>
      <c r="E124" s="912" t="s">
        <v>1647</v>
      </c>
      <c r="F124" s="900"/>
      <c r="G124" s="900">
        <v>15000</v>
      </c>
      <c r="H124" s="900"/>
      <c r="I124" s="803">
        <f t="shared" si="10"/>
        <v>15000</v>
      </c>
      <c r="J124" s="833" t="s">
        <v>1647</v>
      </c>
      <c r="K124" s="849"/>
      <c r="L124" s="849">
        <v>15000</v>
      </c>
      <c r="M124" s="849"/>
      <c r="N124" s="803">
        <f t="shared" si="11"/>
        <v>20737</v>
      </c>
      <c r="O124" s="833" t="s">
        <v>1647</v>
      </c>
      <c r="P124" s="866"/>
      <c r="Q124" s="866">
        <f>15000+5737</f>
        <v>20737</v>
      </c>
      <c r="R124" s="866"/>
      <c r="S124" s="897">
        <f t="shared" si="14"/>
        <v>22865</v>
      </c>
      <c r="T124" s="912" t="s">
        <v>1647</v>
      </c>
      <c r="U124" s="914"/>
      <c r="V124" s="914">
        <f>20737+138+1561+429</f>
        <v>22865</v>
      </c>
      <c r="W124" s="914"/>
    </row>
    <row r="125" spans="1:23" s="822" customFormat="1" ht="18" customHeight="1" x14ac:dyDescent="0.25">
      <c r="A125" s="830"/>
      <c r="B125" s="801">
        <v>1949</v>
      </c>
      <c r="C125" s="813" t="s">
        <v>1648</v>
      </c>
      <c r="D125" s="897">
        <f>5000000/1000</f>
        <v>5000</v>
      </c>
      <c r="E125" s="912" t="s">
        <v>1649</v>
      </c>
      <c r="F125" s="900"/>
      <c r="G125" s="900">
        <v>5000</v>
      </c>
      <c r="H125" s="900"/>
      <c r="I125" s="803">
        <f t="shared" si="10"/>
        <v>5000</v>
      </c>
      <c r="J125" s="833" t="s">
        <v>1649</v>
      </c>
      <c r="K125" s="849"/>
      <c r="L125" s="849">
        <v>5000</v>
      </c>
      <c r="M125" s="849"/>
      <c r="N125" s="803">
        <f t="shared" si="11"/>
        <v>5000</v>
      </c>
      <c r="O125" s="833" t="s">
        <v>1649</v>
      </c>
      <c r="P125" s="866"/>
      <c r="Q125" s="866">
        <v>5000</v>
      </c>
      <c r="R125" s="866"/>
      <c r="S125" s="897">
        <f t="shared" si="14"/>
        <v>4800</v>
      </c>
      <c r="T125" s="912" t="s">
        <v>1649</v>
      </c>
      <c r="U125" s="914"/>
      <c r="V125" s="914">
        <f>5000-200</f>
        <v>4800</v>
      </c>
      <c r="W125" s="914"/>
    </row>
    <row r="126" spans="1:23" s="822" customFormat="1" ht="18" customHeight="1" x14ac:dyDescent="0.25">
      <c r="A126" s="830"/>
      <c r="B126" s="801">
        <v>1950</v>
      </c>
      <c r="C126" s="813" t="s">
        <v>1650</v>
      </c>
      <c r="D126" s="897">
        <f>10000000/1000</f>
        <v>10000</v>
      </c>
      <c r="E126" s="901" t="s">
        <v>1651</v>
      </c>
      <c r="F126" s="900"/>
      <c r="G126" s="900">
        <v>10000</v>
      </c>
      <c r="H126" s="900"/>
      <c r="I126" s="803">
        <f t="shared" si="10"/>
        <v>10000</v>
      </c>
      <c r="J126" s="806" t="s">
        <v>1651</v>
      </c>
      <c r="K126" s="849"/>
      <c r="L126" s="849">
        <v>10000</v>
      </c>
      <c r="M126" s="849"/>
      <c r="N126" s="803">
        <f t="shared" si="11"/>
        <v>10000</v>
      </c>
      <c r="O126" s="806" t="s">
        <v>1651</v>
      </c>
      <c r="P126" s="866"/>
      <c r="Q126" s="866">
        <v>10000</v>
      </c>
      <c r="R126" s="866"/>
      <c r="S126" s="897">
        <f t="shared" si="14"/>
        <v>6173</v>
      </c>
      <c r="T126" s="901" t="s">
        <v>1651</v>
      </c>
      <c r="U126" s="914"/>
      <c r="V126" s="914">
        <f>10000-1561-627-435-1204</f>
        <v>6173</v>
      </c>
      <c r="W126" s="914"/>
    </row>
    <row r="127" spans="1:23" s="822" customFormat="1" ht="18" customHeight="1" x14ac:dyDescent="0.25">
      <c r="A127" s="830"/>
      <c r="B127" s="801">
        <v>1951</v>
      </c>
      <c r="C127" s="813" t="s">
        <v>1652</v>
      </c>
      <c r="D127" s="897">
        <f>5000000/1000</f>
        <v>5000</v>
      </c>
      <c r="E127" s="901" t="s">
        <v>1653</v>
      </c>
      <c r="F127" s="900"/>
      <c r="G127" s="900">
        <v>5000</v>
      </c>
      <c r="H127" s="900"/>
      <c r="I127" s="803">
        <f t="shared" si="10"/>
        <v>5000</v>
      </c>
      <c r="J127" s="806" t="s">
        <v>1653</v>
      </c>
      <c r="K127" s="849"/>
      <c r="L127" s="849">
        <v>5000</v>
      </c>
      <c r="M127" s="849"/>
      <c r="N127" s="803">
        <f t="shared" si="11"/>
        <v>9700</v>
      </c>
      <c r="O127" s="806" t="s">
        <v>1653</v>
      </c>
      <c r="P127" s="866">
        <v>63</v>
      </c>
      <c r="Q127" s="866">
        <f>5000+4700-63</f>
        <v>9637</v>
      </c>
      <c r="R127" s="866"/>
      <c r="S127" s="897">
        <f t="shared" si="14"/>
        <v>9700</v>
      </c>
      <c r="T127" s="901" t="s">
        <v>1653</v>
      </c>
      <c r="U127" s="914">
        <v>63</v>
      </c>
      <c r="V127" s="914">
        <v>9637</v>
      </c>
      <c r="W127" s="914"/>
    </row>
    <row r="128" spans="1:23" s="822" customFormat="1" ht="18" customHeight="1" x14ac:dyDescent="0.25">
      <c r="A128" s="830"/>
      <c r="B128" s="801">
        <v>1952</v>
      </c>
      <c r="C128" s="813" t="s">
        <v>1654</v>
      </c>
      <c r="D128" s="897">
        <f>2000000/1000</f>
        <v>2000</v>
      </c>
      <c r="E128" s="901"/>
      <c r="F128" s="900"/>
      <c r="G128" s="900">
        <v>2000</v>
      </c>
      <c r="H128" s="900"/>
      <c r="I128" s="803">
        <f t="shared" si="10"/>
        <v>2000</v>
      </c>
      <c r="J128" s="806"/>
      <c r="K128" s="849"/>
      <c r="L128" s="849">
        <v>2000</v>
      </c>
      <c r="M128" s="849"/>
      <c r="N128" s="803">
        <f t="shared" si="11"/>
        <v>2000</v>
      </c>
      <c r="O128" s="806"/>
      <c r="P128" s="866"/>
      <c r="Q128" s="866">
        <v>2000</v>
      </c>
      <c r="R128" s="866"/>
      <c r="S128" s="897">
        <f t="shared" si="14"/>
        <v>2130</v>
      </c>
      <c r="T128" s="901"/>
      <c r="U128" s="914"/>
      <c r="V128" s="914">
        <f>2000+130</f>
        <v>2130</v>
      </c>
      <c r="W128" s="914"/>
    </row>
    <row r="129" spans="1:23" x14ac:dyDescent="0.25">
      <c r="A129" s="972"/>
      <c r="B129" s="972"/>
      <c r="C129" s="973" t="s">
        <v>1754</v>
      </c>
      <c r="D129" s="897"/>
      <c r="E129" s="901"/>
      <c r="F129" s="900"/>
      <c r="G129" s="900"/>
      <c r="H129" s="900"/>
      <c r="I129" s="974"/>
      <c r="J129" s="975"/>
      <c r="K129" s="976"/>
      <c r="L129" s="976"/>
      <c r="M129" s="976"/>
      <c r="N129" s="974"/>
      <c r="O129" s="975"/>
      <c r="P129" s="977"/>
      <c r="Q129" s="977"/>
      <c r="R129" s="977"/>
      <c r="S129" s="897">
        <f t="shared" si="14"/>
        <v>85400</v>
      </c>
      <c r="T129" s="901"/>
      <c r="U129" s="914"/>
      <c r="V129" s="914">
        <v>85400</v>
      </c>
      <c r="W129" s="914"/>
    </row>
    <row r="130" spans="1:23" x14ac:dyDescent="0.25">
      <c r="A130" s="1048" t="s">
        <v>1704</v>
      </c>
      <c r="B130" s="1049"/>
      <c r="C130" s="1050"/>
      <c r="D130" s="853">
        <f>+D4+D29+D55+D73+D84+D103+D106+D122</f>
        <v>1364262.5</v>
      </c>
      <c r="E130" s="854"/>
      <c r="F130" s="855">
        <f>+F4+F29+F55+F73+F84+F103+F106+F122</f>
        <v>26400</v>
      </c>
      <c r="G130" s="855">
        <f>+G4+G29+G55+G73+G84+G103+G106+G122</f>
        <v>904481</v>
      </c>
      <c r="H130" s="855">
        <f>+H4+H29+H55+H73+H84+H103+H106+H122</f>
        <v>433382</v>
      </c>
      <c r="I130" s="853">
        <f t="shared" si="10"/>
        <v>1630801</v>
      </c>
      <c r="J130" s="854"/>
      <c r="K130" s="855">
        <f>+K4+K29+K55+K73+K84+K103+K106+K122</f>
        <v>100512</v>
      </c>
      <c r="L130" s="855">
        <f>+L4+L29+L55+L73+L84+L103+L106+L122</f>
        <v>1121947</v>
      </c>
      <c r="M130" s="855">
        <f>+M4+M29+M55+M73+M84+M103+M106+M122</f>
        <v>408342</v>
      </c>
      <c r="N130" s="853">
        <f t="shared" si="11"/>
        <v>1631367</v>
      </c>
      <c r="O130" s="854"/>
      <c r="P130" s="867">
        <f>+P4+P29+P55+P73+P84+P103+P106+P122</f>
        <v>140206</v>
      </c>
      <c r="Q130" s="867">
        <f>+Q4+Q29+Q55+Q73+Q84+Q103+Q106+Q122</f>
        <v>1091862</v>
      </c>
      <c r="R130" s="867">
        <f>+R4+R29+R55+R73+R84+R103+R106+R122</f>
        <v>399299</v>
      </c>
      <c r="S130" s="853">
        <f t="shared" ref="S130:S134" si="15">SUM(U130:W130)</f>
        <v>1787246</v>
      </c>
      <c r="T130" s="854"/>
      <c r="U130" s="867">
        <f>+U4+U29+U55+U73+U84+U103+U106+U122</f>
        <v>177338</v>
      </c>
      <c r="V130" s="867">
        <f>+V4+V29+V55+V73+V84+V103+V106+V122</f>
        <v>1196994</v>
      </c>
      <c r="W130" s="867">
        <f>+W4+W29+W55+W73+W84+W103+W106+W122</f>
        <v>412914</v>
      </c>
    </row>
    <row r="131" spans="1:23" x14ac:dyDescent="0.25">
      <c r="D131" s="897"/>
      <c r="E131" s="901"/>
      <c r="F131" s="900"/>
      <c r="G131" s="900"/>
      <c r="H131" s="900"/>
      <c r="I131" s="814">
        <f t="shared" si="10"/>
        <v>0</v>
      </c>
      <c r="L131" s="849"/>
      <c r="M131" s="849"/>
      <c r="N131" s="814">
        <f t="shared" si="11"/>
        <v>0</v>
      </c>
      <c r="Q131" s="866"/>
      <c r="R131" s="866"/>
      <c r="S131" s="897">
        <f t="shared" si="15"/>
        <v>0</v>
      </c>
      <c r="T131" s="901"/>
      <c r="U131" s="914"/>
      <c r="V131" s="914"/>
      <c r="W131" s="914"/>
    </row>
    <row r="132" spans="1:23" x14ac:dyDescent="0.25">
      <c r="A132" s="796" t="s">
        <v>1705</v>
      </c>
      <c r="B132" s="796"/>
      <c r="C132" s="797" t="s">
        <v>1706</v>
      </c>
      <c r="D132" s="798">
        <f>+'[4]3A PH'!V45+'[4]4A Walla'!Q42+'[4]4B Nyitnikék'!Q42+'[4]4C Bóbita'!Q42+'[4]4D MMMH'!Q42+'[4]4E Könyvtár'!Q42+'[4]4F Segítő Kéz'!Q42+'[4]4G Szérüskert'!Q42+'[4]4H VG bev kiad'!Q42</f>
        <v>57756</v>
      </c>
      <c r="E132" s="799"/>
      <c r="F132" s="847"/>
      <c r="G132" s="847">
        <f>+'[4]3A PH'!V46+'[4]5 GSZNR fel'!Q13+'[4]5 GSZNR fel'!Q41+'[4]5 GSZNR fel'!Q55+'[4]5 GSZNR fel'!Q80+'[4]5 GSZNR fel'!Q91+'[4]5 GSZNR fel'!Q99+'[4]5 GSZNR fel'!Q123+'[4]5 GSZNR fel'!Q144+'[4]5 GSZNR fel'!Q155+'[4]5 GSZNR fel'!Q160+'[4]5 GSZNR fel'!Q170</f>
        <v>53400</v>
      </c>
      <c r="H132" s="847">
        <f>+'[4]5 GSZNR fel'!Q56</f>
        <v>4356</v>
      </c>
      <c r="I132" s="798">
        <f t="shared" si="10"/>
        <v>74471</v>
      </c>
      <c r="J132" s="799"/>
      <c r="K132" s="865"/>
      <c r="L132" s="847">
        <f>53400+5207+169+635+1270+6925+232+300+1113+454+410</f>
        <v>70115</v>
      </c>
      <c r="M132" s="847">
        <v>4356</v>
      </c>
      <c r="N132" s="798">
        <f t="shared" si="11"/>
        <v>77237</v>
      </c>
      <c r="O132" s="799"/>
      <c r="P132" s="865"/>
      <c r="Q132" s="865">
        <f>70115+607+61+2098</f>
        <v>72881</v>
      </c>
      <c r="R132" s="865">
        <v>4356</v>
      </c>
      <c r="S132" s="798">
        <f t="shared" si="15"/>
        <v>84184</v>
      </c>
      <c r="T132" s="799"/>
      <c r="U132" s="865"/>
      <c r="V132" s="865">
        <f>72881+2877+174+4871-1903+49+5234+1</f>
        <v>84184</v>
      </c>
      <c r="W132" s="865">
        <f>4356-4356</f>
        <v>0</v>
      </c>
    </row>
    <row r="133" spans="1:23" x14ac:dyDescent="0.25">
      <c r="D133" s="897"/>
      <c r="E133" s="901"/>
      <c r="F133" s="902"/>
      <c r="G133" s="902"/>
      <c r="H133" s="902"/>
      <c r="I133" s="814">
        <f t="shared" si="10"/>
        <v>0</v>
      </c>
      <c r="N133" s="814">
        <f t="shared" si="11"/>
        <v>0</v>
      </c>
      <c r="S133" s="897">
        <f t="shared" si="15"/>
        <v>0</v>
      </c>
      <c r="T133" s="901"/>
      <c r="U133" s="914"/>
      <c r="V133" s="914"/>
      <c r="W133" s="914"/>
    </row>
    <row r="134" spans="1:23" x14ac:dyDescent="0.25">
      <c r="A134" s="1048" t="s">
        <v>1707</v>
      </c>
      <c r="B134" s="1049"/>
      <c r="C134" s="1050"/>
      <c r="D134" s="853">
        <f>+D130+D132</f>
        <v>1422018.5</v>
      </c>
      <c r="F134" s="855">
        <f t="shared" ref="F134:H134" si="16">+F130+F132</f>
        <v>26400</v>
      </c>
      <c r="G134" s="855">
        <f t="shared" si="16"/>
        <v>957881</v>
      </c>
      <c r="H134" s="855">
        <f t="shared" si="16"/>
        <v>437738</v>
      </c>
      <c r="I134" s="853">
        <f t="shared" si="10"/>
        <v>1705272</v>
      </c>
      <c r="K134" s="867">
        <f t="shared" ref="K134:M134" si="17">+K130+K132</f>
        <v>100512</v>
      </c>
      <c r="L134" s="855">
        <f t="shared" si="17"/>
        <v>1192062</v>
      </c>
      <c r="M134" s="855">
        <f t="shared" si="17"/>
        <v>412698</v>
      </c>
      <c r="N134" s="853">
        <f t="shared" si="11"/>
        <v>1708604</v>
      </c>
      <c r="P134" s="867">
        <f t="shared" ref="P134:R134" si="18">+P130+P132</f>
        <v>140206</v>
      </c>
      <c r="Q134" s="867">
        <f t="shared" si="18"/>
        <v>1164743</v>
      </c>
      <c r="R134" s="867">
        <f t="shared" si="18"/>
        <v>403655</v>
      </c>
      <c r="S134" s="853">
        <f t="shared" si="15"/>
        <v>1871430</v>
      </c>
      <c r="U134" s="867">
        <f t="shared" ref="U134:W134" si="19">+U130+U132</f>
        <v>177338</v>
      </c>
      <c r="V134" s="867">
        <f t="shared" si="19"/>
        <v>1281178</v>
      </c>
      <c r="W134" s="867">
        <f t="shared" si="19"/>
        <v>412914</v>
      </c>
    </row>
  </sheetData>
  <mergeCells count="4">
    <mergeCell ref="A1:E1"/>
    <mergeCell ref="B3:B4"/>
    <mergeCell ref="A130:C130"/>
    <mergeCell ref="A134:C13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&amp;L7.  melléklet a ...../2020. (.......) önkormányzati rendelethez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06A3-D028-4367-B5B6-5235378652E2}">
  <sheetPr>
    <outlinePr summaryBelow="0"/>
  </sheetPr>
  <dimension ref="A1:H117"/>
  <sheetViews>
    <sheetView view="pageBreakPreview" zoomScale="90" zoomScaleNormal="80" zoomScaleSheetLayoutView="90" workbookViewId="0">
      <pane ySplit="3" topLeftCell="A4" activePane="bottomLeft" state="frozen"/>
      <selection pane="bottomLeft" activeCell="C52" sqref="C52"/>
    </sheetView>
  </sheetViews>
  <sheetFormatPr defaultColWidth="9.140625" defaultRowHeight="15.75" x14ac:dyDescent="0.25"/>
  <cols>
    <col min="1" max="1" width="9.140625" style="823"/>
    <col min="2" max="2" width="0" style="823" hidden="1" customWidth="1"/>
    <col min="3" max="3" width="63.7109375" style="813" customWidth="1"/>
    <col min="4" max="4" width="21.85546875" style="814" customWidth="1"/>
    <col min="5" max="5" width="60.85546875" style="806" hidden="1" customWidth="1"/>
    <col min="6" max="6" width="18.28515625" style="807" customWidth="1"/>
    <col min="7" max="7" width="9.140625" style="807"/>
    <col min="8" max="8" width="17.140625" style="807" customWidth="1"/>
    <col min="9" max="16384" width="9.140625" style="807"/>
  </cols>
  <sheetData>
    <row r="1" spans="1:6" s="788" customFormat="1" ht="21" x14ac:dyDescent="0.25">
      <c r="A1" s="1044" t="s">
        <v>1691</v>
      </c>
      <c r="B1" s="1044"/>
      <c r="C1" s="1044"/>
      <c r="D1" s="1044"/>
      <c r="E1" s="1045"/>
    </row>
    <row r="2" spans="1:6" s="792" customFormat="1" x14ac:dyDescent="0.25">
      <c r="A2" s="789"/>
      <c r="B2" s="789"/>
      <c r="C2" s="790"/>
      <c r="D2" s="791">
        <f>+D4+D25+D51+D65+D76+D92+D95+D111</f>
        <v>1351417.5</v>
      </c>
      <c r="E2" s="790"/>
    </row>
    <row r="3" spans="1:6" s="789" customFormat="1" x14ac:dyDescent="0.25">
      <c r="A3" s="793" t="s">
        <v>1532</v>
      </c>
      <c r="B3" s="1046" t="s">
        <v>1533</v>
      </c>
      <c r="C3" s="794" t="s">
        <v>306</v>
      </c>
      <c r="D3" s="795" t="s">
        <v>1534</v>
      </c>
      <c r="E3" s="794" t="s">
        <v>1535</v>
      </c>
      <c r="F3" s="793" t="s">
        <v>1536</v>
      </c>
    </row>
    <row r="4" spans="1:6" s="792" customFormat="1" collapsed="1" x14ac:dyDescent="0.25">
      <c r="A4" s="796" t="s">
        <v>309</v>
      </c>
      <c r="B4" s="1047"/>
      <c r="C4" s="797" t="s">
        <v>1144</v>
      </c>
      <c r="D4" s="798">
        <f>SUM(D5,D8,D11,D14,D16,D18,D19,D21,D22)</f>
        <v>176407.5</v>
      </c>
      <c r="E4" s="799"/>
      <c r="F4" s="800"/>
    </row>
    <row r="5" spans="1:6" s="792" customFormat="1" ht="18" customHeight="1" x14ac:dyDescent="0.25">
      <c r="A5" s="801">
        <v>1</v>
      </c>
      <c r="B5" s="801">
        <v>1901</v>
      </c>
      <c r="C5" s="802" t="s">
        <v>1537</v>
      </c>
      <c r="D5" s="803">
        <f>SUM(D6:D7)/1000</f>
        <v>51508</v>
      </c>
      <c r="E5" s="804"/>
      <c r="F5" s="805"/>
    </row>
    <row r="6" spans="1:6" ht="18" hidden="1" customHeight="1" x14ac:dyDescent="0.25">
      <c r="A6" s="801"/>
      <c r="B6" s="801"/>
      <c r="C6" s="802" t="s">
        <v>1538</v>
      </c>
      <c r="D6" s="803">
        <v>51000000</v>
      </c>
      <c r="E6" s="806" t="s">
        <v>1539</v>
      </c>
    </row>
    <row r="7" spans="1:6" ht="18" hidden="1" customHeight="1" x14ac:dyDescent="0.25">
      <c r="A7" s="801"/>
      <c r="B7" s="801"/>
      <c r="C7" s="802" t="s">
        <v>1540</v>
      </c>
      <c r="D7" s="803">
        <v>508000</v>
      </c>
    </row>
    <row r="8" spans="1:6" s="792" customFormat="1" ht="18" customHeight="1" x14ac:dyDescent="0.25">
      <c r="A8" s="801">
        <v>2</v>
      </c>
      <c r="B8" s="801">
        <v>1902</v>
      </c>
      <c r="C8" s="802" t="s">
        <v>1541</v>
      </c>
      <c r="D8" s="803">
        <f>SUM(D9:D10)/1000-23445</f>
        <v>11999.5</v>
      </c>
      <c r="E8" s="804"/>
      <c r="F8" s="805"/>
    </row>
    <row r="9" spans="1:6" ht="18" hidden="1" customHeight="1" x14ac:dyDescent="0.25">
      <c r="A9" s="801"/>
      <c r="B9" s="801"/>
      <c r="C9" s="802" t="s">
        <v>1542</v>
      </c>
      <c r="D9" s="803">
        <v>35000000</v>
      </c>
    </row>
    <row r="10" spans="1:6" ht="18" hidden="1" customHeight="1" x14ac:dyDescent="0.25">
      <c r="A10" s="801"/>
      <c r="B10" s="801"/>
      <c r="C10" s="802" t="s">
        <v>1540</v>
      </c>
      <c r="D10" s="803">
        <v>444500</v>
      </c>
    </row>
    <row r="11" spans="1:6" s="792" customFormat="1" ht="18" customHeight="1" x14ac:dyDescent="0.25">
      <c r="A11" s="801">
        <v>3</v>
      </c>
      <c r="B11" s="801">
        <v>1903</v>
      </c>
      <c r="C11" s="802" t="s">
        <v>1543</v>
      </c>
      <c r="D11" s="803">
        <f>SUM(D12:D13)/1000</f>
        <v>6000</v>
      </c>
      <c r="E11" s="804"/>
      <c r="F11" s="805"/>
    </row>
    <row r="12" spans="1:6" ht="18" hidden="1" customHeight="1" x14ac:dyDescent="0.25">
      <c r="A12" s="801"/>
      <c r="B12" s="801"/>
      <c r="C12" s="802" t="s">
        <v>1544</v>
      </c>
      <c r="D12" s="803">
        <v>4000000</v>
      </c>
      <c r="E12" s="806" t="s">
        <v>1545</v>
      </c>
    </row>
    <row r="13" spans="1:6" ht="18" hidden="1" customHeight="1" x14ac:dyDescent="0.25">
      <c r="A13" s="801"/>
      <c r="B13" s="801"/>
      <c r="C13" s="802" t="s">
        <v>1546</v>
      </c>
      <c r="D13" s="803">
        <v>2000000</v>
      </c>
      <c r="E13" s="806" t="s">
        <v>1547</v>
      </c>
    </row>
    <row r="14" spans="1:6" s="792" customFormat="1" ht="18" customHeight="1" x14ac:dyDescent="0.25">
      <c r="A14" s="801">
        <v>4</v>
      </c>
      <c r="B14" s="801">
        <v>1904</v>
      </c>
      <c r="C14" s="802" t="s">
        <v>1548</v>
      </c>
      <c r="D14" s="803">
        <f>SUM(D15)/1000</f>
        <v>1900</v>
      </c>
      <c r="E14" s="804"/>
      <c r="F14" s="805"/>
    </row>
    <row r="15" spans="1:6" ht="18" hidden="1" customHeight="1" x14ac:dyDescent="0.25">
      <c r="A15" s="801"/>
      <c r="B15" s="801"/>
      <c r="C15" s="802" t="s">
        <v>1549</v>
      </c>
      <c r="D15" s="803">
        <v>1900000</v>
      </c>
      <c r="E15" s="808" t="s">
        <v>1550</v>
      </c>
    </row>
    <row r="16" spans="1:6" s="792" customFormat="1" ht="18" hidden="1" customHeight="1" x14ac:dyDescent="0.25">
      <c r="A16" s="801">
        <v>5</v>
      </c>
      <c r="B16" s="801">
        <v>1905</v>
      </c>
      <c r="C16" s="802" t="s">
        <v>1551</v>
      </c>
      <c r="D16" s="803">
        <f>SUM(D17)/1000-40000</f>
        <v>0</v>
      </c>
      <c r="E16" s="809"/>
      <c r="F16" s="805"/>
    </row>
    <row r="17" spans="1:8" s="792" customFormat="1" ht="18" hidden="1" customHeight="1" x14ac:dyDescent="0.25">
      <c r="A17" s="801"/>
      <c r="B17" s="801"/>
      <c r="C17" s="802" t="s">
        <v>1549</v>
      </c>
      <c r="D17" s="803">
        <v>40000000</v>
      </c>
      <c r="E17" s="806" t="s">
        <v>1552</v>
      </c>
    </row>
    <row r="18" spans="1:8" s="792" customFormat="1" ht="18" hidden="1" customHeight="1" x14ac:dyDescent="0.25">
      <c r="A18" s="801">
        <v>6</v>
      </c>
      <c r="B18" s="801">
        <v>1906</v>
      </c>
      <c r="C18" s="802" t="s">
        <v>1678</v>
      </c>
      <c r="D18" s="803">
        <f>25000-25000</f>
        <v>0</v>
      </c>
      <c r="E18" s="806"/>
    </row>
    <row r="19" spans="1:8" s="812" customFormat="1" ht="18" customHeight="1" x14ac:dyDescent="0.25">
      <c r="A19" s="801">
        <v>5</v>
      </c>
      <c r="B19" s="801">
        <v>1907</v>
      </c>
      <c r="C19" s="802" t="s">
        <v>1553</v>
      </c>
      <c r="D19" s="803">
        <f>SUM(D20)/1000-35000</f>
        <v>45000</v>
      </c>
      <c r="E19" s="810" t="s">
        <v>1554</v>
      </c>
      <c r="F19" s="811"/>
    </row>
    <row r="20" spans="1:8" ht="18" hidden="1" customHeight="1" x14ac:dyDescent="0.25">
      <c r="A20" s="801"/>
      <c r="B20" s="801"/>
      <c r="C20" s="802" t="s">
        <v>1549</v>
      </c>
      <c r="D20" s="803">
        <v>80000000</v>
      </c>
      <c r="E20" s="813" t="s">
        <v>1555</v>
      </c>
    </row>
    <row r="21" spans="1:8" s="812" customFormat="1" ht="31.5" x14ac:dyDescent="0.25">
      <c r="A21" s="801">
        <v>6</v>
      </c>
      <c r="B21" s="801">
        <v>1908</v>
      </c>
      <c r="C21" s="802" t="s">
        <v>1556</v>
      </c>
      <c r="D21" s="803">
        <f>50000000/1000</f>
        <v>50000</v>
      </c>
      <c r="E21" s="810" t="s">
        <v>1554</v>
      </c>
      <c r="F21" s="811"/>
    </row>
    <row r="22" spans="1:8" s="812" customFormat="1" ht="18" customHeight="1" x14ac:dyDescent="0.25">
      <c r="A22" s="801">
        <v>7</v>
      </c>
      <c r="B22" s="801">
        <v>1909</v>
      </c>
      <c r="C22" s="802" t="s">
        <v>1557</v>
      </c>
      <c r="D22" s="803">
        <f>SUM(D23)/1000-15000</f>
        <v>10000</v>
      </c>
      <c r="E22" s="810" t="s">
        <v>1554</v>
      </c>
      <c r="F22" s="811"/>
    </row>
    <row r="23" spans="1:8" s="792" customFormat="1" ht="22.9" hidden="1" customHeight="1" x14ac:dyDescent="0.25">
      <c r="A23" s="789"/>
      <c r="B23" s="789"/>
      <c r="C23" s="813"/>
      <c r="D23" s="814">
        <v>25000000</v>
      </c>
      <c r="E23" s="815" t="s">
        <v>1558</v>
      </c>
    </row>
    <row r="24" spans="1:8" s="788" customFormat="1" hidden="1" x14ac:dyDescent="0.25">
      <c r="A24" s="816"/>
      <c r="B24" s="816"/>
      <c r="C24" s="817"/>
      <c r="D24" s="818"/>
      <c r="E24" s="819" t="s">
        <v>1559</v>
      </c>
    </row>
    <row r="25" spans="1:8" s="792" customFormat="1" ht="25.15" customHeight="1" x14ac:dyDescent="0.25">
      <c r="A25" s="796" t="s">
        <v>318</v>
      </c>
      <c r="B25" s="796"/>
      <c r="C25" s="797" t="s">
        <v>1693</v>
      </c>
      <c r="D25" s="798">
        <f>SUM(D26,D31,D33,D35,D37,D39,D41,D43,D45,D46,D47,D48,D49)</f>
        <v>420147</v>
      </c>
      <c r="E25" s="799"/>
      <c r="F25" s="800"/>
    </row>
    <row r="26" spans="1:8" s="792" customFormat="1" ht="18" hidden="1" customHeight="1" x14ac:dyDescent="0.25">
      <c r="A26" s="801">
        <v>1</v>
      </c>
      <c r="B26" s="801">
        <v>1910</v>
      </c>
      <c r="C26" s="802" t="s">
        <v>1560</v>
      </c>
      <c r="D26" s="803">
        <f>300000000/1000</f>
        <v>300000</v>
      </c>
      <c r="E26" s="804" t="s">
        <v>1561</v>
      </c>
      <c r="F26" s="805"/>
    </row>
    <row r="27" spans="1:8" ht="18" hidden="1" customHeight="1" x14ac:dyDescent="0.25">
      <c r="A27" s="801"/>
      <c r="B27" s="801"/>
      <c r="C27" s="802" t="s">
        <v>1549</v>
      </c>
      <c r="D27" s="803"/>
    </row>
    <row r="28" spans="1:8" ht="18" hidden="1" customHeight="1" x14ac:dyDescent="0.25">
      <c r="A28" s="801"/>
      <c r="B28" s="801"/>
      <c r="C28" s="802" t="s">
        <v>1562</v>
      </c>
      <c r="D28" s="803"/>
    </row>
    <row r="29" spans="1:8" ht="18" hidden="1" customHeight="1" x14ac:dyDescent="0.25">
      <c r="A29" s="801"/>
      <c r="B29" s="801"/>
      <c r="C29" s="802" t="s">
        <v>1540</v>
      </c>
      <c r="D29" s="803"/>
    </row>
    <row r="30" spans="1:8" ht="18" hidden="1" customHeight="1" x14ac:dyDescent="0.25">
      <c r="A30" s="801"/>
      <c r="B30" s="801"/>
      <c r="C30" s="802" t="s">
        <v>1563</v>
      </c>
      <c r="D30" s="803"/>
      <c r="F30" s="807">
        <v>12800000</v>
      </c>
    </row>
    <row r="31" spans="1:8" s="792" customFormat="1" ht="18" hidden="1" customHeight="1" x14ac:dyDescent="0.25">
      <c r="A31" s="801">
        <v>2</v>
      </c>
      <c r="B31" s="801">
        <v>1911</v>
      </c>
      <c r="C31" s="802" t="s">
        <v>1564</v>
      </c>
      <c r="D31" s="803">
        <f>SUM(D32)/1000</f>
        <v>20000</v>
      </c>
      <c r="E31" s="804"/>
      <c r="F31" s="805"/>
      <c r="H31" s="791">
        <f>SUM(D31,D33,D35,D37,D39,D41,D43,D45)</f>
        <v>61800</v>
      </c>
    </row>
    <row r="32" spans="1:8" s="820" customFormat="1" ht="18" hidden="1" customHeight="1" x14ac:dyDescent="0.25">
      <c r="A32" s="801"/>
      <c r="B32" s="801"/>
      <c r="C32" s="802" t="s">
        <v>1565</v>
      </c>
      <c r="D32" s="803">
        <v>20000000</v>
      </c>
      <c r="E32" s="815"/>
    </row>
    <row r="33" spans="1:6" s="792" customFormat="1" ht="18" hidden="1" customHeight="1" x14ac:dyDescent="0.25">
      <c r="A33" s="801">
        <v>3</v>
      </c>
      <c r="B33" s="801">
        <v>1912</v>
      </c>
      <c r="C33" s="802" t="s">
        <v>1566</v>
      </c>
      <c r="D33" s="803">
        <f>SUM(D34)/1000</f>
        <v>5000</v>
      </c>
      <c r="E33" s="804"/>
      <c r="F33" s="805"/>
    </row>
    <row r="34" spans="1:6" s="820" customFormat="1" ht="18" hidden="1" customHeight="1" x14ac:dyDescent="0.25">
      <c r="A34" s="801"/>
      <c r="B34" s="801"/>
      <c r="C34" s="802" t="s">
        <v>1567</v>
      </c>
      <c r="D34" s="803">
        <v>5000000</v>
      </c>
      <c r="E34" s="815"/>
    </row>
    <row r="35" spans="1:6" s="792" customFormat="1" ht="18" hidden="1" customHeight="1" x14ac:dyDescent="0.25">
      <c r="A35" s="801">
        <v>4</v>
      </c>
      <c r="B35" s="801">
        <v>1913</v>
      </c>
      <c r="C35" s="802" t="s">
        <v>1568</v>
      </c>
      <c r="D35" s="803">
        <f>SUM(D36)/1000</f>
        <v>5000</v>
      </c>
      <c r="E35" s="804"/>
      <c r="F35" s="805"/>
    </row>
    <row r="36" spans="1:6" s="822" customFormat="1" ht="18" hidden="1" customHeight="1" x14ac:dyDescent="0.25">
      <c r="A36" s="801"/>
      <c r="B36" s="801"/>
      <c r="C36" s="802" t="s">
        <v>1567</v>
      </c>
      <c r="D36" s="803">
        <v>5000000</v>
      </c>
      <c r="E36" s="821"/>
    </row>
    <row r="37" spans="1:6" s="792" customFormat="1" ht="18" hidden="1" customHeight="1" x14ac:dyDescent="0.25">
      <c r="A37" s="801">
        <v>5</v>
      </c>
      <c r="B37" s="801">
        <v>1914</v>
      </c>
      <c r="C37" s="802" t="s">
        <v>1569</v>
      </c>
      <c r="D37" s="803">
        <f>SUM(D38)/1000</f>
        <v>5000</v>
      </c>
      <c r="E37" s="804"/>
      <c r="F37" s="805"/>
    </row>
    <row r="38" spans="1:6" s="822" customFormat="1" ht="18" hidden="1" customHeight="1" x14ac:dyDescent="0.25">
      <c r="A38" s="801"/>
      <c r="B38" s="801"/>
      <c r="C38" s="802" t="s">
        <v>1567</v>
      </c>
      <c r="D38" s="803">
        <v>5000000</v>
      </c>
      <c r="E38" s="821"/>
    </row>
    <row r="39" spans="1:6" s="792" customFormat="1" ht="18" hidden="1" customHeight="1" x14ac:dyDescent="0.25">
      <c r="A39" s="801">
        <v>6</v>
      </c>
      <c r="B39" s="801">
        <v>1915</v>
      </c>
      <c r="C39" s="802" t="s">
        <v>1570</v>
      </c>
      <c r="D39" s="803">
        <f>SUM(D40)/1000</f>
        <v>5000</v>
      </c>
      <c r="E39" s="804"/>
      <c r="F39" s="805"/>
    </row>
    <row r="40" spans="1:6" s="822" customFormat="1" ht="18" hidden="1" customHeight="1" x14ac:dyDescent="0.25">
      <c r="A40" s="801"/>
      <c r="B40" s="801"/>
      <c r="C40" s="802" t="s">
        <v>1567</v>
      </c>
      <c r="D40" s="803">
        <v>5000000</v>
      </c>
      <c r="E40" s="821"/>
    </row>
    <row r="41" spans="1:6" ht="18" hidden="1" customHeight="1" x14ac:dyDescent="0.25">
      <c r="A41" s="801">
        <v>7</v>
      </c>
      <c r="B41" s="801">
        <v>1916</v>
      </c>
      <c r="C41" s="815" t="s">
        <v>1571</v>
      </c>
      <c r="D41" s="803">
        <f>SUM(D42:D42)/1000</f>
        <v>7200</v>
      </c>
      <c r="E41" s="804"/>
      <c r="F41" s="805"/>
    </row>
    <row r="42" spans="1:6" ht="18" hidden="1" customHeight="1" x14ac:dyDescent="0.25">
      <c r="A42" s="801"/>
      <c r="B42" s="801"/>
      <c r="C42" s="815" t="s">
        <v>1572</v>
      </c>
      <c r="D42" s="803">
        <v>7200000</v>
      </c>
      <c r="E42" s="806" t="s">
        <v>1573</v>
      </c>
    </row>
    <row r="43" spans="1:6" ht="18" hidden="1" customHeight="1" x14ac:dyDescent="0.25">
      <c r="A43" s="801">
        <v>8</v>
      </c>
      <c r="B43" s="801">
        <v>1917</v>
      </c>
      <c r="C43" s="815" t="s">
        <v>1574</v>
      </c>
      <c r="D43" s="803">
        <f>SUM(D44)/1000</f>
        <v>2000</v>
      </c>
      <c r="E43" s="804"/>
      <c r="F43" s="805"/>
    </row>
    <row r="44" spans="1:6" ht="18" hidden="1" customHeight="1" x14ac:dyDescent="0.25">
      <c r="A44" s="801"/>
      <c r="B44" s="801"/>
      <c r="C44" s="815" t="s">
        <v>1575</v>
      </c>
      <c r="D44" s="803">
        <v>2000000</v>
      </c>
      <c r="E44" s="806" t="s">
        <v>1576</v>
      </c>
    </row>
    <row r="45" spans="1:6" s="792" customFormat="1" ht="18" hidden="1" customHeight="1" x14ac:dyDescent="0.25">
      <c r="A45" s="801">
        <v>9</v>
      </c>
      <c r="B45" s="801">
        <v>1918</v>
      </c>
      <c r="C45" s="815" t="s">
        <v>1577</v>
      </c>
      <c r="D45" s="803">
        <v>12600</v>
      </c>
      <c r="E45" s="804"/>
      <c r="F45" s="805"/>
    </row>
    <row r="46" spans="1:6" hidden="1" x14ac:dyDescent="0.25">
      <c r="A46" s="823">
        <v>10</v>
      </c>
      <c r="B46" s="823">
        <v>1919</v>
      </c>
      <c r="C46" s="806" t="s">
        <v>1679</v>
      </c>
      <c r="D46" s="814">
        <v>20000</v>
      </c>
      <c r="E46" s="824" t="s">
        <v>1578</v>
      </c>
    </row>
    <row r="47" spans="1:6" s="825" customFormat="1" hidden="1" x14ac:dyDescent="0.25">
      <c r="A47" s="823">
        <v>11</v>
      </c>
      <c r="B47" s="823">
        <v>1920</v>
      </c>
      <c r="C47" s="806" t="s">
        <v>1680</v>
      </c>
      <c r="D47" s="814">
        <v>18347</v>
      </c>
      <c r="E47" s="824"/>
    </row>
    <row r="48" spans="1:6" s="825" customFormat="1" hidden="1" x14ac:dyDescent="0.25">
      <c r="A48" s="823">
        <v>12</v>
      </c>
      <c r="B48" s="823">
        <v>1921</v>
      </c>
      <c r="C48" s="806" t="s">
        <v>1681</v>
      </c>
      <c r="D48" s="814">
        <v>10000</v>
      </c>
      <c r="E48" s="824" t="s">
        <v>1579</v>
      </c>
    </row>
    <row r="49" spans="1:6" s="825" customFormat="1" hidden="1" x14ac:dyDescent="0.25">
      <c r="A49" s="823">
        <v>13</v>
      </c>
      <c r="B49" s="823">
        <v>1922</v>
      </c>
      <c r="C49" s="806" t="s">
        <v>1682</v>
      </c>
      <c r="D49" s="814">
        <v>10000</v>
      </c>
      <c r="E49" s="824"/>
    </row>
    <row r="50" spans="1:6" s="825" customFormat="1" x14ac:dyDescent="0.25">
      <c r="A50" s="823"/>
      <c r="B50" s="823"/>
      <c r="C50" s="806"/>
      <c r="D50" s="814"/>
      <c r="E50" s="824"/>
    </row>
    <row r="51" spans="1:6" s="792" customFormat="1" ht="28.5" customHeight="1" x14ac:dyDescent="0.25">
      <c r="A51" s="796" t="s">
        <v>328</v>
      </c>
      <c r="B51" s="796"/>
      <c r="C51" s="797" t="s">
        <v>1580</v>
      </c>
      <c r="D51" s="798">
        <f>SUM(D52,D57,D60,D63,D64)</f>
        <v>304128</v>
      </c>
      <c r="E51" s="799"/>
      <c r="F51" s="800"/>
    </row>
    <row r="52" spans="1:6" s="792" customFormat="1" ht="18" customHeight="1" x14ac:dyDescent="0.25">
      <c r="A52" s="801">
        <v>1</v>
      </c>
      <c r="B52" s="801">
        <v>1923</v>
      </c>
      <c r="C52" s="802" t="s">
        <v>1581</v>
      </c>
      <c r="D52" s="803">
        <f>SUM(D53:D56)/1000</f>
        <v>199000</v>
      </c>
      <c r="E52" s="826"/>
      <c r="F52" s="805"/>
    </row>
    <row r="53" spans="1:6" ht="18" hidden="1" customHeight="1" x14ac:dyDescent="0.25">
      <c r="A53" s="801"/>
      <c r="B53" s="801"/>
      <c r="C53" s="802" t="s">
        <v>1549</v>
      </c>
      <c r="D53" s="803">
        <v>150000000</v>
      </c>
    </row>
    <row r="54" spans="1:6" ht="18" hidden="1" customHeight="1" x14ac:dyDescent="0.25">
      <c r="A54" s="801"/>
      <c r="B54" s="801"/>
      <c r="C54" s="802" t="s">
        <v>1562</v>
      </c>
      <c r="D54" s="803">
        <v>1500000</v>
      </c>
    </row>
    <row r="55" spans="1:6" ht="18" hidden="1" customHeight="1" x14ac:dyDescent="0.25">
      <c r="A55" s="801"/>
      <c r="B55" s="801"/>
      <c r="C55" s="802" t="s">
        <v>1582</v>
      </c>
      <c r="D55" s="803">
        <v>1500000</v>
      </c>
    </row>
    <row r="56" spans="1:6" ht="18" hidden="1" customHeight="1" x14ac:dyDescent="0.25">
      <c r="A56" s="801"/>
      <c r="B56" s="801"/>
      <c r="C56" s="802" t="s">
        <v>1583</v>
      </c>
      <c r="D56" s="803">
        <v>46000000</v>
      </c>
      <c r="E56" s="806" t="s">
        <v>1584</v>
      </c>
    </row>
    <row r="57" spans="1:6" ht="18" customHeight="1" x14ac:dyDescent="0.25">
      <c r="A57" s="801">
        <v>2</v>
      </c>
      <c r="B57" s="801">
        <v>1924</v>
      </c>
      <c r="C57" s="802" t="s">
        <v>1585</v>
      </c>
      <c r="D57" s="803">
        <f>SUM(D58:D59)/1000</f>
        <v>15000</v>
      </c>
      <c r="E57" s="827"/>
      <c r="F57" s="828"/>
    </row>
    <row r="58" spans="1:6" ht="18" hidden="1" customHeight="1" x14ac:dyDescent="0.25">
      <c r="A58" s="801"/>
      <c r="B58" s="801"/>
      <c r="C58" s="802" t="s">
        <v>1586</v>
      </c>
      <c r="D58" s="803">
        <v>7742000</v>
      </c>
      <c r="E58" s="806" t="s">
        <v>1587</v>
      </c>
    </row>
    <row r="59" spans="1:6" ht="18" hidden="1" customHeight="1" x14ac:dyDescent="0.25">
      <c r="A59" s="801"/>
      <c r="B59" s="801"/>
      <c r="C59" s="802" t="s">
        <v>1588</v>
      </c>
      <c r="D59" s="803">
        <v>7258000</v>
      </c>
      <c r="E59" s="806" t="s">
        <v>1589</v>
      </c>
    </row>
    <row r="60" spans="1:6" s="792" customFormat="1" ht="18" customHeight="1" x14ac:dyDescent="0.25">
      <c r="A60" s="801">
        <v>3</v>
      </c>
      <c r="B60" s="801">
        <v>1925</v>
      </c>
      <c r="C60" s="802" t="s">
        <v>1590</v>
      </c>
      <c r="D60" s="803">
        <f>SUM(D61:D62)/1000</f>
        <v>6600</v>
      </c>
      <c r="E60" s="804"/>
      <c r="F60" s="805"/>
    </row>
    <row r="61" spans="1:6" ht="18" hidden="1" customHeight="1" x14ac:dyDescent="0.25">
      <c r="A61" s="801"/>
      <c r="B61" s="801"/>
      <c r="C61" s="802" t="s">
        <v>1591</v>
      </c>
      <c r="D61" s="803">
        <v>1600000</v>
      </c>
    </row>
    <row r="62" spans="1:6" ht="18" hidden="1" customHeight="1" x14ac:dyDescent="0.25">
      <c r="A62" s="801"/>
      <c r="B62" s="801"/>
      <c r="C62" s="802" t="s">
        <v>1592</v>
      </c>
      <c r="D62" s="803">
        <v>5000000</v>
      </c>
    </row>
    <row r="63" spans="1:6" s="792" customFormat="1" ht="18" customHeight="1" x14ac:dyDescent="0.25">
      <c r="A63" s="801">
        <v>4</v>
      </c>
      <c r="B63" s="801">
        <v>1926</v>
      </c>
      <c r="C63" s="802" t="s">
        <v>1593</v>
      </c>
      <c r="D63" s="803">
        <v>33528</v>
      </c>
      <c r="E63" s="804"/>
      <c r="F63" s="805"/>
    </row>
    <row r="64" spans="1:6" x14ac:dyDescent="0.25">
      <c r="A64" s="823">
        <v>5</v>
      </c>
      <c r="B64" s="823">
        <v>1927</v>
      </c>
      <c r="C64" s="807" t="s">
        <v>1683</v>
      </c>
      <c r="D64" s="814">
        <v>50000</v>
      </c>
      <c r="E64" s="813" t="s">
        <v>1594</v>
      </c>
    </row>
    <row r="65" spans="1:6" s="792" customFormat="1" x14ac:dyDescent="0.25">
      <c r="A65" s="796" t="s">
        <v>1136</v>
      </c>
      <c r="B65" s="796"/>
      <c r="C65" s="797" t="s">
        <v>1146</v>
      </c>
      <c r="D65" s="798">
        <f>SUM(D66,D68,D70,D72,D74)</f>
        <v>69745</v>
      </c>
      <c r="E65" s="799"/>
      <c r="F65" s="800"/>
    </row>
    <row r="66" spans="1:6" s="792" customFormat="1" ht="18" customHeight="1" x14ac:dyDescent="0.25">
      <c r="A66" s="801">
        <v>1</v>
      </c>
      <c r="B66" s="801">
        <v>1928</v>
      </c>
      <c r="C66" s="802" t="s">
        <v>1595</v>
      </c>
      <c r="D66" s="803">
        <f>6500000/1000</f>
        <v>6500</v>
      </c>
      <c r="E66" s="804"/>
      <c r="F66" s="805"/>
    </row>
    <row r="67" spans="1:6" ht="18" hidden="1" customHeight="1" x14ac:dyDescent="0.25">
      <c r="A67" s="801"/>
      <c r="B67" s="801"/>
      <c r="C67" s="802" t="s">
        <v>1549</v>
      </c>
      <c r="D67" s="803"/>
      <c r="E67" s="806" t="s">
        <v>1596</v>
      </c>
    </row>
    <row r="68" spans="1:6" s="792" customFormat="1" ht="18" customHeight="1" x14ac:dyDescent="0.25">
      <c r="A68" s="801">
        <v>2</v>
      </c>
      <c r="B68" s="801">
        <v>1929</v>
      </c>
      <c r="C68" s="802" t="s">
        <v>1597</v>
      </c>
      <c r="D68" s="803">
        <f>SUM(D69)/1000</f>
        <v>3500</v>
      </c>
      <c r="E68" s="804"/>
      <c r="F68" s="805"/>
    </row>
    <row r="69" spans="1:6" ht="18" hidden="1" customHeight="1" x14ac:dyDescent="0.25">
      <c r="A69" s="801"/>
      <c r="B69" s="801"/>
      <c r="C69" s="802" t="s">
        <v>1549</v>
      </c>
      <c r="D69" s="803">
        <v>3500000</v>
      </c>
      <c r="E69" s="815" t="s">
        <v>1545</v>
      </c>
    </row>
    <row r="70" spans="1:6" ht="18" customHeight="1" x14ac:dyDescent="0.25">
      <c r="A70" s="801">
        <v>3</v>
      </c>
      <c r="B70" s="801">
        <v>1930</v>
      </c>
      <c r="C70" s="802" t="s">
        <v>1598</v>
      </c>
      <c r="D70" s="803">
        <f>SUM(D71)/1000</f>
        <v>13000</v>
      </c>
      <c r="E70" s="804"/>
      <c r="F70" s="805"/>
    </row>
    <row r="71" spans="1:6" ht="18" hidden="1" customHeight="1" x14ac:dyDescent="0.25">
      <c r="A71" s="801"/>
      <c r="B71" s="801"/>
      <c r="C71" s="802" t="s">
        <v>1549</v>
      </c>
      <c r="D71" s="803">
        <v>13000000</v>
      </c>
      <c r="E71" s="815" t="s">
        <v>1599</v>
      </c>
    </row>
    <row r="72" spans="1:6" ht="18" customHeight="1" x14ac:dyDescent="0.25">
      <c r="A72" s="801">
        <v>4</v>
      </c>
      <c r="B72" s="801">
        <v>1931</v>
      </c>
      <c r="C72" s="802" t="s">
        <v>1600</v>
      </c>
      <c r="D72" s="803">
        <v>18300</v>
      </c>
      <c r="E72" s="829" t="s">
        <v>1601</v>
      </c>
      <c r="F72" s="805"/>
    </row>
    <row r="73" spans="1:6" ht="18" hidden="1" customHeight="1" x14ac:dyDescent="0.25">
      <c r="A73" s="801"/>
      <c r="B73" s="801"/>
      <c r="C73" s="802" t="s">
        <v>1549</v>
      </c>
      <c r="D73" s="803">
        <v>8000000</v>
      </c>
      <c r="E73" s="815" t="s">
        <v>1602</v>
      </c>
    </row>
    <row r="74" spans="1:6" ht="18" customHeight="1" x14ac:dyDescent="0.25">
      <c r="A74" s="801">
        <v>5</v>
      </c>
      <c r="B74" s="801">
        <v>1932</v>
      </c>
      <c r="C74" s="802" t="s">
        <v>1684</v>
      </c>
      <c r="D74" s="803">
        <v>28445</v>
      </c>
      <c r="E74" s="804"/>
      <c r="F74" s="805"/>
    </row>
    <row r="75" spans="1:6" hidden="1" x14ac:dyDescent="0.25">
      <c r="D75" s="814">
        <v>9500000</v>
      </c>
      <c r="E75" s="815" t="s">
        <v>1603</v>
      </c>
    </row>
    <row r="76" spans="1:6" s="792" customFormat="1" x14ac:dyDescent="0.25">
      <c r="A76" s="796" t="s">
        <v>1183</v>
      </c>
      <c r="B76" s="796"/>
      <c r="C76" s="797" t="s">
        <v>1604</v>
      </c>
      <c r="D76" s="798">
        <f>SUM(D77,D79,D81,D82,D84,D86,D88,D89,D90)</f>
        <v>155900</v>
      </c>
      <c r="E76" s="799"/>
      <c r="F76" s="800"/>
    </row>
    <row r="77" spans="1:6" s="792" customFormat="1" ht="18" customHeight="1" x14ac:dyDescent="0.25">
      <c r="A77" s="801">
        <v>1</v>
      </c>
      <c r="B77" s="801">
        <v>1933</v>
      </c>
      <c r="C77" s="802" t="s">
        <v>1605</v>
      </c>
      <c r="D77" s="803">
        <f>SUM(D78)/1000</f>
        <v>9000</v>
      </c>
      <c r="E77" s="804"/>
      <c r="F77" s="805"/>
    </row>
    <row r="78" spans="1:6" s="820" customFormat="1" hidden="1" x14ac:dyDescent="0.25">
      <c r="A78" s="801"/>
      <c r="B78" s="801"/>
      <c r="C78" s="802" t="s">
        <v>1606</v>
      </c>
      <c r="D78" s="803">
        <v>9000000</v>
      </c>
      <c r="E78" s="815"/>
    </row>
    <row r="79" spans="1:6" s="820" customFormat="1" ht="18" customHeight="1" x14ac:dyDescent="0.25">
      <c r="A79" s="801">
        <v>2</v>
      </c>
      <c r="B79" s="801">
        <v>1934</v>
      </c>
      <c r="C79" s="802" t="s">
        <v>1607</v>
      </c>
      <c r="D79" s="803">
        <f>SUM(D80)/1000</f>
        <v>12000</v>
      </c>
      <c r="E79" s="804"/>
      <c r="F79" s="805"/>
    </row>
    <row r="80" spans="1:6" s="820" customFormat="1" hidden="1" x14ac:dyDescent="0.25">
      <c r="A80" s="801"/>
      <c r="B80" s="801"/>
      <c r="C80" s="802" t="s">
        <v>1549</v>
      </c>
      <c r="D80" s="803">
        <v>12000000</v>
      </c>
      <c r="E80" s="815" t="s">
        <v>1608</v>
      </c>
    </row>
    <row r="81" spans="1:6" s="822" customFormat="1" ht="18" customHeight="1" x14ac:dyDescent="0.25">
      <c r="A81" s="801">
        <v>3</v>
      </c>
      <c r="B81" s="801">
        <v>1935</v>
      </c>
      <c r="C81" s="802" t="s">
        <v>1609</v>
      </c>
      <c r="D81" s="803">
        <v>2500</v>
      </c>
      <c r="E81" s="804"/>
      <c r="F81" s="805"/>
    </row>
    <row r="82" spans="1:6" s="822" customFormat="1" ht="18" customHeight="1" x14ac:dyDescent="0.25">
      <c r="A82" s="801">
        <v>4</v>
      </c>
      <c r="B82" s="801">
        <v>1936</v>
      </c>
      <c r="C82" s="802" t="s">
        <v>1610</v>
      </c>
      <c r="D82" s="803">
        <v>3500</v>
      </c>
      <c r="E82" s="804"/>
      <c r="F82" s="805"/>
    </row>
    <row r="83" spans="1:6" s="820" customFormat="1" hidden="1" x14ac:dyDescent="0.25">
      <c r="A83" s="801"/>
      <c r="B83" s="801"/>
      <c r="C83" s="802" t="s">
        <v>1538</v>
      </c>
      <c r="D83" s="803"/>
      <c r="E83" s="806"/>
    </row>
    <row r="84" spans="1:6" s="822" customFormat="1" ht="18" customHeight="1" x14ac:dyDescent="0.25">
      <c r="A84" s="801">
        <v>5</v>
      </c>
      <c r="B84" s="801">
        <v>1937</v>
      </c>
      <c r="C84" s="802" t="s">
        <v>1611</v>
      </c>
      <c r="D84" s="803">
        <f>SUM(D85)/1000</f>
        <v>900</v>
      </c>
      <c r="E84" s="804"/>
      <c r="F84" s="805"/>
    </row>
    <row r="85" spans="1:6" s="820" customFormat="1" hidden="1" x14ac:dyDescent="0.25">
      <c r="A85" s="801"/>
      <c r="B85" s="801"/>
      <c r="C85" s="802" t="s">
        <v>1549</v>
      </c>
      <c r="D85" s="803">
        <v>900000</v>
      </c>
      <c r="E85" s="806" t="s">
        <v>1612</v>
      </c>
    </row>
    <row r="86" spans="1:6" s="822" customFormat="1" ht="18" customHeight="1" x14ac:dyDescent="0.25">
      <c r="A86" s="801">
        <v>6</v>
      </c>
      <c r="B86" s="801">
        <v>1938</v>
      </c>
      <c r="C86" s="802" t="s">
        <v>1613</v>
      </c>
      <c r="D86" s="803">
        <v>14000</v>
      </c>
      <c r="E86" s="804"/>
      <c r="F86" s="805"/>
    </row>
    <row r="87" spans="1:6" s="820" customFormat="1" ht="31.5" hidden="1" x14ac:dyDescent="0.25">
      <c r="A87" s="801"/>
      <c r="B87" s="801"/>
      <c r="C87" s="802" t="s">
        <v>1549</v>
      </c>
      <c r="D87" s="803"/>
      <c r="E87" s="806" t="s">
        <v>1614</v>
      </c>
    </row>
    <row r="88" spans="1:6" s="820" customFormat="1" ht="18" customHeight="1" x14ac:dyDescent="0.25">
      <c r="A88" s="801">
        <v>7</v>
      </c>
      <c r="B88" s="801">
        <v>1939</v>
      </c>
      <c r="C88" s="802" t="s">
        <v>1615</v>
      </c>
      <c r="D88" s="803">
        <v>9000</v>
      </c>
      <c r="E88" s="804"/>
      <c r="F88" s="805"/>
    </row>
    <row r="89" spans="1:6" s="820" customFormat="1" ht="18" customHeight="1" x14ac:dyDescent="0.25">
      <c r="A89" s="801">
        <v>8</v>
      </c>
      <c r="B89" s="801">
        <v>1940</v>
      </c>
      <c r="C89" s="802" t="s">
        <v>1685</v>
      </c>
      <c r="D89" s="803">
        <v>100000</v>
      </c>
      <c r="E89" s="804"/>
      <c r="F89" s="805"/>
    </row>
    <row r="90" spans="1:6" s="820" customFormat="1" ht="18" customHeight="1" x14ac:dyDescent="0.25">
      <c r="A90" s="801">
        <v>9</v>
      </c>
      <c r="B90" s="801">
        <v>1941</v>
      </c>
      <c r="C90" s="802" t="s">
        <v>1686</v>
      </c>
      <c r="D90" s="803">
        <v>5000</v>
      </c>
      <c r="E90" s="804"/>
      <c r="F90" s="805"/>
    </row>
    <row r="91" spans="1:6" s="820" customFormat="1" hidden="1" x14ac:dyDescent="0.25">
      <c r="A91" s="801"/>
      <c r="B91" s="801"/>
      <c r="C91" s="802"/>
      <c r="D91" s="803"/>
      <c r="E91" s="806"/>
    </row>
    <row r="92" spans="1:6" s="792" customFormat="1" x14ac:dyDescent="0.25">
      <c r="A92" s="796" t="s">
        <v>1184</v>
      </c>
      <c r="B92" s="796"/>
      <c r="C92" s="797" t="s">
        <v>1616</v>
      </c>
      <c r="D92" s="798">
        <f>SUM(D93:D94)</f>
        <v>113090</v>
      </c>
      <c r="E92" s="799"/>
      <c r="F92" s="800"/>
    </row>
    <row r="93" spans="1:6" s="792" customFormat="1" x14ac:dyDescent="0.25">
      <c r="A93" s="830"/>
      <c r="B93" s="830"/>
      <c r="C93" s="802" t="s">
        <v>1000</v>
      </c>
      <c r="D93" s="803">
        <f>+'2E VÉA'!F30</f>
        <v>88980</v>
      </c>
      <c r="E93" s="799"/>
      <c r="F93" s="800"/>
    </row>
    <row r="94" spans="1:6" s="822" customFormat="1" x14ac:dyDescent="0.25">
      <c r="A94" s="830"/>
      <c r="B94" s="830"/>
      <c r="C94" s="802" t="s">
        <v>1692</v>
      </c>
      <c r="D94" s="803">
        <v>24110</v>
      </c>
      <c r="E94" s="821"/>
    </row>
    <row r="95" spans="1:6" ht="25.15" customHeight="1" x14ac:dyDescent="0.25">
      <c r="A95" s="796" t="s">
        <v>1617</v>
      </c>
      <c r="B95" s="796"/>
      <c r="C95" s="797" t="s">
        <v>1618</v>
      </c>
      <c r="D95" s="798">
        <f>SUM(D96,D99,D101,D107,D109)</f>
        <v>35000</v>
      </c>
      <c r="E95" s="799"/>
      <c r="F95" s="800"/>
    </row>
    <row r="96" spans="1:6" ht="18" customHeight="1" x14ac:dyDescent="0.25">
      <c r="A96" s="801">
        <v>1</v>
      </c>
      <c r="B96" s="801">
        <v>1942</v>
      </c>
      <c r="C96" s="802" t="s">
        <v>1619</v>
      </c>
      <c r="D96" s="803">
        <f>SUM(D97:D98)/1000</f>
        <v>4000</v>
      </c>
      <c r="E96" s="804"/>
      <c r="F96" s="805"/>
    </row>
    <row r="97" spans="1:6" ht="110.25" hidden="1" x14ac:dyDescent="0.25">
      <c r="A97" s="801"/>
      <c r="B97" s="801"/>
      <c r="C97" s="802" t="s">
        <v>1620</v>
      </c>
      <c r="D97" s="803">
        <v>2000000</v>
      </c>
      <c r="E97" s="806" t="s">
        <v>1621</v>
      </c>
    </row>
    <row r="98" spans="1:6" ht="141.75" hidden="1" x14ac:dyDescent="0.25">
      <c r="A98" s="801"/>
      <c r="B98" s="801"/>
      <c r="C98" s="802" t="s">
        <v>1622</v>
      </c>
      <c r="D98" s="803">
        <v>2000000</v>
      </c>
      <c r="E98" s="831" t="s">
        <v>1623</v>
      </c>
    </row>
    <row r="99" spans="1:6" s="792" customFormat="1" ht="18" customHeight="1" x14ac:dyDescent="0.25">
      <c r="A99" s="801">
        <v>2</v>
      </c>
      <c r="B99" s="801">
        <v>1943</v>
      </c>
      <c r="C99" s="802" t="s">
        <v>1624</v>
      </c>
      <c r="D99" s="803">
        <f>SUM(D100)/1000</f>
        <v>1500</v>
      </c>
      <c r="E99" s="804"/>
      <c r="F99" s="805"/>
    </row>
    <row r="100" spans="1:6" s="822" customFormat="1" ht="63" hidden="1" x14ac:dyDescent="0.25">
      <c r="A100" s="801"/>
      <c r="B100" s="801"/>
      <c r="C100" s="802" t="s">
        <v>1625</v>
      </c>
      <c r="D100" s="803">
        <v>1500000</v>
      </c>
      <c r="E100" s="806" t="s">
        <v>1626</v>
      </c>
    </row>
    <row r="101" spans="1:6" s="822" customFormat="1" ht="18" customHeight="1" x14ac:dyDescent="0.25">
      <c r="A101" s="801">
        <v>3</v>
      </c>
      <c r="B101" s="801">
        <v>1944</v>
      </c>
      <c r="C101" s="832" t="s">
        <v>1627</v>
      </c>
      <c r="D101" s="803">
        <v>25000</v>
      </c>
      <c r="E101" s="827"/>
      <c r="F101" s="805"/>
    </row>
    <row r="102" spans="1:6" s="822" customFormat="1" ht="31.5" hidden="1" x14ac:dyDescent="0.25">
      <c r="A102" s="801"/>
      <c r="B102" s="801"/>
      <c r="C102" s="802" t="s">
        <v>1628</v>
      </c>
      <c r="D102" s="803">
        <v>3000000</v>
      </c>
      <c r="E102" s="806" t="s">
        <v>1629</v>
      </c>
    </row>
    <row r="103" spans="1:6" s="822" customFormat="1" ht="47.25" hidden="1" x14ac:dyDescent="0.25">
      <c r="A103" s="801"/>
      <c r="B103" s="801"/>
      <c r="C103" s="802" t="s">
        <v>1630</v>
      </c>
      <c r="D103" s="803">
        <v>3000000</v>
      </c>
      <c r="E103" s="806" t="s">
        <v>1631</v>
      </c>
    </row>
    <row r="104" spans="1:6" s="822" customFormat="1" ht="157.5" hidden="1" x14ac:dyDescent="0.25">
      <c r="A104" s="801"/>
      <c r="B104" s="801"/>
      <c r="C104" s="802" t="s">
        <v>1632</v>
      </c>
      <c r="D104" s="803">
        <v>5000000</v>
      </c>
      <c r="E104" s="806" t="s">
        <v>1633</v>
      </c>
    </row>
    <row r="105" spans="1:6" s="822" customFormat="1" ht="31.5" hidden="1" x14ac:dyDescent="0.25">
      <c r="A105" s="801"/>
      <c r="B105" s="801"/>
      <c r="C105" s="802" t="s">
        <v>1634</v>
      </c>
      <c r="D105" s="803">
        <v>1000000</v>
      </c>
      <c r="E105" s="806" t="s">
        <v>1635</v>
      </c>
    </row>
    <row r="106" spans="1:6" s="822" customFormat="1" ht="252" hidden="1" x14ac:dyDescent="0.25">
      <c r="A106" s="801"/>
      <c r="B106" s="801"/>
      <c r="C106" s="802" t="s">
        <v>1636</v>
      </c>
      <c r="D106" s="803">
        <v>3000000</v>
      </c>
      <c r="E106" s="833" t="s">
        <v>1637</v>
      </c>
    </row>
    <row r="107" spans="1:6" s="822" customFormat="1" ht="18" customHeight="1" x14ac:dyDescent="0.25">
      <c r="A107" s="801">
        <v>4</v>
      </c>
      <c r="B107" s="801">
        <v>1945</v>
      </c>
      <c r="C107" s="832" t="s">
        <v>1638</v>
      </c>
      <c r="D107" s="803">
        <f>SUM(D108)/1000</f>
        <v>3500</v>
      </c>
      <c r="E107" s="834"/>
      <c r="F107" s="805"/>
    </row>
    <row r="108" spans="1:6" s="822" customFormat="1" ht="47.25" hidden="1" x14ac:dyDescent="0.25">
      <c r="A108" s="801"/>
      <c r="B108" s="801"/>
      <c r="C108" s="802" t="s">
        <v>1639</v>
      </c>
      <c r="D108" s="803">
        <v>3500000</v>
      </c>
      <c r="E108" s="806" t="s">
        <v>1640</v>
      </c>
    </row>
    <row r="109" spans="1:6" s="822" customFormat="1" ht="18" customHeight="1" x14ac:dyDescent="0.25">
      <c r="A109" s="801">
        <v>5</v>
      </c>
      <c r="B109" s="801">
        <v>1946</v>
      </c>
      <c r="C109" s="832" t="s">
        <v>1641</v>
      </c>
      <c r="D109" s="803">
        <v>1000</v>
      </c>
      <c r="E109" s="834"/>
      <c r="F109" s="805"/>
    </row>
    <row r="110" spans="1:6" s="822" customFormat="1" x14ac:dyDescent="0.25">
      <c r="A110" s="801"/>
      <c r="B110" s="801"/>
      <c r="C110" s="813"/>
      <c r="D110" s="803"/>
      <c r="E110" s="806"/>
    </row>
    <row r="111" spans="1:6" s="822" customFormat="1" x14ac:dyDescent="0.25">
      <c r="A111" s="796" t="s">
        <v>1642</v>
      </c>
      <c r="B111" s="796"/>
      <c r="C111" s="797" t="s">
        <v>1643</v>
      </c>
      <c r="D111" s="798">
        <f>SUM(D112:D117)</f>
        <v>77000</v>
      </c>
      <c r="E111" s="799"/>
      <c r="F111" s="800"/>
    </row>
    <row r="112" spans="1:6" s="822" customFormat="1" ht="18" customHeight="1" x14ac:dyDescent="0.25">
      <c r="A112" s="830"/>
      <c r="B112" s="801">
        <v>1947</v>
      </c>
      <c r="C112" s="813" t="s">
        <v>1644</v>
      </c>
      <c r="D112" s="803">
        <f>40000000/1000</f>
        <v>40000</v>
      </c>
      <c r="E112" s="806" t="s">
        <v>1645</v>
      </c>
    </row>
    <row r="113" spans="1:5" s="822" customFormat="1" ht="18" customHeight="1" x14ac:dyDescent="0.25">
      <c r="A113" s="830"/>
      <c r="B113" s="801">
        <v>1948</v>
      </c>
      <c r="C113" s="813" t="s">
        <v>1646</v>
      </c>
      <c r="D113" s="803">
        <f>15000000/1000</f>
        <v>15000</v>
      </c>
      <c r="E113" s="833" t="s">
        <v>1647</v>
      </c>
    </row>
    <row r="114" spans="1:5" s="822" customFormat="1" ht="18" customHeight="1" x14ac:dyDescent="0.25">
      <c r="A114" s="830"/>
      <c r="B114" s="801">
        <v>1949</v>
      </c>
      <c r="C114" s="813" t="s">
        <v>1648</v>
      </c>
      <c r="D114" s="803">
        <f>5000000/1000</f>
        <v>5000</v>
      </c>
      <c r="E114" s="833" t="s">
        <v>1649</v>
      </c>
    </row>
    <row r="115" spans="1:5" s="822" customFormat="1" ht="18" customHeight="1" x14ac:dyDescent="0.25">
      <c r="A115" s="830"/>
      <c r="B115" s="801">
        <v>1950</v>
      </c>
      <c r="C115" s="813" t="s">
        <v>1650</v>
      </c>
      <c r="D115" s="803">
        <f>10000000/1000</f>
        <v>10000</v>
      </c>
      <c r="E115" s="806" t="s">
        <v>1651</v>
      </c>
    </row>
    <row r="116" spans="1:5" s="822" customFormat="1" ht="18" customHeight="1" x14ac:dyDescent="0.25">
      <c r="A116" s="830"/>
      <c r="B116" s="801">
        <v>1951</v>
      </c>
      <c r="C116" s="813" t="s">
        <v>1652</v>
      </c>
      <c r="D116" s="803">
        <f>5000000/1000</f>
        <v>5000</v>
      </c>
      <c r="E116" s="806" t="s">
        <v>1653</v>
      </c>
    </row>
    <row r="117" spans="1:5" s="822" customFormat="1" ht="18" customHeight="1" x14ac:dyDescent="0.25">
      <c r="A117" s="830"/>
      <c r="B117" s="801">
        <v>1952</v>
      </c>
      <c r="C117" s="813" t="s">
        <v>1654</v>
      </c>
      <c r="D117" s="803">
        <f>2000000/1000</f>
        <v>2000</v>
      </c>
      <c r="E117" s="806"/>
    </row>
  </sheetData>
  <mergeCells count="2">
    <mergeCell ref="A1:E1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headerFooter>
    <oddHeader>&amp;L7.  melléklet a ...../2019. (.......) önkormányzati rendelethez</oddHeader>
  </headerFooter>
  <colBreaks count="1" manualBreakCount="1">
    <brk id="6" max="298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32"/>
  <sheetViews>
    <sheetView view="pageBreakPreview" zoomScale="75" zoomScaleNormal="100" zoomScaleSheetLayoutView="75" workbookViewId="0">
      <selection sqref="A1:C1"/>
    </sheetView>
  </sheetViews>
  <sheetFormatPr defaultRowHeight="15" x14ac:dyDescent="0.25"/>
  <cols>
    <col min="2" max="2" width="55.140625" style="283" customWidth="1"/>
    <col min="3" max="3" width="18.28515625" customWidth="1"/>
    <col min="9" max="9" width="10" bestFit="1" customWidth="1"/>
    <col min="11" max="11" width="14.28515625" customWidth="1"/>
    <col min="12" max="12" width="14.7109375" bestFit="1" customWidth="1"/>
    <col min="13" max="13" width="14.7109375" customWidth="1"/>
    <col min="14" max="14" width="18.140625" customWidth="1"/>
  </cols>
  <sheetData>
    <row r="1" spans="1:13" ht="75.75" customHeight="1" x14ac:dyDescent="0.25">
      <c r="A1" s="1051" t="s">
        <v>1185</v>
      </c>
      <c r="B1" s="1051"/>
      <c r="C1" s="1051"/>
    </row>
    <row r="2" spans="1:13" ht="18.75" customHeight="1" x14ac:dyDescent="0.25">
      <c r="A2" s="268"/>
      <c r="B2" s="268"/>
      <c r="C2" s="269" t="s">
        <v>302</v>
      </c>
      <c r="K2" s="284"/>
      <c r="L2" s="284"/>
      <c r="M2" s="284"/>
    </row>
    <row r="3" spans="1:13" x14ac:dyDescent="0.25">
      <c r="A3" s="270" t="s">
        <v>1186</v>
      </c>
      <c r="B3" s="270" t="s">
        <v>306</v>
      </c>
      <c r="C3" s="270" t="s">
        <v>1657</v>
      </c>
    </row>
    <row r="4" spans="1:13" x14ac:dyDescent="0.25">
      <c r="A4" s="271" t="s">
        <v>1187</v>
      </c>
      <c r="B4" s="272" t="s">
        <v>1188</v>
      </c>
      <c r="C4" s="273">
        <f>+'1A. Fő bev'!V11+'1A. Fő bev'!V12+'1A. Fő bev'!V14+'1A. Fő bev'!V15-'2A Önk bev'!V31</f>
        <v>3244000</v>
      </c>
      <c r="K4" s="649"/>
      <c r="L4" s="649"/>
      <c r="M4" s="649"/>
    </row>
    <row r="5" spans="1:13" x14ac:dyDescent="0.25">
      <c r="A5" s="271" t="s">
        <v>1189</v>
      </c>
      <c r="B5" s="272" t="s">
        <v>249</v>
      </c>
      <c r="C5" s="273">
        <f>+'1A. Fő bev'!V20</f>
        <v>36848</v>
      </c>
      <c r="K5" s="284"/>
      <c r="L5" s="284"/>
      <c r="M5" s="284"/>
    </row>
    <row r="6" spans="1:13" x14ac:dyDescent="0.25">
      <c r="A6" s="271" t="s">
        <v>1190</v>
      </c>
      <c r="B6" s="272" t="s">
        <v>1658</v>
      </c>
      <c r="C6" s="273">
        <f>+'1A. Fő bev'!V16</f>
        <v>10000</v>
      </c>
    </row>
    <row r="7" spans="1:13" ht="30" x14ac:dyDescent="0.25">
      <c r="A7" s="271" t="s">
        <v>1191</v>
      </c>
      <c r="B7" s="272" t="s">
        <v>1659</v>
      </c>
      <c r="C7" s="273">
        <f>+'1A. Fő bev'!V34</f>
        <v>243000</v>
      </c>
      <c r="M7" s="284"/>
    </row>
    <row r="8" spans="1:13" ht="30" x14ac:dyDescent="0.25">
      <c r="A8" s="271" t="s">
        <v>1192</v>
      </c>
      <c r="B8" s="272" t="s">
        <v>1660</v>
      </c>
      <c r="C8" s="273"/>
    </row>
    <row r="9" spans="1:13" x14ac:dyDescent="0.25">
      <c r="A9" s="271" t="s">
        <v>1193</v>
      </c>
      <c r="B9" s="272" t="s">
        <v>1661</v>
      </c>
      <c r="C9" s="273"/>
      <c r="M9" s="649"/>
    </row>
    <row r="10" spans="1:13" x14ac:dyDescent="0.25">
      <c r="A10" s="271" t="s">
        <v>1194</v>
      </c>
      <c r="B10" s="272" t="s">
        <v>1662</v>
      </c>
      <c r="C10" s="273"/>
      <c r="M10" s="284"/>
    </row>
    <row r="11" spans="1:13" x14ac:dyDescent="0.25">
      <c r="A11" s="274" t="s">
        <v>1195</v>
      </c>
      <c r="B11" s="275" t="s">
        <v>1663</v>
      </c>
      <c r="C11" s="276">
        <f>SUM(C4:C10)</f>
        <v>3533848</v>
      </c>
    </row>
    <row r="12" spans="1:13" x14ac:dyDescent="0.25">
      <c r="A12" s="277" t="s">
        <v>1196</v>
      </c>
      <c r="B12" s="278" t="s">
        <v>1197</v>
      </c>
      <c r="C12" s="279">
        <f>C11*0.5</f>
        <v>1766924</v>
      </c>
      <c r="M12" s="284"/>
    </row>
    <row r="13" spans="1:13" ht="25.5" x14ac:dyDescent="0.25">
      <c r="A13" s="274" t="s">
        <v>1198</v>
      </c>
      <c r="B13" s="275" t="s">
        <v>1672</v>
      </c>
      <c r="C13" s="276">
        <f>SUM(C14:C21)</f>
        <v>200627</v>
      </c>
    </row>
    <row r="14" spans="1:13" x14ac:dyDescent="0.25">
      <c r="A14" s="271" t="s">
        <v>1199</v>
      </c>
      <c r="B14" s="726" t="s">
        <v>1664</v>
      </c>
      <c r="C14" s="436">
        <v>200627</v>
      </c>
      <c r="M14" s="649"/>
    </row>
    <row r="15" spans="1:13" x14ac:dyDescent="0.25">
      <c r="A15" s="271" t="s">
        <v>1200</v>
      </c>
      <c r="B15" s="726" t="s">
        <v>1665</v>
      </c>
      <c r="C15" s="273"/>
      <c r="M15" s="284"/>
    </row>
    <row r="16" spans="1:13" ht="30" x14ac:dyDescent="0.25">
      <c r="A16" s="271" t="s">
        <v>1201</v>
      </c>
      <c r="B16" s="726" t="s">
        <v>1666</v>
      </c>
      <c r="C16" s="273"/>
    </row>
    <row r="17" spans="1:14" x14ac:dyDescent="0.25">
      <c r="A17" s="271" t="s">
        <v>1202</v>
      </c>
      <c r="B17" s="726" t="s">
        <v>1667</v>
      </c>
      <c r="C17" s="273"/>
      <c r="M17" s="284"/>
      <c r="N17" s="284"/>
    </row>
    <row r="18" spans="1:14" x14ac:dyDescent="0.25">
      <c r="A18" s="271" t="s">
        <v>1203</v>
      </c>
      <c r="B18" s="726" t="s">
        <v>1668</v>
      </c>
      <c r="C18" s="273"/>
    </row>
    <row r="19" spans="1:14" x14ac:dyDescent="0.25">
      <c r="A19" s="271" t="s">
        <v>1204</v>
      </c>
      <c r="B19" s="726" t="s">
        <v>1669</v>
      </c>
      <c r="C19" s="273"/>
    </row>
    <row r="20" spans="1:14" x14ac:dyDescent="0.25">
      <c r="A20" s="271" t="s">
        <v>1205</v>
      </c>
      <c r="B20" s="726" t="s">
        <v>1670</v>
      </c>
      <c r="C20" s="273"/>
      <c r="M20" s="649"/>
      <c r="N20" s="649"/>
    </row>
    <row r="21" spans="1:14" ht="30" x14ac:dyDescent="0.25">
      <c r="A21" s="271" t="s">
        <v>1206</v>
      </c>
      <c r="B21" s="726" t="s">
        <v>1671</v>
      </c>
      <c r="C21" s="417"/>
      <c r="M21" s="284"/>
      <c r="N21" s="284"/>
    </row>
    <row r="22" spans="1:14" ht="25.5" x14ac:dyDescent="0.25">
      <c r="A22" s="274">
        <v>19</v>
      </c>
      <c r="B22" s="727" t="s">
        <v>1673</v>
      </c>
      <c r="C22" s="276">
        <f>SUM(C23:C30)</f>
        <v>0</v>
      </c>
      <c r="N22" s="650"/>
    </row>
    <row r="23" spans="1:14" x14ac:dyDescent="0.25">
      <c r="A23" s="271" t="s">
        <v>1207</v>
      </c>
      <c r="B23" s="726" t="s">
        <v>1664</v>
      </c>
      <c r="C23" s="273"/>
    </row>
    <row r="24" spans="1:14" x14ac:dyDescent="0.25">
      <c r="A24" s="271" t="s">
        <v>1208</v>
      </c>
      <c r="B24" s="726" t="s">
        <v>1665</v>
      </c>
      <c r="C24" s="273"/>
    </row>
    <row r="25" spans="1:14" ht="30" x14ac:dyDescent="0.25">
      <c r="A25" s="271" t="s">
        <v>1209</v>
      </c>
      <c r="B25" s="726" t="s">
        <v>1666</v>
      </c>
      <c r="C25" s="273"/>
    </row>
    <row r="26" spans="1:14" x14ac:dyDescent="0.25">
      <c r="A26" s="271" t="s">
        <v>1210</v>
      </c>
      <c r="B26" s="726" t="s">
        <v>1667</v>
      </c>
      <c r="C26" s="273"/>
    </row>
    <row r="27" spans="1:14" x14ac:dyDescent="0.25">
      <c r="A27" s="271" t="s">
        <v>1211</v>
      </c>
      <c r="B27" s="726" t="s">
        <v>1668</v>
      </c>
      <c r="C27" s="273"/>
    </row>
    <row r="28" spans="1:14" x14ac:dyDescent="0.25">
      <c r="A28" s="271" t="s">
        <v>1212</v>
      </c>
      <c r="B28" s="726" t="s">
        <v>1669</v>
      </c>
      <c r="C28" s="273"/>
    </row>
    <row r="29" spans="1:14" x14ac:dyDescent="0.25">
      <c r="A29" s="271" t="s">
        <v>1213</v>
      </c>
      <c r="B29" s="726" t="s">
        <v>1670</v>
      </c>
      <c r="C29" s="273"/>
    </row>
    <row r="30" spans="1:14" ht="30" x14ac:dyDescent="0.25">
      <c r="A30" s="271" t="s">
        <v>1214</v>
      </c>
      <c r="B30" s="726" t="s">
        <v>1671</v>
      </c>
      <c r="C30" s="273"/>
    </row>
    <row r="31" spans="1:14" x14ac:dyDescent="0.25">
      <c r="A31" s="277">
        <v>28</v>
      </c>
      <c r="B31" s="278" t="s">
        <v>1674</v>
      </c>
      <c r="C31" s="279">
        <f>C13+C22</f>
        <v>200627</v>
      </c>
    </row>
    <row r="32" spans="1:14" x14ac:dyDescent="0.25">
      <c r="A32" s="280">
        <v>29</v>
      </c>
      <c r="B32" s="281" t="s">
        <v>1675</v>
      </c>
      <c r="C32" s="282">
        <f>C12-C31</f>
        <v>1566297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&amp;L8. melléklet a ...../2020. (.......) önkormányzati rendelethez</oddHeader>
    <oddFooter>&amp;C&amp;P</oddFooter>
  </headerFooter>
  <colBreaks count="1" manualBreakCount="1">
    <brk id="3" max="2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7"/>
  <sheetViews>
    <sheetView view="pageBreakPreview" zoomScale="80" zoomScaleNormal="100" zoomScaleSheetLayoutView="80" workbookViewId="0">
      <selection activeCell="A5" sqref="A5:A6"/>
    </sheetView>
  </sheetViews>
  <sheetFormatPr defaultRowHeight="15" x14ac:dyDescent="0.25"/>
  <cols>
    <col min="1" max="1" width="20.28515625" customWidth="1"/>
    <col min="2" max="2" width="14.7109375" style="284" bestFit="1" customWidth="1"/>
    <col min="3" max="3" width="16.28515625" style="284" customWidth="1"/>
    <col min="4" max="4" width="14.7109375" style="284" bestFit="1" customWidth="1"/>
    <col min="5" max="5" width="15.7109375" style="284" customWidth="1"/>
    <col min="6" max="6" width="14.7109375" style="284" bestFit="1" customWidth="1"/>
    <col min="7" max="7" width="13.28515625" style="284" customWidth="1"/>
    <col min="8" max="8" width="15.7109375" style="284" bestFit="1" customWidth="1"/>
    <col min="9" max="9" width="17" style="285" bestFit="1" customWidth="1"/>
  </cols>
  <sheetData>
    <row r="1" spans="1:9" x14ac:dyDescent="0.25">
      <c r="I1" s="285" t="s">
        <v>1215</v>
      </c>
    </row>
    <row r="2" spans="1:9" ht="21.4" customHeight="1" x14ac:dyDescent="0.25">
      <c r="A2" s="1052" t="s">
        <v>1216</v>
      </c>
      <c r="B2" s="1053" t="s">
        <v>470</v>
      </c>
      <c r="C2" s="1053"/>
      <c r="D2" s="1053"/>
      <c r="E2" s="1053" t="s">
        <v>586</v>
      </c>
      <c r="F2" s="1053"/>
      <c r="G2" s="1053"/>
      <c r="H2" s="1053"/>
      <c r="I2" s="1053"/>
    </row>
    <row r="3" spans="1:9" ht="30" x14ac:dyDescent="0.25">
      <c r="A3" s="1052"/>
      <c r="B3" s="286" t="s">
        <v>1217</v>
      </c>
      <c r="C3" s="286" t="s">
        <v>1218</v>
      </c>
      <c r="D3" s="287" t="s">
        <v>1219</v>
      </c>
      <c r="E3" s="286" t="s">
        <v>1220</v>
      </c>
      <c r="F3" s="286" t="s">
        <v>1656</v>
      </c>
      <c r="G3" s="286" t="s">
        <v>1221</v>
      </c>
      <c r="H3" s="286" t="s">
        <v>1222</v>
      </c>
      <c r="I3" s="286" t="s">
        <v>1223</v>
      </c>
    </row>
    <row r="4" spans="1:9" ht="31.9" hidden="1" customHeight="1" x14ac:dyDescent="0.25">
      <c r="A4" s="288" t="s">
        <v>1224</v>
      </c>
      <c r="B4" s="289"/>
      <c r="C4" s="289"/>
      <c r="D4" s="290"/>
      <c r="E4" s="289"/>
      <c r="F4" s="290"/>
      <c r="G4" s="289"/>
      <c r="H4" s="289"/>
      <c r="I4" s="291">
        <f>SUM(E4:G4)</f>
        <v>0</v>
      </c>
    </row>
    <row r="5" spans="1:9" ht="30.4" customHeight="1" x14ac:dyDescent="0.25">
      <c r="A5" s="1054"/>
      <c r="B5" s="289"/>
      <c r="C5" s="289"/>
      <c r="D5" s="289"/>
      <c r="E5" s="289"/>
      <c r="F5" s="289"/>
      <c r="G5" s="289"/>
      <c r="H5" s="289"/>
      <c r="I5" s="291"/>
    </row>
    <row r="6" spans="1:9" x14ac:dyDescent="0.25">
      <c r="A6" s="1055"/>
      <c r="B6" s="289"/>
      <c r="C6" s="289"/>
      <c r="D6" s="289"/>
      <c r="E6" s="289"/>
      <c r="F6" s="289"/>
      <c r="G6" s="289"/>
      <c r="H6" s="289"/>
      <c r="I6" s="291"/>
    </row>
    <row r="7" spans="1:9" s="47" customFormat="1" x14ac:dyDescent="0.25">
      <c r="A7" s="292" t="s">
        <v>553</v>
      </c>
      <c r="B7" s="293">
        <f>SUM(B4:B6)</f>
        <v>0</v>
      </c>
      <c r="C7" s="293">
        <f t="shared" ref="C7:I7" si="0">SUM(C4:C6)</f>
        <v>0</v>
      </c>
      <c r="D7" s="293">
        <f t="shared" si="0"/>
        <v>0</v>
      </c>
      <c r="E7" s="293">
        <f t="shared" si="0"/>
        <v>0</v>
      </c>
      <c r="F7" s="293">
        <f t="shared" si="0"/>
        <v>0</v>
      </c>
      <c r="G7" s="293">
        <f t="shared" si="0"/>
        <v>0</v>
      </c>
      <c r="H7" s="293">
        <f t="shared" si="0"/>
        <v>0</v>
      </c>
      <c r="I7" s="294">
        <f t="shared" si="0"/>
        <v>0</v>
      </c>
    </row>
  </sheetData>
  <mergeCells count="4">
    <mergeCell ref="A2:A3"/>
    <mergeCell ref="B2:D2"/>
    <mergeCell ref="E2:I2"/>
    <mergeCell ref="A5:A6"/>
  </mergeCells>
  <pageMargins left="0.70866141732283472" right="0.70866141732283472" top="1.1417322834645669" bottom="0.74803149606299213" header="0.31496062992125984" footer="0.31496062992125984"/>
  <pageSetup paperSize="9" scale="91" fitToHeight="0" orientation="landscape" r:id="rId1"/>
  <headerFooter>
    <oddHeader>&amp;L9. melléklet a ...../2020. (.......) önkormányzati rendelethez
&amp;C&amp;"-,Félkövér"&amp;16
Törökbálint Város Önkormányzata 2019. évi európai uniós támogatási programjai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V143"/>
  <sheetViews>
    <sheetView showZeros="0" view="pageBreakPreview" zoomScale="79" zoomScaleNormal="100" zoomScaleSheetLayoutView="79" workbookViewId="0">
      <selection activeCell="G8" sqref="G8"/>
    </sheetView>
  </sheetViews>
  <sheetFormatPr defaultColWidth="12.28515625" defaultRowHeight="15" x14ac:dyDescent="0.2"/>
  <cols>
    <col min="1" max="1" width="12.28515625" style="300"/>
    <col min="2" max="2" width="12.28515625" style="301"/>
    <col min="3" max="3" width="64.7109375" style="300" customWidth="1"/>
    <col min="4" max="16384" width="12.28515625" style="300"/>
  </cols>
  <sheetData>
    <row r="1" spans="1:256" s="295" customFormat="1" ht="15.75" x14ac:dyDescent="0.25">
      <c r="A1" s="1056" t="s">
        <v>1493</v>
      </c>
      <c r="B1" s="1056"/>
      <c r="C1" s="1056"/>
      <c r="IV1" s="296"/>
    </row>
    <row r="2" spans="1:256" s="299" customFormat="1" ht="42.6" customHeight="1" x14ac:dyDescent="0.25">
      <c r="A2" s="297"/>
      <c r="B2" s="298"/>
      <c r="IV2" s="300"/>
    </row>
    <row r="3" spans="1:256" s="295" customFormat="1" ht="20.85" customHeight="1" x14ac:dyDescent="0.25">
      <c r="A3" s="498" t="s">
        <v>1225</v>
      </c>
      <c r="B3" s="497" t="s">
        <v>1226</v>
      </c>
      <c r="C3" s="498" t="s">
        <v>306</v>
      </c>
      <c r="IV3" s="296"/>
    </row>
    <row r="4" spans="1:256" s="299" customFormat="1" ht="22.9" customHeight="1" x14ac:dyDescent="0.2">
      <c r="A4" s="501">
        <v>1</v>
      </c>
      <c r="B4" s="499"/>
      <c r="C4" s="500" t="s">
        <v>1227</v>
      </c>
      <c r="IV4" s="300"/>
    </row>
    <row r="5" spans="1:256" s="299" customFormat="1" ht="22.9" customHeight="1" x14ac:dyDescent="0.2">
      <c r="A5" s="501"/>
      <c r="B5" s="499" t="s">
        <v>1229</v>
      </c>
      <c r="C5" s="500" t="s">
        <v>1239</v>
      </c>
      <c r="IV5" s="300"/>
    </row>
    <row r="6" spans="1:256" s="299" customFormat="1" ht="22.9" customHeight="1" x14ac:dyDescent="0.2">
      <c r="A6" s="501"/>
      <c r="B6" s="499" t="s">
        <v>1230</v>
      </c>
      <c r="C6" s="500" t="s">
        <v>1240</v>
      </c>
      <c r="IV6" s="300"/>
    </row>
    <row r="7" spans="1:256" s="299" customFormat="1" ht="22.9" customHeight="1" x14ac:dyDescent="0.2">
      <c r="A7" s="501">
        <v>2</v>
      </c>
      <c r="B7" s="499"/>
      <c r="C7" s="500" t="s">
        <v>992</v>
      </c>
      <c r="IV7" s="300"/>
    </row>
    <row r="8" spans="1:256" s="299" customFormat="1" ht="22.9" customHeight="1" x14ac:dyDescent="0.2">
      <c r="A8" s="501">
        <v>3</v>
      </c>
      <c r="B8" s="499"/>
      <c r="C8" s="500" t="s">
        <v>1228</v>
      </c>
      <c r="D8" s="500"/>
      <c r="IV8" s="300"/>
    </row>
    <row r="9" spans="1:256" s="299" customFormat="1" ht="22.9" customHeight="1" x14ac:dyDescent="0.2">
      <c r="A9" s="501"/>
      <c r="B9" s="499" t="s">
        <v>1229</v>
      </c>
      <c r="C9" s="500" t="s">
        <v>347</v>
      </c>
      <c r="IV9" s="300"/>
    </row>
    <row r="10" spans="1:256" s="299" customFormat="1" ht="22.9" customHeight="1" x14ac:dyDescent="0.2">
      <c r="A10" s="501"/>
      <c r="B10" s="499" t="s">
        <v>1230</v>
      </c>
      <c r="C10" s="500" t="s">
        <v>354</v>
      </c>
      <c r="IV10" s="300"/>
    </row>
    <row r="11" spans="1:256" s="299" customFormat="1" ht="22.9" customHeight="1" x14ac:dyDescent="0.2">
      <c r="A11" s="501"/>
      <c r="B11" s="499" t="s">
        <v>1231</v>
      </c>
      <c r="C11" s="500" t="s">
        <v>355</v>
      </c>
      <c r="IV11" s="300"/>
    </row>
    <row r="12" spans="1:256" s="299" customFormat="1" ht="22.9" customHeight="1" x14ac:dyDescent="0.2">
      <c r="A12" s="501"/>
      <c r="B12" s="499" t="s">
        <v>1232</v>
      </c>
      <c r="C12" s="500" t="s">
        <v>356</v>
      </c>
      <c r="IV12" s="300"/>
    </row>
    <row r="13" spans="1:256" s="299" customFormat="1" ht="22.9" customHeight="1" x14ac:dyDescent="0.2">
      <c r="A13" s="501"/>
      <c r="B13" s="499" t="s">
        <v>1233</v>
      </c>
      <c r="C13" s="500" t="s">
        <v>1234</v>
      </c>
      <c r="IV13" s="300"/>
    </row>
    <row r="14" spans="1:256" s="299" customFormat="1" ht="22.9" customHeight="1" x14ac:dyDescent="0.2">
      <c r="A14" s="501"/>
      <c r="B14" s="499" t="s">
        <v>1235</v>
      </c>
      <c r="C14" s="500" t="s">
        <v>362</v>
      </c>
      <c r="IV14" s="300"/>
    </row>
    <row r="15" spans="1:256" s="299" customFormat="1" ht="22.9" customHeight="1" x14ac:dyDescent="0.2">
      <c r="A15" s="501"/>
      <c r="B15" s="499" t="s">
        <v>1300</v>
      </c>
      <c r="C15" s="500" t="s">
        <v>1301</v>
      </c>
      <c r="IV15" s="300"/>
    </row>
    <row r="16" spans="1:256" s="299" customFormat="1" ht="22.9" customHeight="1" x14ac:dyDescent="0.2">
      <c r="A16" s="501"/>
      <c r="B16" s="499" t="s">
        <v>1447</v>
      </c>
      <c r="C16" s="500" t="s">
        <v>995</v>
      </c>
      <c r="IV16" s="300"/>
    </row>
    <row r="17" spans="1:256" s="299" customFormat="1" x14ac:dyDescent="0.2">
      <c r="A17" s="301"/>
      <c r="B17" s="298"/>
      <c r="IV17" s="300"/>
    </row>
    <row r="18" spans="1:256" s="299" customFormat="1" x14ac:dyDescent="0.2">
      <c r="A18" s="301"/>
      <c r="B18" s="298"/>
      <c r="IV18" s="300"/>
    </row>
    <row r="19" spans="1:256" s="299" customFormat="1" x14ac:dyDescent="0.2">
      <c r="A19" s="301"/>
      <c r="B19" s="298"/>
      <c r="IV19" s="300"/>
    </row>
    <row r="20" spans="1:256" s="299" customFormat="1" x14ac:dyDescent="0.2">
      <c r="A20" s="301"/>
      <c r="B20" s="298"/>
      <c r="IV20" s="300"/>
    </row>
    <row r="21" spans="1:256" s="299" customFormat="1" x14ac:dyDescent="0.2">
      <c r="A21" s="301"/>
      <c r="B21" s="298"/>
      <c r="IV21" s="300"/>
    </row>
    <row r="22" spans="1:256" s="299" customFormat="1" x14ac:dyDescent="0.2">
      <c r="A22" s="301"/>
      <c r="B22" s="298"/>
      <c r="IV22" s="300"/>
    </row>
    <row r="23" spans="1:256" s="299" customFormat="1" x14ac:dyDescent="0.2">
      <c r="A23" s="301"/>
      <c r="B23" s="298"/>
      <c r="IV23" s="300"/>
    </row>
    <row r="24" spans="1:256" s="299" customFormat="1" x14ac:dyDescent="0.2">
      <c r="A24" s="301"/>
      <c r="B24" s="298"/>
      <c r="IV24" s="300"/>
    </row>
    <row r="25" spans="1:256" s="299" customFormat="1" x14ac:dyDescent="0.2">
      <c r="A25" s="301"/>
      <c r="B25" s="298"/>
      <c r="IV25" s="300"/>
    </row>
    <row r="26" spans="1:256" s="299" customFormat="1" x14ac:dyDescent="0.2">
      <c r="A26" s="301"/>
      <c r="B26" s="298"/>
      <c r="IV26" s="300"/>
    </row>
    <row r="27" spans="1:256" s="299" customFormat="1" x14ac:dyDescent="0.2">
      <c r="A27" s="301"/>
      <c r="B27" s="298"/>
      <c r="IV27" s="300"/>
    </row>
    <row r="28" spans="1:256" s="299" customFormat="1" x14ac:dyDescent="0.2">
      <c r="A28" s="301"/>
      <c r="B28" s="298"/>
      <c r="IV28" s="300"/>
    </row>
    <row r="29" spans="1:256" s="299" customFormat="1" x14ac:dyDescent="0.2">
      <c r="A29" s="301"/>
      <c r="B29" s="298"/>
      <c r="IV29" s="300"/>
    </row>
    <row r="30" spans="1:256" s="299" customFormat="1" x14ac:dyDescent="0.2">
      <c r="A30" s="301"/>
      <c r="B30" s="298"/>
      <c r="IV30" s="300"/>
    </row>
    <row r="31" spans="1:256" s="299" customFormat="1" x14ac:dyDescent="0.2">
      <c r="A31" s="301"/>
      <c r="B31" s="298"/>
      <c r="IV31" s="300"/>
    </row>
    <row r="32" spans="1:256" s="299" customFormat="1" x14ac:dyDescent="0.2">
      <c r="A32" s="301"/>
      <c r="B32" s="298"/>
      <c r="IV32" s="300"/>
    </row>
    <row r="33" spans="1:256" s="299" customFormat="1" x14ac:dyDescent="0.2">
      <c r="A33" s="301"/>
      <c r="B33" s="298"/>
      <c r="IV33" s="300"/>
    </row>
    <row r="34" spans="1:256" s="299" customFormat="1" x14ac:dyDescent="0.2">
      <c r="A34" s="301"/>
      <c r="B34" s="298"/>
      <c r="IV34" s="300"/>
    </row>
    <row r="35" spans="1:256" s="299" customFormat="1" x14ac:dyDescent="0.2">
      <c r="A35" s="301"/>
      <c r="B35" s="298"/>
      <c r="IV35" s="300"/>
    </row>
    <row r="36" spans="1:256" s="299" customFormat="1" x14ac:dyDescent="0.2">
      <c r="A36" s="301"/>
      <c r="B36" s="298"/>
      <c r="IV36" s="300"/>
    </row>
    <row r="37" spans="1:256" s="299" customFormat="1" x14ac:dyDescent="0.2">
      <c r="A37" s="301"/>
      <c r="B37" s="298"/>
      <c r="IV37" s="300"/>
    </row>
    <row r="38" spans="1:256" s="299" customFormat="1" x14ac:dyDescent="0.2">
      <c r="A38" s="301"/>
      <c r="B38" s="298"/>
      <c r="IV38" s="300"/>
    </row>
    <row r="39" spans="1:256" s="299" customFormat="1" x14ac:dyDescent="0.2">
      <c r="A39" s="301"/>
      <c r="B39" s="298"/>
      <c r="IV39" s="300"/>
    </row>
    <row r="40" spans="1:256" s="299" customFormat="1" x14ac:dyDescent="0.2">
      <c r="A40" s="301"/>
      <c r="B40" s="298"/>
      <c r="IV40" s="300"/>
    </row>
    <row r="41" spans="1:256" s="299" customFormat="1" x14ac:dyDescent="0.2">
      <c r="A41" s="301"/>
      <c r="B41" s="298"/>
      <c r="IV41" s="300"/>
    </row>
    <row r="42" spans="1:256" s="299" customFormat="1" x14ac:dyDescent="0.2">
      <c r="A42" s="301"/>
      <c r="B42" s="298"/>
      <c r="IV42" s="300"/>
    </row>
    <row r="43" spans="1:256" s="299" customFormat="1" x14ac:dyDescent="0.2">
      <c r="A43" s="301"/>
      <c r="B43" s="298"/>
      <c r="IV43" s="300"/>
    </row>
    <row r="44" spans="1:256" s="299" customFormat="1" x14ac:dyDescent="0.2">
      <c r="A44" s="301"/>
      <c r="B44" s="298"/>
      <c r="IV44" s="300"/>
    </row>
    <row r="45" spans="1:256" s="299" customFormat="1" x14ac:dyDescent="0.2">
      <c r="A45" s="301"/>
      <c r="B45" s="298"/>
      <c r="IV45" s="300"/>
    </row>
    <row r="46" spans="1:256" s="299" customFormat="1" x14ac:dyDescent="0.2">
      <c r="A46" s="301"/>
      <c r="B46" s="298"/>
      <c r="IV46" s="300"/>
    </row>
    <row r="47" spans="1:256" s="299" customFormat="1" x14ac:dyDescent="0.2">
      <c r="A47" s="301"/>
      <c r="B47" s="298"/>
      <c r="IV47" s="300"/>
    </row>
    <row r="48" spans="1:256" s="299" customFormat="1" x14ac:dyDescent="0.2">
      <c r="A48" s="301"/>
      <c r="B48" s="298"/>
      <c r="IV48" s="300"/>
    </row>
    <row r="49" spans="1:256" s="299" customFormat="1" x14ac:dyDescent="0.2">
      <c r="A49" s="301"/>
      <c r="B49" s="298"/>
      <c r="IV49" s="300"/>
    </row>
    <row r="50" spans="1:256" s="299" customFormat="1" x14ac:dyDescent="0.2">
      <c r="A50" s="301"/>
      <c r="B50" s="298"/>
      <c r="IV50" s="300"/>
    </row>
    <row r="51" spans="1:256" s="299" customFormat="1" x14ac:dyDescent="0.2">
      <c r="A51" s="301"/>
      <c r="B51" s="298"/>
      <c r="IV51" s="300"/>
    </row>
    <row r="52" spans="1:256" s="299" customFormat="1" x14ac:dyDescent="0.2">
      <c r="A52" s="301"/>
      <c r="B52" s="298"/>
      <c r="IV52" s="300"/>
    </row>
    <row r="53" spans="1:256" s="299" customFormat="1" x14ac:dyDescent="0.2">
      <c r="A53" s="301"/>
      <c r="B53" s="298"/>
      <c r="IV53" s="300"/>
    </row>
    <row r="54" spans="1:256" s="299" customFormat="1" x14ac:dyDescent="0.2">
      <c r="A54" s="301"/>
      <c r="B54" s="298"/>
      <c r="IV54" s="300"/>
    </row>
    <row r="55" spans="1:256" s="299" customFormat="1" x14ac:dyDescent="0.2">
      <c r="A55" s="301"/>
      <c r="B55" s="298"/>
      <c r="IV55" s="300"/>
    </row>
    <row r="56" spans="1:256" s="299" customFormat="1" x14ac:dyDescent="0.2">
      <c r="A56" s="301"/>
      <c r="B56" s="298"/>
      <c r="IV56" s="300"/>
    </row>
    <row r="57" spans="1:256" s="299" customFormat="1" x14ac:dyDescent="0.2">
      <c r="A57" s="301"/>
      <c r="B57" s="298"/>
      <c r="IV57" s="300"/>
    </row>
    <row r="58" spans="1:256" s="299" customFormat="1" x14ac:dyDescent="0.2">
      <c r="A58" s="301"/>
      <c r="B58" s="298"/>
      <c r="IV58" s="300"/>
    </row>
    <row r="59" spans="1:256" s="299" customFormat="1" x14ac:dyDescent="0.2">
      <c r="A59" s="301"/>
      <c r="B59" s="298"/>
      <c r="IV59" s="300"/>
    </row>
    <row r="60" spans="1:256" s="299" customFormat="1" x14ac:dyDescent="0.2">
      <c r="A60" s="301"/>
      <c r="B60" s="298"/>
      <c r="IV60" s="300"/>
    </row>
    <row r="61" spans="1:256" s="299" customFormat="1" x14ac:dyDescent="0.2">
      <c r="A61" s="301"/>
      <c r="B61" s="298"/>
      <c r="IV61" s="300"/>
    </row>
    <row r="62" spans="1:256" s="299" customFormat="1" x14ac:dyDescent="0.2">
      <c r="A62" s="301"/>
      <c r="B62" s="298"/>
      <c r="IV62" s="300"/>
    </row>
    <row r="63" spans="1:256" s="299" customFormat="1" x14ac:dyDescent="0.2">
      <c r="A63" s="301"/>
      <c r="B63" s="298"/>
      <c r="IV63" s="300"/>
    </row>
    <row r="64" spans="1:256" s="299" customFormat="1" x14ac:dyDescent="0.2">
      <c r="A64" s="301"/>
      <c r="B64" s="298"/>
      <c r="IV64" s="300"/>
    </row>
    <row r="65" spans="1:256" s="299" customFormat="1" x14ac:dyDescent="0.2">
      <c r="A65" s="301"/>
      <c r="B65" s="298"/>
      <c r="IV65" s="300"/>
    </row>
    <row r="66" spans="1:256" s="299" customFormat="1" x14ac:dyDescent="0.2">
      <c r="A66" s="301"/>
      <c r="B66" s="298"/>
      <c r="IV66" s="300"/>
    </row>
    <row r="67" spans="1:256" s="299" customFormat="1" x14ac:dyDescent="0.2">
      <c r="A67" s="301"/>
      <c r="B67" s="298"/>
      <c r="IV67" s="300"/>
    </row>
    <row r="68" spans="1:256" s="299" customFormat="1" x14ac:dyDescent="0.2">
      <c r="A68" s="301"/>
      <c r="B68" s="298"/>
      <c r="IV68" s="300"/>
    </row>
    <row r="69" spans="1:256" s="299" customFormat="1" x14ac:dyDescent="0.2">
      <c r="A69" s="301"/>
      <c r="B69" s="298"/>
      <c r="IV69" s="300"/>
    </row>
    <row r="70" spans="1:256" s="299" customFormat="1" x14ac:dyDescent="0.2">
      <c r="A70" s="301"/>
      <c r="B70" s="298"/>
      <c r="IV70" s="300"/>
    </row>
    <row r="71" spans="1:256" s="299" customFormat="1" x14ac:dyDescent="0.2">
      <c r="A71" s="301"/>
      <c r="B71" s="298"/>
      <c r="IV71" s="300"/>
    </row>
    <row r="72" spans="1:256" s="299" customFormat="1" x14ac:dyDescent="0.2">
      <c r="A72" s="301"/>
      <c r="B72" s="298"/>
      <c r="IV72" s="300"/>
    </row>
    <row r="73" spans="1:256" s="299" customFormat="1" x14ac:dyDescent="0.2">
      <c r="A73" s="301"/>
      <c r="B73" s="298"/>
      <c r="IV73" s="300"/>
    </row>
    <row r="74" spans="1:256" s="299" customFormat="1" x14ac:dyDescent="0.2">
      <c r="A74" s="301"/>
      <c r="B74" s="298"/>
      <c r="IV74" s="300"/>
    </row>
    <row r="75" spans="1:256" s="299" customFormat="1" x14ac:dyDescent="0.2">
      <c r="A75" s="301"/>
      <c r="B75" s="298"/>
      <c r="IV75" s="300"/>
    </row>
    <row r="76" spans="1:256" s="299" customFormat="1" x14ac:dyDescent="0.2">
      <c r="A76" s="301"/>
      <c r="B76" s="298"/>
      <c r="IV76" s="300"/>
    </row>
    <row r="77" spans="1:256" s="299" customFormat="1" x14ac:dyDescent="0.2">
      <c r="A77" s="301"/>
      <c r="B77" s="298"/>
      <c r="IV77" s="300"/>
    </row>
    <row r="78" spans="1:256" s="299" customFormat="1" x14ac:dyDescent="0.2">
      <c r="A78" s="301"/>
      <c r="B78" s="298"/>
      <c r="IV78" s="300"/>
    </row>
    <row r="79" spans="1:256" s="299" customFormat="1" x14ac:dyDescent="0.2">
      <c r="A79" s="301"/>
      <c r="B79" s="298"/>
      <c r="IV79" s="300"/>
    </row>
    <row r="80" spans="1:256" s="299" customFormat="1" x14ac:dyDescent="0.2">
      <c r="A80" s="301"/>
      <c r="B80" s="298"/>
      <c r="IV80" s="300"/>
    </row>
    <row r="81" spans="1:256" s="299" customFormat="1" x14ac:dyDescent="0.2">
      <c r="A81" s="301"/>
      <c r="B81" s="298"/>
      <c r="IV81" s="300"/>
    </row>
    <row r="82" spans="1:256" s="299" customFormat="1" x14ac:dyDescent="0.2">
      <c r="A82" s="301"/>
      <c r="B82" s="298"/>
      <c r="IV82" s="300"/>
    </row>
    <row r="83" spans="1:256" s="299" customFormat="1" x14ac:dyDescent="0.2">
      <c r="A83" s="301"/>
      <c r="B83" s="298"/>
      <c r="IV83" s="300"/>
    </row>
    <row r="84" spans="1:256" s="299" customFormat="1" x14ac:dyDescent="0.2">
      <c r="A84" s="301"/>
      <c r="B84" s="298"/>
      <c r="IV84" s="300"/>
    </row>
    <row r="85" spans="1:256" s="299" customFormat="1" x14ac:dyDescent="0.2">
      <c r="A85" s="301"/>
      <c r="B85" s="298"/>
      <c r="IV85" s="300"/>
    </row>
    <row r="86" spans="1:256" s="299" customFormat="1" x14ac:dyDescent="0.2">
      <c r="A86" s="301"/>
      <c r="B86" s="298"/>
      <c r="IV86" s="300"/>
    </row>
    <row r="87" spans="1:256" s="299" customFormat="1" x14ac:dyDescent="0.2">
      <c r="A87" s="301"/>
      <c r="B87" s="298"/>
      <c r="IV87" s="300"/>
    </row>
    <row r="88" spans="1:256" s="299" customFormat="1" x14ac:dyDescent="0.2">
      <c r="A88" s="301"/>
      <c r="B88" s="298"/>
      <c r="IV88" s="300"/>
    </row>
    <row r="89" spans="1:256" s="299" customFormat="1" x14ac:dyDescent="0.2">
      <c r="A89" s="301"/>
      <c r="B89" s="298"/>
      <c r="IV89" s="300"/>
    </row>
    <row r="90" spans="1:256" s="299" customFormat="1" x14ac:dyDescent="0.2">
      <c r="A90" s="301"/>
      <c r="B90" s="298"/>
      <c r="IV90" s="300"/>
    </row>
    <row r="91" spans="1:256" s="299" customFormat="1" x14ac:dyDescent="0.2">
      <c r="A91" s="301"/>
      <c r="B91" s="298"/>
      <c r="IV91" s="300"/>
    </row>
    <row r="92" spans="1:256" s="299" customFormat="1" x14ac:dyDescent="0.2">
      <c r="A92" s="301"/>
      <c r="B92" s="298"/>
      <c r="IV92" s="300"/>
    </row>
    <row r="93" spans="1:256" s="299" customFormat="1" x14ac:dyDescent="0.2">
      <c r="A93" s="301"/>
      <c r="B93" s="298"/>
      <c r="IV93" s="300"/>
    </row>
    <row r="94" spans="1:256" s="299" customFormat="1" x14ac:dyDescent="0.2">
      <c r="A94" s="301"/>
      <c r="B94" s="298"/>
      <c r="IV94" s="300"/>
    </row>
    <row r="95" spans="1:256" s="299" customFormat="1" x14ac:dyDescent="0.2">
      <c r="A95" s="301"/>
      <c r="B95" s="298"/>
      <c r="IV95" s="300"/>
    </row>
    <row r="96" spans="1:256" s="299" customFormat="1" x14ac:dyDescent="0.2">
      <c r="A96" s="301"/>
      <c r="B96" s="298"/>
      <c r="IV96" s="300"/>
    </row>
    <row r="97" spans="1:256" s="299" customFormat="1" x14ac:dyDescent="0.2">
      <c r="A97" s="301"/>
      <c r="B97" s="298"/>
      <c r="IV97" s="300"/>
    </row>
    <row r="98" spans="1:256" s="299" customFormat="1" x14ac:dyDescent="0.2">
      <c r="A98" s="301"/>
      <c r="B98" s="298"/>
      <c r="IV98" s="300"/>
    </row>
    <row r="99" spans="1:256" s="299" customFormat="1" x14ac:dyDescent="0.2">
      <c r="A99" s="301"/>
      <c r="B99" s="298"/>
      <c r="IV99" s="300"/>
    </row>
    <row r="100" spans="1:256" s="299" customFormat="1" x14ac:dyDescent="0.2">
      <c r="A100" s="301"/>
      <c r="B100" s="298"/>
      <c r="IV100" s="300"/>
    </row>
    <row r="101" spans="1:256" s="299" customFormat="1" x14ac:dyDescent="0.2">
      <c r="A101" s="301"/>
      <c r="B101" s="298"/>
      <c r="IV101" s="300"/>
    </row>
    <row r="102" spans="1:256" s="299" customFormat="1" x14ac:dyDescent="0.2">
      <c r="A102" s="301"/>
      <c r="B102" s="298"/>
      <c r="IV102" s="300"/>
    </row>
    <row r="103" spans="1:256" s="299" customFormat="1" x14ac:dyDescent="0.2">
      <c r="A103" s="301"/>
      <c r="B103" s="298"/>
      <c r="IV103" s="300"/>
    </row>
    <row r="104" spans="1:256" s="299" customFormat="1" x14ac:dyDescent="0.2">
      <c r="A104" s="301"/>
      <c r="B104" s="298"/>
      <c r="IV104" s="300"/>
    </row>
    <row r="105" spans="1:256" s="299" customFormat="1" x14ac:dyDescent="0.2">
      <c r="A105" s="301"/>
      <c r="B105" s="298"/>
      <c r="IV105" s="300"/>
    </row>
    <row r="106" spans="1:256" s="299" customFormat="1" x14ac:dyDescent="0.2">
      <c r="A106" s="301"/>
      <c r="B106" s="298"/>
      <c r="IV106" s="300"/>
    </row>
    <row r="107" spans="1:256" s="299" customFormat="1" x14ac:dyDescent="0.2">
      <c r="A107" s="301"/>
      <c r="B107" s="298"/>
      <c r="IV107" s="300"/>
    </row>
    <row r="108" spans="1:256" s="299" customFormat="1" x14ac:dyDescent="0.2">
      <c r="A108" s="301"/>
      <c r="B108" s="298"/>
      <c r="IV108" s="300"/>
    </row>
    <row r="109" spans="1:256" s="299" customFormat="1" x14ac:dyDescent="0.2">
      <c r="A109" s="301"/>
      <c r="B109" s="298"/>
      <c r="IV109" s="300"/>
    </row>
    <row r="110" spans="1:256" s="299" customFormat="1" x14ac:dyDescent="0.2">
      <c r="A110" s="301"/>
      <c r="B110" s="298"/>
      <c r="IV110" s="300"/>
    </row>
    <row r="111" spans="1:256" s="299" customFormat="1" x14ac:dyDescent="0.2">
      <c r="A111" s="301"/>
      <c r="B111" s="298"/>
      <c r="IV111" s="300"/>
    </row>
    <row r="112" spans="1:256" s="299" customFormat="1" x14ac:dyDescent="0.2">
      <c r="A112" s="301"/>
      <c r="B112" s="298"/>
      <c r="IV112" s="300"/>
    </row>
    <row r="113" spans="1:256" s="299" customFormat="1" x14ac:dyDescent="0.2">
      <c r="A113" s="301"/>
      <c r="B113" s="298"/>
      <c r="IV113" s="300"/>
    </row>
    <row r="114" spans="1:256" s="299" customFormat="1" x14ac:dyDescent="0.2">
      <c r="A114" s="301"/>
      <c r="B114" s="298"/>
      <c r="IV114" s="300"/>
    </row>
    <row r="115" spans="1:256" s="299" customFormat="1" x14ac:dyDescent="0.2">
      <c r="A115" s="301"/>
      <c r="B115" s="298"/>
      <c r="IV115" s="300"/>
    </row>
    <row r="116" spans="1:256" s="299" customFormat="1" x14ac:dyDescent="0.2">
      <c r="A116" s="301"/>
      <c r="B116" s="298"/>
      <c r="IV116" s="300"/>
    </row>
    <row r="117" spans="1:256" s="299" customFormat="1" x14ac:dyDescent="0.2">
      <c r="A117" s="301"/>
      <c r="B117" s="298"/>
      <c r="IV117" s="300"/>
    </row>
    <row r="118" spans="1:256" s="299" customFormat="1" x14ac:dyDescent="0.2">
      <c r="A118" s="301"/>
      <c r="B118" s="298"/>
      <c r="IV118" s="300"/>
    </row>
    <row r="119" spans="1:256" s="299" customFormat="1" x14ac:dyDescent="0.2">
      <c r="A119" s="301"/>
      <c r="B119" s="298"/>
      <c r="IV119" s="300"/>
    </row>
    <row r="120" spans="1:256" s="299" customFormat="1" x14ac:dyDescent="0.2">
      <c r="A120" s="301"/>
      <c r="B120" s="298"/>
      <c r="IV120" s="300"/>
    </row>
    <row r="121" spans="1:256" s="299" customFormat="1" x14ac:dyDescent="0.2">
      <c r="A121" s="301"/>
      <c r="B121" s="298"/>
      <c r="IV121" s="300"/>
    </row>
    <row r="122" spans="1:256" s="299" customFormat="1" x14ac:dyDescent="0.2">
      <c r="A122" s="301"/>
      <c r="B122" s="298"/>
      <c r="IV122" s="300"/>
    </row>
    <row r="123" spans="1:256" s="299" customFormat="1" x14ac:dyDescent="0.2">
      <c r="A123" s="301"/>
      <c r="B123" s="298"/>
      <c r="IV123" s="300"/>
    </row>
    <row r="124" spans="1:256" s="299" customFormat="1" x14ac:dyDescent="0.2">
      <c r="A124" s="301"/>
      <c r="B124" s="298"/>
      <c r="IV124" s="300"/>
    </row>
    <row r="125" spans="1:256" s="299" customFormat="1" x14ac:dyDescent="0.2">
      <c r="A125" s="301"/>
      <c r="B125" s="298"/>
      <c r="IV125" s="300"/>
    </row>
    <row r="126" spans="1:256" s="299" customFormat="1" x14ac:dyDescent="0.2">
      <c r="A126" s="301"/>
      <c r="B126" s="298"/>
      <c r="IV126" s="300"/>
    </row>
    <row r="127" spans="1:256" s="299" customFormat="1" x14ac:dyDescent="0.2">
      <c r="A127" s="301"/>
      <c r="B127" s="298"/>
      <c r="IV127" s="300"/>
    </row>
    <row r="128" spans="1:256" s="299" customFormat="1" x14ac:dyDescent="0.2">
      <c r="A128" s="301"/>
      <c r="B128" s="298"/>
      <c r="IV128" s="300"/>
    </row>
    <row r="129" spans="1:256" s="299" customFormat="1" x14ac:dyDescent="0.2">
      <c r="A129" s="301"/>
      <c r="B129" s="298"/>
      <c r="IV129" s="300"/>
    </row>
    <row r="130" spans="1:256" s="299" customFormat="1" x14ac:dyDescent="0.2">
      <c r="A130" s="301"/>
      <c r="B130" s="298"/>
      <c r="IV130" s="300"/>
    </row>
    <row r="131" spans="1:256" s="299" customFormat="1" x14ac:dyDescent="0.2">
      <c r="A131" s="301"/>
      <c r="B131" s="298"/>
      <c r="IV131" s="300"/>
    </row>
    <row r="132" spans="1:256" s="299" customFormat="1" x14ac:dyDescent="0.2">
      <c r="A132" s="301"/>
      <c r="B132" s="298"/>
      <c r="IV132" s="300"/>
    </row>
    <row r="133" spans="1:256" s="299" customFormat="1" x14ac:dyDescent="0.2">
      <c r="A133" s="301"/>
      <c r="B133" s="298"/>
      <c r="IV133" s="300"/>
    </row>
    <row r="134" spans="1:256" s="299" customFormat="1" x14ac:dyDescent="0.2">
      <c r="A134" s="301"/>
      <c r="B134" s="298"/>
      <c r="IV134" s="300"/>
    </row>
    <row r="135" spans="1:256" s="299" customFormat="1" x14ac:dyDescent="0.2">
      <c r="A135" s="301"/>
      <c r="B135" s="298"/>
      <c r="IV135" s="300"/>
    </row>
    <row r="136" spans="1:256" s="299" customFormat="1" x14ac:dyDescent="0.2">
      <c r="A136" s="301"/>
      <c r="B136" s="298"/>
      <c r="IV136" s="300"/>
    </row>
    <row r="137" spans="1:256" s="299" customFormat="1" x14ac:dyDescent="0.2">
      <c r="A137" s="301"/>
      <c r="B137" s="298"/>
      <c r="IV137" s="300"/>
    </row>
    <row r="138" spans="1:256" s="299" customFormat="1" x14ac:dyDescent="0.2">
      <c r="A138" s="301"/>
      <c r="B138" s="298"/>
      <c r="IV138" s="300"/>
    </row>
    <row r="139" spans="1:256" s="299" customFormat="1" x14ac:dyDescent="0.2">
      <c r="A139" s="301"/>
      <c r="B139" s="298"/>
      <c r="IV139" s="300"/>
    </row>
    <row r="140" spans="1:256" s="299" customFormat="1" x14ac:dyDescent="0.2">
      <c r="A140" s="301"/>
      <c r="B140" s="298"/>
      <c r="IV140" s="300"/>
    </row>
    <row r="141" spans="1:256" s="299" customFormat="1" x14ac:dyDescent="0.2">
      <c r="A141" s="301"/>
      <c r="B141" s="298"/>
      <c r="IV141" s="300"/>
    </row>
    <row r="142" spans="1:256" s="299" customFormat="1" x14ac:dyDescent="0.2">
      <c r="A142" s="301"/>
      <c r="B142" s="298"/>
      <c r="IV142" s="300"/>
    </row>
    <row r="143" spans="1:256" s="299" customFormat="1" x14ac:dyDescent="0.2">
      <c r="A143" s="301"/>
      <c r="B143" s="298"/>
      <c r="IV143" s="300"/>
    </row>
  </sheetData>
  <mergeCells count="1">
    <mergeCell ref="A1:C1"/>
  </mergeCells>
  <pageMargins left="0.78740157480314965" right="0.78740157480314965" top="1.1417322834645669" bottom="1.0236220472440944" header="0.78740157480314965" footer="0.78740157480314965"/>
  <pageSetup paperSize="9" scale="95" firstPageNumber="0" fitToHeight="0" orientation="portrait" r:id="rId1"/>
  <headerFooter alignWithMargins="0">
    <oddHeader>&amp;L 10. melléklet  a ...../2020. (.......) önkormányzati rendelethez</oddHeader>
    <oddFooter>&amp;R&amp;10&amp;P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V107"/>
  <sheetViews>
    <sheetView workbookViewId="0">
      <pane xSplit="2" ySplit="1" topLeftCell="C74" activePane="bottomRight" state="frozen"/>
      <selection pane="topRight" activeCell="C1" sqref="C1"/>
      <selection pane="bottomLeft" activeCell="A2" sqref="A2"/>
      <selection pane="bottomRight" activeCell="F75" sqref="F75"/>
    </sheetView>
  </sheetViews>
  <sheetFormatPr defaultColWidth="11.7109375" defaultRowHeight="12.75" x14ac:dyDescent="0.2"/>
  <cols>
    <col min="1" max="1" width="11.7109375" style="182"/>
    <col min="2" max="2" width="54.85546875" style="182" customWidth="1"/>
    <col min="3" max="3" width="11.7109375" style="196"/>
    <col min="4" max="4" width="11.7109375" style="197"/>
    <col min="5" max="5" width="11.7109375" style="196" customWidth="1"/>
    <col min="6" max="6" width="11.7109375" style="197" customWidth="1"/>
    <col min="7" max="7" width="11.7109375" style="196" customWidth="1"/>
    <col min="8" max="8" width="11.7109375" style="197" customWidth="1"/>
    <col min="9" max="9" width="11.7109375" style="196"/>
    <col min="10" max="10" width="11.7109375" style="197"/>
    <col min="11" max="11" width="21.28515625" style="196" customWidth="1"/>
    <col min="12" max="12" width="21.28515625" style="197" customWidth="1"/>
    <col min="13" max="13" width="21.28515625" style="196" customWidth="1"/>
    <col min="14" max="14" width="21.28515625" style="197" customWidth="1"/>
    <col min="15" max="15" width="15" style="198" customWidth="1"/>
    <col min="16" max="16" width="15" style="182" customWidth="1"/>
    <col min="17" max="17" width="11.7109375" style="198"/>
    <col min="18" max="18" width="11.7109375" style="182"/>
    <col min="19" max="19" width="11.7109375" style="198"/>
    <col min="20" max="20" width="11.7109375" style="182"/>
    <col min="21" max="21" width="11.7109375" style="198"/>
    <col min="22" max="22" width="11.7109375" style="182"/>
    <col min="23" max="23" width="11.7109375" style="198"/>
    <col min="24" max="24" width="11.7109375" style="182"/>
    <col min="25" max="25" width="11.7109375" style="198"/>
    <col min="26" max="26" width="11.7109375" style="182"/>
    <col min="27" max="27" width="11.7109375" style="198"/>
    <col min="28" max="28" width="11.7109375" style="182"/>
    <col min="29" max="29" width="11.7109375" style="198"/>
    <col min="30" max="30" width="11.7109375" style="182"/>
    <col min="31" max="31" width="11.7109375" style="198"/>
    <col min="32" max="32" width="11.7109375" style="182"/>
    <col min="33" max="33" width="11.7109375" style="198"/>
    <col min="34" max="34" width="11.7109375" style="182"/>
    <col min="35" max="35" width="11.7109375" style="198"/>
    <col min="36" max="36" width="11.7109375" style="182"/>
    <col min="37" max="37" width="11.7109375" style="198"/>
    <col min="38" max="38" width="11.7109375" style="182"/>
    <col min="39" max="39" width="11.7109375" style="198"/>
    <col min="40" max="40" width="11.7109375" style="182"/>
    <col min="41" max="41" width="11.7109375" style="198"/>
    <col min="42" max="42" width="11.7109375" style="182"/>
    <col min="43" max="43" width="11.7109375" style="198"/>
    <col min="44" max="44" width="11.7109375" style="182"/>
    <col min="45" max="45" width="11.7109375" style="198"/>
    <col min="46" max="46" width="11.7109375" style="182"/>
    <col min="47" max="47" width="11.7109375" style="198"/>
    <col min="48" max="48" width="11.7109375" style="182"/>
    <col min="49" max="49" width="11.7109375" style="198"/>
    <col min="50" max="50" width="11.7109375" style="182"/>
    <col min="51" max="51" width="11.7109375" style="198"/>
    <col min="52" max="52" width="11.7109375" style="182"/>
    <col min="53" max="53" width="11.7109375" style="198"/>
    <col min="54" max="54" width="11.7109375" style="182"/>
    <col min="55" max="55" width="11.7109375" style="198"/>
    <col min="56" max="56" width="11.7109375" style="182"/>
    <col min="57" max="57" width="11.7109375" style="198"/>
    <col min="58" max="58" width="11.7109375" style="182"/>
    <col min="59" max="59" width="11.7109375" style="198"/>
    <col min="60" max="60" width="11.7109375" style="182"/>
    <col min="61" max="61" width="11.7109375" style="198"/>
    <col min="62" max="62" width="11.7109375" style="182"/>
    <col min="63" max="63" width="11.7109375" style="198"/>
    <col min="64" max="64" width="11.7109375" style="182"/>
    <col min="65" max="65" width="11.7109375" style="198"/>
    <col min="66" max="66" width="11.7109375" style="182"/>
    <col min="67" max="67" width="11.7109375" style="198"/>
    <col min="68" max="68" width="11.7109375" style="182"/>
    <col min="69" max="69" width="11.7109375" style="198"/>
    <col min="70" max="70" width="11.7109375" style="182"/>
    <col min="71" max="71" width="11.7109375" style="198"/>
    <col min="72" max="72" width="11.7109375" style="182"/>
    <col min="73" max="73" width="11.7109375" style="198"/>
    <col min="74" max="74" width="11.7109375" style="182"/>
    <col min="75" max="75" width="11.7109375" style="198"/>
    <col min="76" max="76" width="11.7109375" style="182"/>
    <col min="77" max="77" width="11.7109375" style="198"/>
    <col min="78" max="78" width="11.7109375" style="182"/>
    <col min="79" max="79" width="11.7109375" style="198"/>
    <col min="80" max="80" width="11.7109375" style="182"/>
    <col min="81" max="81" width="11.7109375" style="198"/>
    <col min="82" max="82" width="11.7109375" style="182"/>
    <col min="83" max="83" width="11.7109375" style="198"/>
    <col min="84" max="84" width="11.7109375" style="182"/>
    <col min="85" max="85" width="11.7109375" style="198"/>
    <col min="86" max="86" width="11.7109375" style="182"/>
    <col min="87" max="87" width="11.7109375" style="198"/>
    <col min="88" max="88" width="11.7109375" style="182"/>
    <col min="89" max="89" width="11.7109375" style="198"/>
    <col min="90" max="90" width="11.7109375" style="182"/>
    <col min="91" max="91" width="11.7109375" style="198"/>
    <col min="92" max="92" width="11.7109375" style="182"/>
    <col min="93" max="93" width="11.7109375" style="198"/>
    <col min="94" max="94" width="11.7109375" style="182"/>
    <col min="95" max="95" width="11.7109375" style="198"/>
    <col min="96" max="96" width="11.7109375" style="182"/>
    <col min="97" max="97" width="11.7109375" style="198"/>
    <col min="98" max="98" width="11.7109375" style="182"/>
    <col min="99" max="99" width="11.7109375" style="198"/>
    <col min="100" max="100" width="11.7109375" style="182"/>
    <col min="101" max="101" width="11.7109375" style="198"/>
    <col min="102" max="102" width="11.7109375" style="182"/>
    <col min="103" max="103" width="11.7109375" style="198"/>
    <col min="104" max="104" width="11.7109375" style="182"/>
    <col min="105" max="105" width="11.7109375" style="198"/>
    <col min="106" max="106" width="11.7109375" style="182"/>
    <col min="107" max="107" width="11.7109375" style="198"/>
    <col min="108" max="108" width="11.7109375" style="182"/>
    <col min="109" max="109" width="11.7109375" style="198"/>
    <col min="110" max="110" width="11.7109375" style="182"/>
    <col min="111" max="111" width="11.7109375" style="198"/>
    <col min="112" max="112" width="11.7109375" style="182"/>
    <col min="113" max="113" width="11.7109375" style="198"/>
    <col min="114" max="114" width="11.7109375" style="182"/>
    <col min="115" max="115" width="11.7109375" style="198"/>
    <col min="116" max="116" width="11.7109375" style="182"/>
    <col min="117" max="117" width="11.7109375" style="198"/>
    <col min="118" max="118" width="11.7109375" style="182"/>
    <col min="119" max="119" width="11.7109375" style="198"/>
    <col min="120" max="120" width="11.7109375" style="182"/>
    <col min="121" max="121" width="11.7109375" style="198"/>
    <col min="122" max="122" width="11.7109375" style="182"/>
    <col min="123" max="123" width="11.7109375" style="198"/>
    <col min="124" max="124" width="11.7109375" style="182"/>
    <col min="125" max="125" width="11.7109375" style="198"/>
    <col min="126" max="16384" width="11.7109375" style="182"/>
  </cols>
  <sheetData>
    <row r="1" spans="1:126" ht="76.5" x14ac:dyDescent="0.2">
      <c r="A1" s="171" t="s">
        <v>763</v>
      </c>
      <c r="B1" s="171" t="s">
        <v>306</v>
      </c>
      <c r="C1" s="172" t="s">
        <v>260</v>
      </c>
      <c r="D1" s="173" t="s">
        <v>259</v>
      </c>
      <c r="E1" s="172" t="s">
        <v>764</v>
      </c>
      <c r="F1" s="173" t="s">
        <v>765</v>
      </c>
      <c r="G1" s="172" t="s">
        <v>766</v>
      </c>
      <c r="H1" s="173" t="s">
        <v>767</v>
      </c>
      <c r="I1" s="172" t="s">
        <v>768</v>
      </c>
      <c r="J1" s="173" t="s">
        <v>769</v>
      </c>
      <c r="K1" s="172" t="s">
        <v>770</v>
      </c>
      <c r="L1" s="173" t="s">
        <v>771</v>
      </c>
      <c r="M1" s="174" t="s">
        <v>772</v>
      </c>
      <c r="N1" s="175" t="s">
        <v>773</v>
      </c>
      <c r="O1" s="176" t="s">
        <v>774</v>
      </c>
      <c r="P1" s="177" t="s">
        <v>775</v>
      </c>
      <c r="Q1" s="176" t="s">
        <v>776</v>
      </c>
      <c r="R1" s="177" t="s">
        <v>777</v>
      </c>
      <c r="S1" s="176" t="s">
        <v>778</v>
      </c>
      <c r="T1" s="177" t="s">
        <v>1271</v>
      </c>
      <c r="U1" s="176" t="s">
        <v>779</v>
      </c>
      <c r="V1" s="177" t="s">
        <v>780</v>
      </c>
      <c r="W1" s="176" t="s">
        <v>781</v>
      </c>
      <c r="X1" s="177" t="s">
        <v>782</v>
      </c>
      <c r="Y1" s="176" t="s">
        <v>783</v>
      </c>
      <c r="Z1" s="177" t="s">
        <v>784</v>
      </c>
      <c r="AA1" s="176" t="s">
        <v>785</v>
      </c>
      <c r="AB1" s="177" t="s">
        <v>786</v>
      </c>
      <c r="AC1" s="176" t="s">
        <v>787</v>
      </c>
      <c r="AD1" s="177" t="s">
        <v>788</v>
      </c>
      <c r="AE1" s="176" t="s">
        <v>789</v>
      </c>
      <c r="AF1" s="177" t="s">
        <v>790</v>
      </c>
      <c r="AG1" s="176" t="s">
        <v>1027</v>
      </c>
      <c r="AH1" s="177" t="s">
        <v>1028</v>
      </c>
      <c r="AI1" s="176" t="s">
        <v>791</v>
      </c>
      <c r="AJ1" s="177" t="s">
        <v>792</v>
      </c>
      <c r="AK1" s="178" t="s">
        <v>793</v>
      </c>
      <c r="AL1" s="179" t="s">
        <v>794</v>
      </c>
      <c r="AM1" s="178" t="s">
        <v>795</v>
      </c>
      <c r="AN1" s="179" t="s">
        <v>796</v>
      </c>
      <c r="AO1" s="178" t="s">
        <v>797</v>
      </c>
      <c r="AP1" s="179" t="s">
        <v>798</v>
      </c>
      <c r="AQ1" s="178" t="s">
        <v>799</v>
      </c>
      <c r="AR1" s="179" t="s">
        <v>800</v>
      </c>
      <c r="AS1" s="180" t="s">
        <v>801</v>
      </c>
      <c r="AT1" s="181" t="s">
        <v>1172</v>
      </c>
      <c r="AU1" s="180" t="s">
        <v>802</v>
      </c>
      <c r="AV1" s="181" t="s">
        <v>803</v>
      </c>
      <c r="AW1" s="180" t="s">
        <v>804</v>
      </c>
      <c r="AX1" s="181" t="s">
        <v>805</v>
      </c>
      <c r="AY1" s="180" t="s">
        <v>806</v>
      </c>
      <c r="AZ1" s="181" t="s">
        <v>807</v>
      </c>
      <c r="BA1" s="180" t="s">
        <v>808</v>
      </c>
      <c r="BB1" s="181" t="s">
        <v>809</v>
      </c>
      <c r="BC1" s="180" t="s">
        <v>810</v>
      </c>
      <c r="BD1" s="181" t="s">
        <v>811</v>
      </c>
      <c r="BE1" s="180" t="s">
        <v>812</v>
      </c>
      <c r="BF1" s="181" t="s">
        <v>813</v>
      </c>
      <c r="BG1" s="180" t="s">
        <v>814</v>
      </c>
      <c r="BH1" s="181" t="s">
        <v>815</v>
      </c>
      <c r="BI1" s="180" t="s">
        <v>816</v>
      </c>
      <c r="BJ1" s="181" t="s">
        <v>817</v>
      </c>
      <c r="BK1" s="180" t="s">
        <v>818</v>
      </c>
      <c r="BL1" s="181" t="s">
        <v>819</v>
      </c>
      <c r="BM1" s="180" t="s">
        <v>820</v>
      </c>
      <c r="BN1" s="181" t="s">
        <v>821</v>
      </c>
      <c r="BO1" s="180" t="s">
        <v>822</v>
      </c>
      <c r="BP1" s="181" t="s">
        <v>823</v>
      </c>
      <c r="BQ1" s="180" t="s">
        <v>824</v>
      </c>
      <c r="BR1" s="181" t="s">
        <v>825</v>
      </c>
      <c r="BS1" s="180" t="s">
        <v>826</v>
      </c>
      <c r="BT1" s="181" t="s">
        <v>827</v>
      </c>
      <c r="BU1" s="180" t="s">
        <v>828</v>
      </c>
      <c r="BV1" s="181" t="s">
        <v>829</v>
      </c>
      <c r="BW1" s="180" t="s">
        <v>830</v>
      </c>
      <c r="BX1" s="181" t="s">
        <v>831</v>
      </c>
      <c r="BY1" s="180" t="s">
        <v>832</v>
      </c>
      <c r="BZ1" s="181" t="s">
        <v>833</v>
      </c>
      <c r="CA1" s="180" t="s">
        <v>834</v>
      </c>
      <c r="CB1" s="181" t="s">
        <v>835</v>
      </c>
      <c r="CC1" s="180" t="s">
        <v>836</v>
      </c>
      <c r="CD1" s="181" t="s">
        <v>837</v>
      </c>
      <c r="CE1" s="180" t="s">
        <v>838</v>
      </c>
      <c r="CF1" s="181" t="s">
        <v>839</v>
      </c>
      <c r="CG1" s="180" t="s">
        <v>840</v>
      </c>
      <c r="CH1" s="181" t="s">
        <v>841</v>
      </c>
      <c r="CI1" s="180" t="s">
        <v>842</v>
      </c>
      <c r="CJ1" s="181" t="s">
        <v>843</v>
      </c>
      <c r="CK1" s="180" t="s">
        <v>844</v>
      </c>
      <c r="CL1" s="181" t="s">
        <v>845</v>
      </c>
      <c r="CM1" s="180" t="s">
        <v>846</v>
      </c>
      <c r="CN1" s="181" t="s">
        <v>847</v>
      </c>
      <c r="CO1" s="180" t="s">
        <v>848</v>
      </c>
      <c r="CP1" s="181" t="s">
        <v>849</v>
      </c>
      <c r="CQ1" s="180" t="s">
        <v>850</v>
      </c>
      <c r="CR1" s="181" t="s">
        <v>851</v>
      </c>
      <c r="CS1" s="180" t="s">
        <v>1141</v>
      </c>
      <c r="CT1" s="181" t="s">
        <v>1142</v>
      </c>
      <c r="CU1" s="180" t="s">
        <v>852</v>
      </c>
      <c r="CV1" s="181" t="s">
        <v>853</v>
      </c>
      <c r="CW1" s="180" t="s">
        <v>854</v>
      </c>
      <c r="CX1" s="181" t="s">
        <v>855</v>
      </c>
      <c r="CY1" s="180" t="s">
        <v>856</v>
      </c>
      <c r="CZ1" s="181" t="s">
        <v>857</v>
      </c>
      <c r="DA1" s="180" t="s">
        <v>858</v>
      </c>
      <c r="DB1" s="181" t="s">
        <v>859</v>
      </c>
      <c r="DC1" s="180" t="s">
        <v>860</v>
      </c>
      <c r="DD1" s="181" t="s">
        <v>861</v>
      </c>
      <c r="DE1" s="180" t="s">
        <v>862</v>
      </c>
      <c r="DF1" s="181" t="s">
        <v>863</v>
      </c>
      <c r="DG1" s="180" t="s">
        <v>864</v>
      </c>
      <c r="DH1" s="181" t="s">
        <v>865</v>
      </c>
      <c r="DI1" s="180" t="s">
        <v>866</v>
      </c>
      <c r="DJ1" s="181" t="s">
        <v>867</v>
      </c>
      <c r="DK1" s="180" t="s">
        <v>868</v>
      </c>
      <c r="DL1" s="181" t="s">
        <v>869</v>
      </c>
      <c r="DM1" s="180" t="s">
        <v>870</v>
      </c>
      <c r="DN1" s="181" t="s">
        <v>1159</v>
      </c>
      <c r="DO1" s="180" t="s">
        <v>871</v>
      </c>
      <c r="DP1" s="181" t="s">
        <v>872</v>
      </c>
      <c r="DQ1" s="180" t="s">
        <v>873</v>
      </c>
      <c r="DR1" s="181" t="s">
        <v>874</v>
      </c>
      <c r="DS1" s="180" t="s">
        <v>875</v>
      </c>
      <c r="DT1" s="181" t="s">
        <v>876</v>
      </c>
      <c r="DU1" s="180" t="s">
        <v>877</v>
      </c>
      <c r="DV1" s="181" t="s">
        <v>878</v>
      </c>
    </row>
    <row r="2" spans="1:126" x14ac:dyDescent="0.2">
      <c r="A2" s="183" t="s">
        <v>4</v>
      </c>
      <c r="B2" s="183" t="s">
        <v>879</v>
      </c>
      <c r="C2" s="184">
        <f t="shared" ref="C2:D17" si="0">E2+G2+I2</f>
        <v>20034</v>
      </c>
      <c r="D2" s="185">
        <f>F2+H2+J2</f>
        <v>40002</v>
      </c>
      <c r="E2" s="184">
        <f t="shared" ref="E2:E17" si="1">K2+M2+O1:O2+Q2+S2+U2+W2+Y2+AA2+AC2+AE2+AI2</f>
        <v>20034</v>
      </c>
      <c r="F2" s="185">
        <f>L2+N2+P1:P2+R2+T2+V2+X2+Z2+AB2+AD2+AF2+AJ2+AH2</f>
        <v>40002</v>
      </c>
      <c r="G2" s="184">
        <f>AK2+AM2+AO2+AQ2+AS2+AU2+AW2+AY2+BA2+BC2+BE2+BG2+BI2+BK2+BM2+BO2+BQ2+BS2+BU2+BW2+BY2+CA2+CC2+CE2+CG2+CI2+CK2+CM2+CO2+CQ2+CS2+CU2+CW2+DA2+CY2+DC2+DE2+DG2+DI2+DK2+DM2+DO2+DQ2+DS2+DU2</f>
        <v>0</v>
      </c>
      <c r="H2" s="185">
        <f>AL2+AN2+AP2+AR2+AT2+AV2+AX2+AZ2+BB2+BD2+BF2+BH2+BJ2+BL2+BN2+BP2+BR2+BT2+BV2+BX2+BZ2+CB2+CD2+CF2+CH2+CJ2+CL2+CN2+CP2+CR2+CT2+CV2+CX2+DB2+CZ2+DD2+DF2+DH2+DJ2+DL2+DN2+DP2+DR2+DT2+DV2</f>
        <v>0</v>
      </c>
      <c r="I2" s="184"/>
      <c r="J2" s="185"/>
      <c r="K2" s="184"/>
      <c r="L2" s="185"/>
      <c r="M2" s="184"/>
      <c r="N2" s="185"/>
      <c r="O2" s="184"/>
      <c r="P2" s="185"/>
      <c r="Q2" s="184">
        <v>20034</v>
      </c>
      <c r="R2" s="185">
        <f>19273+1000</f>
        <v>20273</v>
      </c>
      <c r="S2" s="184"/>
      <c r="T2" s="185"/>
      <c r="U2" s="184"/>
      <c r="V2" s="185"/>
      <c r="W2" s="184"/>
      <c r="X2" s="185"/>
      <c r="Y2" s="184"/>
      <c r="Z2" s="185"/>
      <c r="AA2" s="184"/>
      <c r="AB2" s="185"/>
      <c r="AC2" s="184"/>
      <c r="AD2" s="185"/>
      <c r="AE2" s="184"/>
      <c r="AF2" s="185">
        <v>11413</v>
      </c>
      <c r="AG2" s="184"/>
      <c r="AH2" s="185">
        <v>8316</v>
      </c>
      <c r="AI2" s="184"/>
      <c r="AJ2" s="185"/>
      <c r="AK2" s="184"/>
      <c r="AL2" s="185"/>
      <c r="AM2" s="184"/>
      <c r="AN2" s="185"/>
      <c r="AO2" s="184"/>
      <c r="AP2" s="185"/>
      <c r="AQ2" s="184"/>
      <c r="AR2" s="185"/>
      <c r="AS2" s="184"/>
      <c r="AT2" s="185"/>
      <c r="AU2" s="184"/>
      <c r="AV2" s="185"/>
      <c r="AW2" s="184"/>
      <c r="AX2" s="185"/>
      <c r="AY2" s="184"/>
      <c r="AZ2" s="185"/>
      <c r="BA2" s="184"/>
      <c r="BB2" s="185"/>
      <c r="BC2" s="184"/>
      <c r="BD2" s="185"/>
      <c r="BE2" s="184"/>
      <c r="BF2" s="185"/>
      <c r="BG2" s="184"/>
      <c r="BH2" s="185"/>
      <c r="BI2" s="184"/>
      <c r="BJ2" s="185"/>
      <c r="BK2" s="184"/>
      <c r="BL2" s="185"/>
      <c r="BM2" s="184"/>
      <c r="BN2" s="185"/>
      <c r="BO2" s="184"/>
      <c r="BP2" s="185"/>
      <c r="BQ2" s="184"/>
      <c r="BR2" s="185"/>
      <c r="BS2" s="184"/>
      <c r="BT2" s="185"/>
      <c r="BU2" s="184"/>
      <c r="BV2" s="185"/>
      <c r="BW2" s="184"/>
      <c r="BX2" s="185"/>
      <c r="BY2" s="184"/>
      <c r="BZ2" s="185"/>
      <c r="CA2" s="184"/>
      <c r="CB2" s="185"/>
      <c r="CC2" s="184"/>
      <c r="CD2" s="185"/>
      <c r="CE2" s="184"/>
      <c r="CF2" s="185"/>
      <c r="CG2" s="184"/>
      <c r="CH2" s="185"/>
      <c r="CI2" s="184"/>
      <c r="CJ2" s="185"/>
      <c r="CK2" s="184"/>
      <c r="CL2" s="185"/>
      <c r="CM2" s="184"/>
      <c r="CN2" s="185"/>
      <c r="CO2" s="184"/>
      <c r="CP2" s="185"/>
      <c r="CQ2" s="184"/>
      <c r="CR2" s="185"/>
      <c r="CS2" s="184"/>
      <c r="CT2" s="185"/>
      <c r="CU2" s="184"/>
      <c r="CV2" s="185"/>
      <c r="CW2" s="184"/>
      <c r="CX2" s="185"/>
      <c r="CY2" s="184"/>
      <c r="CZ2" s="185"/>
      <c r="DA2" s="184"/>
      <c r="DB2" s="185"/>
      <c r="DC2" s="184"/>
      <c r="DD2" s="185"/>
      <c r="DE2" s="184"/>
      <c r="DF2" s="185"/>
      <c r="DG2" s="184"/>
      <c r="DH2" s="185"/>
      <c r="DI2" s="184"/>
      <c r="DJ2" s="185"/>
      <c r="DK2" s="184"/>
      <c r="DL2" s="185"/>
      <c r="DM2" s="184"/>
      <c r="DN2" s="185"/>
      <c r="DO2" s="184"/>
      <c r="DP2" s="185"/>
      <c r="DQ2" s="184"/>
      <c r="DR2" s="185"/>
      <c r="DS2" s="184"/>
      <c r="DT2" s="185"/>
      <c r="DU2" s="184"/>
      <c r="DV2" s="185"/>
    </row>
    <row r="3" spans="1:126" x14ac:dyDescent="0.2">
      <c r="A3" s="183" t="s">
        <v>7</v>
      </c>
      <c r="B3" s="183" t="s">
        <v>9</v>
      </c>
      <c r="C3" s="184">
        <f t="shared" si="0"/>
        <v>0</v>
      </c>
      <c r="D3" s="185">
        <f t="shared" si="0"/>
        <v>0</v>
      </c>
      <c r="E3" s="184">
        <f t="shared" si="1"/>
        <v>0</v>
      </c>
      <c r="F3" s="185">
        <f t="shared" ref="F3:F17" si="2">L3+N3+P2:P3+R3+T3+V3+X3+Z3+AB3+AD3+AF3+AJ3+AH3</f>
        <v>0</v>
      </c>
      <c r="G3" s="184">
        <f t="shared" ref="G3:H42" si="3">AK3+AM3+AO3+AQ3+AS3+AU3+AW3+AY3+BA3+BC3+BE3+BG3+BI3+BK3+BM3+BO3+BQ3+BS3+BU3+BW3+BY3+CA3+CC3+CE3+CG3+CI3+CK3+CM3+CO3+CQ3+CS3+CU3+CW3+DA3+CY3+DC3+DE3+DG3+DI3+DK3+DM3+DO3+DQ3+DS3+DU3</f>
        <v>0</v>
      </c>
      <c r="H3" s="185">
        <f t="shared" si="3"/>
        <v>0</v>
      </c>
      <c r="I3" s="184"/>
      <c r="J3" s="185"/>
      <c r="K3" s="184"/>
      <c r="L3" s="185"/>
      <c r="M3" s="184"/>
      <c r="N3" s="185"/>
      <c r="O3" s="184"/>
      <c r="P3" s="185"/>
      <c r="Q3" s="184"/>
      <c r="R3" s="185"/>
      <c r="S3" s="184"/>
      <c r="T3" s="185"/>
      <c r="U3" s="184"/>
      <c r="V3" s="185"/>
      <c r="W3" s="184"/>
      <c r="X3" s="185"/>
      <c r="Y3" s="184"/>
      <c r="Z3" s="185"/>
      <c r="AA3" s="184"/>
      <c r="AB3" s="185"/>
      <c r="AC3" s="184"/>
      <c r="AD3" s="185"/>
      <c r="AE3" s="184"/>
      <c r="AF3" s="185"/>
      <c r="AG3" s="184"/>
      <c r="AH3" s="185"/>
      <c r="AI3" s="184"/>
      <c r="AJ3" s="185"/>
      <c r="AK3" s="184"/>
      <c r="AL3" s="185"/>
      <c r="AM3" s="184"/>
      <c r="AN3" s="185"/>
      <c r="AO3" s="184"/>
      <c r="AP3" s="185"/>
      <c r="AQ3" s="184"/>
      <c r="AR3" s="185"/>
      <c r="AS3" s="184"/>
      <c r="AT3" s="185"/>
      <c r="AU3" s="184"/>
      <c r="AV3" s="185"/>
      <c r="AW3" s="184"/>
      <c r="AX3" s="185"/>
      <c r="AY3" s="184"/>
      <c r="AZ3" s="185"/>
      <c r="BA3" s="184"/>
      <c r="BB3" s="185"/>
      <c r="BC3" s="184"/>
      <c r="BD3" s="185"/>
      <c r="BE3" s="184"/>
      <c r="BF3" s="185"/>
      <c r="BG3" s="184"/>
      <c r="BH3" s="185"/>
      <c r="BI3" s="184"/>
      <c r="BJ3" s="185"/>
      <c r="BK3" s="184"/>
      <c r="BL3" s="185"/>
      <c r="BM3" s="184"/>
      <c r="BN3" s="185"/>
      <c r="BO3" s="184"/>
      <c r="BP3" s="185"/>
      <c r="BQ3" s="184"/>
      <c r="BR3" s="185"/>
      <c r="BS3" s="184"/>
      <c r="BT3" s="185"/>
      <c r="BU3" s="184"/>
      <c r="BV3" s="185"/>
      <c r="BW3" s="184"/>
      <c r="BX3" s="185"/>
      <c r="BY3" s="184"/>
      <c r="BZ3" s="185"/>
      <c r="CA3" s="184"/>
      <c r="CB3" s="185"/>
      <c r="CC3" s="184"/>
      <c r="CD3" s="185"/>
      <c r="CE3" s="184"/>
      <c r="CF3" s="185"/>
      <c r="CG3" s="184"/>
      <c r="CH3" s="185"/>
      <c r="CI3" s="184"/>
      <c r="CJ3" s="185"/>
      <c r="CK3" s="184"/>
      <c r="CL3" s="185"/>
      <c r="CM3" s="184"/>
      <c r="CN3" s="185"/>
      <c r="CO3" s="184"/>
      <c r="CP3" s="185"/>
      <c r="CQ3" s="184"/>
      <c r="CR3" s="185"/>
      <c r="CS3" s="184"/>
      <c r="CT3" s="185"/>
      <c r="CU3" s="184"/>
      <c r="CV3" s="185"/>
      <c r="CW3" s="184"/>
      <c r="CX3" s="185"/>
      <c r="CY3" s="184"/>
      <c r="CZ3" s="185"/>
      <c r="DA3" s="184"/>
      <c r="DB3" s="185"/>
      <c r="DC3" s="184"/>
      <c r="DD3" s="185"/>
      <c r="DE3" s="184"/>
      <c r="DF3" s="185"/>
      <c r="DG3" s="184"/>
      <c r="DH3" s="185"/>
      <c r="DI3" s="184"/>
      <c r="DJ3" s="185"/>
      <c r="DK3" s="184"/>
      <c r="DL3" s="185"/>
      <c r="DM3" s="184"/>
      <c r="DN3" s="185"/>
      <c r="DO3" s="184"/>
      <c r="DP3" s="185"/>
      <c r="DQ3" s="184"/>
      <c r="DR3" s="185"/>
      <c r="DS3" s="184"/>
      <c r="DT3" s="185"/>
      <c r="DU3" s="184"/>
      <c r="DV3" s="185"/>
    </row>
    <row r="4" spans="1:126" x14ac:dyDescent="0.2">
      <c r="A4" s="183" t="s">
        <v>10</v>
      </c>
      <c r="B4" s="183" t="s">
        <v>12</v>
      </c>
      <c r="C4" s="184">
        <f t="shared" si="0"/>
        <v>0</v>
      </c>
      <c r="D4" s="185">
        <f t="shared" si="0"/>
        <v>0</v>
      </c>
      <c r="E4" s="184">
        <f t="shared" si="1"/>
        <v>0</v>
      </c>
      <c r="F4" s="185">
        <f t="shared" si="2"/>
        <v>0</v>
      </c>
      <c r="G4" s="184">
        <f t="shared" si="3"/>
        <v>0</v>
      </c>
      <c r="H4" s="185">
        <f t="shared" si="3"/>
        <v>0</v>
      </c>
      <c r="I4" s="184"/>
      <c r="J4" s="185"/>
      <c r="K4" s="184"/>
      <c r="L4" s="185"/>
      <c r="M4" s="184"/>
      <c r="N4" s="185"/>
      <c r="O4" s="184"/>
      <c r="P4" s="185"/>
      <c r="Q4" s="184"/>
      <c r="R4" s="185"/>
      <c r="S4" s="184"/>
      <c r="T4" s="185"/>
      <c r="U4" s="184"/>
      <c r="V4" s="185"/>
      <c r="W4" s="184"/>
      <c r="X4" s="185"/>
      <c r="Y4" s="184"/>
      <c r="Z4" s="185"/>
      <c r="AA4" s="184"/>
      <c r="AB4" s="185"/>
      <c r="AC4" s="184"/>
      <c r="AD4" s="185"/>
      <c r="AE4" s="184"/>
      <c r="AF4" s="185"/>
      <c r="AG4" s="184"/>
      <c r="AH4" s="185"/>
      <c r="AI4" s="184"/>
      <c r="AJ4" s="185"/>
      <c r="AK4" s="184"/>
      <c r="AL4" s="185"/>
      <c r="AM4" s="184"/>
      <c r="AN4" s="185"/>
      <c r="AO4" s="184"/>
      <c r="AP4" s="185"/>
      <c r="AQ4" s="184"/>
      <c r="AR4" s="185"/>
      <c r="AS4" s="184"/>
      <c r="AT4" s="185"/>
      <c r="AU4" s="184"/>
      <c r="AV4" s="185"/>
      <c r="AW4" s="184"/>
      <c r="AX4" s="185"/>
      <c r="AY4" s="184"/>
      <c r="AZ4" s="185"/>
      <c r="BA4" s="184"/>
      <c r="BB4" s="185"/>
      <c r="BC4" s="184"/>
      <c r="BD4" s="185"/>
      <c r="BE4" s="184"/>
      <c r="BF4" s="185"/>
      <c r="BG4" s="184"/>
      <c r="BH4" s="185"/>
      <c r="BI4" s="184"/>
      <c r="BJ4" s="185"/>
      <c r="BK4" s="184"/>
      <c r="BL4" s="185"/>
      <c r="BM4" s="184"/>
      <c r="BN4" s="185"/>
      <c r="BO4" s="184"/>
      <c r="BP4" s="185"/>
      <c r="BQ4" s="184"/>
      <c r="BR4" s="185"/>
      <c r="BS4" s="184"/>
      <c r="BT4" s="185"/>
      <c r="BU4" s="184"/>
      <c r="BV4" s="185"/>
      <c r="BW4" s="184"/>
      <c r="BX4" s="185"/>
      <c r="BY4" s="184"/>
      <c r="BZ4" s="185"/>
      <c r="CA4" s="184"/>
      <c r="CB4" s="185"/>
      <c r="CC4" s="184"/>
      <c r="CD4" s="185"/>
      <c r="CE4" s="184"/>
      <c r="CF4" s="185"/>
      <c r="CG4" s="184"/>
      <c r="CH4" s="185"/>
      <c r="CI4" s="184"/>
      <c r="CJ4" s="185"/>
      <c r="CK4" s="184"/>
      <c r="CL4" s="185"/>
      <c r="CM4" s="184"/>
      <c r="CN4" s="185"/>
      <c r="CO4" s="184"/>
      <c r="CP4" s="185"/>
      <c r="CQ4" s="184"/>
      <c r="CR4" s="185"/>
      <c r="CS4" s="184"/>
      <c r="CT4" s="185"/>
      <c r="CU4" s="184"/>
      <c r="CV4" s="185"/>
      <c r="CW4" s="184"/>
      <c r="CX4" s="185"/>
      <c r="CY4" s="184"/>
      <c r="CZ4" s="185"/>
      <c r="DA4" s="184"/>
      <c r="DB4" s="185"/>
      <c r="DC4" s="184"/>
      <c r="DD4" s="185"/>
      <c r="DE4" s="184"/>
      <c r="DF4" s="185"/>
      <c r="DG4" s="184"/>
      <c r="DH4" s="185"/>
      <c r="DI4" s="184"/>
      <c r="DJ4" s="185"/>
      <c r="DK4" s="184"/>
      <c r="DL4" s="185"/>
      <c r="DM4" s="184"/>
      <c r="DN4" s="185"/>
      <c r="DO4" s="184"/>
      <c r="DP4" s="185"/>
      <c r="DQ4" s="184"/>
      <c r="DR4" s="185"/>
      <c r="DS4" s="184"/>
      <c r="DT4" s="185"/>
      <c r="DU4" s="184"/>
      <c r="DV4" s="185"/>
    </row>
    <row r="5" spans="1:126" x14ac:dyDescent="0.2">
      <c r="A5" s="183" t="s">
        <v>13</v>
      </c>
      <c r="B5" s="183" t="s">
        <v>15</v>
      </c>
      <c r="C5" s="184">
        <f t="shared" si="0"/>
        <v>477</v>
      </c>
      <c r="D5" s="185">
        <f t="shared" si="0"/>
        <v>1500</v>
      </c>
      <c r="E5" s="184">
        <f t="shared" si="1"/>
        <v>477</v>
      </c>
      <c r="F5" s="185">
        <f t="shared" si="2"/>
        <v>1500</v>
      </c>
      <c r="G5" s="184">
        <f t="shared" si="3"/>
        <v>0</v>
      </c>
      <c r="H5" s="185">
        <f t="shared" si="3"/>
        <v>0</v>
      </c>
      <c r="I5" s="184"/>
      <c r="J5" s="185"/>
      <c r="K5" s="184"/>
      <c r="L5" s="185"/>
      <c r="M5" s="184"/>
      <c r="N5" s="185"/>
      <c r="O5" s="184"/>
      <c r="P5" s="185"/>
      <c r="Q5" s="184">
        <v>477</v>
      </c>
      <c r="R5" s="185">
        <v>1500</v>
      </c>
      <c r="S5" s="184"/>
      <c r="T5" s="185"/>
      <c r="U5" s="184"/>
      <c r="V5" s="185"/>
      <c r="W5" s="184"/>
      <c r="X5" s="185"/>
      <c r="Y5" s="184"/>
      <c r="Z5" s="185"/>
      <c r="AA5" s="184"/>
      <c r="AB5" s="185"/>
      <c r="AC5" s="184"/>
      <c r="AD5" s="185"/>
      <c r="AE5" s="184"/>
      <c r="AF5" s="185"/>
      <c r="AG5" s="184"/>
      <c r="AH5" s="185"/>
      <c r="AI5" s="184"/>
      <c r="AJ5" s="185"/>
      <c r="AK5" s="184"/>
      <c r="AL5" s="185"/>
      <c r="AM5" s="184"/>
      <c r="AN5" s="185"/>
      <c r="AO5" s="184"/>
      <c r="AP5" s="185"/>
      <c r="AQ5" s="184"/>
      <c r="AR5" s="185"/>
      <c r="AS5" s="184"/>
      <c r="AT5" s="185"/>
      <c r="AU5" s="184"/>
      <c r="AV5" s="185"/>
      <c r="AW5" s="184"/>
      <c r="AX5" s="185"/>
      <c r="AY5" s="184"/>
      <c r="AZ5" s="185"/>
      <c r="BA5" s="184"/>
      <c r="BB5" s="185"/>
      <c r="BC5" s="184"/>
      <c r="BD5" s="185"/>
      <c r="BE5" s="184"/>
      <c r="BF5" s="185"/>
      <c r="BG5" s="184"/>
      <c r="BH5" s="185"/>
      <c r="BI5" s="184"/>
      <c r="BJ5" s="185"/>
      <c r="BK5" s="184"/>
      <c r="BL5" s="185"/>
      <c r="BM5" s="184"/>
      <c r="BN5" s="185"/>
      <c r="BO5" s="184"/>
      <c r="BP5" s="185"/>
      <c r="BQ5" s="184"/>
      <c r="BR5" s="185"/>
      <c r="BS5" s="184"/>
      <c r="BT5" s="185"/>
      <c r="BU5" s="184"/>
      <c r="BV5" s="185"/>
      <c r="BW5" s="184"/>
      <c r="BX5" s="185"/>
      <c r="BY5" s="184"/>
      <c r="BZ5" s="185"/>
      <c r="CA5" s="184"/>
      <c r="CB5" s="185"/>
      <c r="CC5" s="184"/>
      <c r="CD5" s="185"/>
      <c r="CE5" s="184"/>
      <c r="CF5" s="185"/>
      <c r="CG5" s="184"/>
      <c r="CH5" s="185"/>
      <c r="CI5" s="184"/>
      <c r="CJ5" s="185"/>
      <c r="CK5" s="184"/>
      <c r="CL5" s="185"/>
      <c r="CM5" s="184"/>
      <c r="CN5" s="185"/>
      <c r="CO5" s="184"/>
      <c r="CP5" s="185"/>
      <c r="CQ5" s="184"/>
      <c r="CR5" s="185"/>
      <c r="CS5" s="184"/>
      <c r="CT5" s="185"/>
      <c r="CU5" s="184"/>
      <c r="CV5" s="185"/>
      <c r="CW5" s="184"/>
      <c r="CX5" s="185"/>
      <c r="CY5" s="184"/>
      <c r="CZ5" s="185"/>
      <c r="DA5" s="184"/>
      <c r="DB5" s="185"/>
      <c r="DC5" s="184"/>
      <c r="DD5" s="185"/>
      <c r="DE5" s="184"/>
      <c r="DF5" s="185"/>
      <c r="DG5" s="184"/>
      <c r="DH5" s="185"/>
      <c r="DI5" s="184"/>
      <c r="DJ5" s="185"/>
      <c r="DK5" s="184"/>
      <c r="DL5" s="185"/>
      <c r="DM5" s="184"/>
      <c r="DN5" s="185"/>
      <c r="DO5" s="184"/>
      <c r="DP5" s="185"/>
      <c r="DQ5" s="184"/>
      <c r="DR5" s="185"/>
      <c r="DS5" s="184"/>
      <c r="DT5" s="185"/>
      <c r="DU5" s="184"/>
      <c r="DV5" s="185"/>
    </row>
    <row r="6" spans="1:126" x14ac:dyDescent="0.2">
      <c r="A6" s="183" t="s">
        <v>18</v>
      </c>
      <c r="B6" s="183" t="s">
        <v>20</v>
      </c>
      <c r="C6" s="184">
        <f t="shared" si="0"/>
        <v>0</v>
      </c>
      <c r="D6" s="185">
        <f t="shared" si="0"/>
        <v>0</v>
      </c>
      <c r="E6" s="184">
        <f t="shared" si="1"/>
        <v>0</v>
      </c>
      <c r="F6" s="185">
        <f t="shared" si="2"/>
        <v>0</v>
      </c>
      <c r="G6" s="184">
        <f t="shared" si="3"/>
        <v>0</v>
      </c>
      <c r="H6" s="185">
        <f t="shared" si="3"/>
        <v>0</v>
      </c>
      <c r="I6" s="184"/>
      <c r="J6" s="185"/>
      <c r="K6" s="184"/>
      <c r="L6" s="185"/>
      <c r="M6" s="184"/>
      <c r="N6" s="185"/>
      <c r="O6" s="184"/>
      <c r="P6" s="185"/>
      <c r="Q6" s="184"/>
      <c r="R6" s="185"/>
      <c r="S6" s="184"/>
      <c r="T6" s="185"/>
      <c r="U6" s="184"/>
      <c r="V6" s="185"/>
      <c r="W6" s="184"/>
      <c r="X6" s="185"/>
      <c r="Y6" s="184"/>
      <c r="Z6" s="185"/>
      <c r="AA6" s="184"/>
      <c r="AB6" s="185"/>
      <c r="AC6" s="184"/>
      <c r="AD6" s="185"/>
      <c r="AE6" s="184"/>
      <c r="AF6" s="185"/>
      <c r="AG6" s="184"/>
      <c r="AH6" s="185"/>
      <c r="AI6" s="184"/>
      <c r="AJ6" s="185"/>
      <c r="AK6" s="184"/>
      <c r="AL6" s="185"/>
      <c r="AM6" s="184"/>
      <c r="AN6" s="185"/>
      <c r="AO6" s="184"/>
      <c r="AP6" s="185"/>
      <c r="AQ6" s="184"/>
      <c r="AR6" s="185"/>
      <c r="AS6" s="184"/>
      <c r="AT6" s="185"/>
      <c r="AU6" s="184"/>
      <c r="AV6" s="185"/>
      <c r="AW6" s="184"/>
      <c r="AX6" s="185"/>
      <c r="AY6" s="184"/>
      <c r="AZ6" s="185"/>
      <c r="BA6" s="184"/>
      <c r="BB6" s="185"/>
      <c r="BC6" s="184"/>
      <c r="BD6" s="185"/>
      <c r="BE6" s="184"/>
      <c r="BF6" s="185"/>
      <c r="BG6" s="184"/>
      <c r="BH6" s="185"/>
      <c r="BI6" s="184"/>
      <c r="BJ6" s="185"/>
      <c r="BK6" s="184"/>
      <c r="BL6" s="185"/>
      <c r="BM6" s="184"/>
      <c r="BN6" s="185"/>
      <c r="BO6" s="184"/>
      <c r="BP6" s="185"/>
      <c r="BQ6" s="184"/>
      <c r="BR6" s="185"/>
      <c r="BS6" s="184"/>
      <c r="BT6" s="185"/>
      <c r="BU6" s="184"/>
      <c r="BV6" s="185"/>
      <c r="BW6" s="184"/>
      <c r="BX6" s="185"/>
      <c r="BY6" s="184"/>
      <c r="BZ6" s="185"/>
      <c r="CA6" s="184"/>
      <c r="CB6" s="185"/>
      <c r="CC6" s="184"/>
      <c r="CD6" s="185"/>
      <c r="CE6" s="184"/>
      <c r="CF6" s="185"/>
      <c r="CG6" s="184"/>
      <c r="CH6" s="185"/>
      <c r="CI6" s="184"/>
      <c r="CJ6" s="185"/>
      <c r="CK6" s="184"/>
      <c r="CL6" s="185"/>
      <c r="CM6" s="184"/>
      <c r="CN6" s="185"/>
      <c r="CO6" s="184"/>
      <c r="CP6" s="185"/>
      <c r="CQ6" s="184"/>
      <c r="CR6" s="185"/>
      <c r="CS6" s="184"/>
      <c r="CT6" s="185"/>
      <c r="CU6" s="184"/>
      <c r="CV6" s="185"/>
      <c r="CW6" s="184"/>
      <c r="CX6" s="185"/>
      <c r="CY6" s="184"/>
      <c r="CZ6" s="185"/>
      <c r="DA6" s="184"/>
      <c r="DB6" s="185"/>
      <c r="DC6" s="184"/>
      <c r="DD6" s="185"/>
      <c r="DE6" s="184"/>
      <c r="DF6" s="185"/>
      <c r="DG6" s="184"/>
      <c r="DH6" s="185"/>
      <c r="DI6" s="184"/>
      <c r="DJ6" s="185"/>
      <c r="DK6" s="184"/>
      <c r="DL6" s="185"/>
      <c r="DM6" s="184"/>
      <c r="DN6" s="185"/>
      <c r="DO6" s="184"/>
      <c r="DP6" s="185"/>
      <c r="DQ6" s="184"/>
      <c r="DR6" s="185"/>
      <c r="DS6" s="184"/>
      <c r="DT6" s="185"/>
      <c r="DU6" s="184"/>
      <c r="DV6" s="185"/>
    </row>
    <row r="7" spans="1:126" x14ac:dyDescent="0.2">
      <c r="A7" s="183" t="s">
        <v>21</v>
      </c>
      <c r="B7" s="183" t="s">
        <v>23</v>
      </c>
      <c r="C7" s="184">
        <f t="shared" si="0"/>
        <v>0</v>
      </c>
      <c r="D7" s="185">
        <f t="shared" si="0"/>
        <v>524</v>
      </c>
      <c r="E7" s="184">
        <f t="shared" si="1"/>
        <v>0</v>
      </c>
      <c r="F7" s="185">
        <f t="shared" si="2"/>
        <v>524</v>
      </c>
      <c r="G7" s="184">
        <f t="shared" si="3"/>
        <v>0</v>
      </c>
      <c r="H7" s="185">
        <f t="shared" si="3"/>
        <v>0</v>
      </c>
      <c r="I7" s="184"/>
      <c r="J7" s="185"/>
      <c r="K7" s="184"/>
      <c r="L7" s="185"/>
      <c r="M7" s="184"/>
      <c r="N7" s="185"/>
      <c r="O7" s="184"/>
      <c r="P7" s="185"/>
      <c r="Q7" s="184"/>
      <c r="R7" s="185">
        <v>524</v>
      </c>
      <c r="S7" s="184"/>
      <c r="T7" s="185"/>
      <c r="U7" s="184"/>
      <c r="V7" s="185"/>
      <c r="W7" s="184"/>
      <c r="X7" s="185"/>
      <c r="Y7" s="184"/>
      <c r="Z7" s="185"/>
      <c r="AA7" s="184"/>
      <c r="AB7" s="185"/>
      <c r="AC7" s="184"/>
      <c r="AD7" s="185"/>
      <c r="AE7" s="184"/>
      <c r="AF7" s="185"/>
      <c r="AG7" s="184"/>
      <c r="AH7" s="185"/>
      <c r="AI7" s="184"/>
      <c r="AJ7" s="185"/>
      <c r="AK7" s="184"/>
      <c r="AL7" s="185"/>
      <c r="AM7" s="184"/>
      <c r="AN7" s="185"/>
      <c r="AO7" s="184"/>
      <c r="AP7" s="185"/>
      <c r="AQ7" s="184"/>
      <c r="AR7" s="185"/>
      <c r="AS7" s="184"/>
      <c r="AT7" s="185"/>
      <c r="AU7" s="184"/>
      <c r="AV7" s="185"/>
      <c r="AW7" s="184"/>
      <c r="AX7" s="185"/>
      <c r="AY7" s="184"/>
      <c r="AZ7" s="185"/>
      <c r="BA7" s="184"/>
      <c r="BB7" s="185"/>
      <c r="BC7" s="184"/>
      <c r="BD7" s="185"/>
      <c r="BE7" s="184"/>
      <c r="BF7" s="185"/>
      <c r="BG7" s="184"/>
      <c r="BH7" s="185"/>
      <c r="BI7" s="184"/>
      <c r="BJ7" s="185"/>
      <c r="BK7" s="184"/>
      <c r="BL7" s="185"/>
      <c r="BM7" s="184"/>
      <c r="BN7" s="185"/>
      <c r="BO7" s="184"/>
      <c r="BP7" s="185"/>
      <c r="BQ7" s="184"/>
      <c r="BR7" s="185"/>
      <c r="BS7" s="184"/>
      <c r="BT7" s="185"/>
      <c r="BU7" s="184"/>
      <c r="BV7" s="185"/>
      <c r="BW7" s="184"/>
      <c r="BX7" s="185"/>
      <c r="BY7" s="184"/>
      <c r="BZ7" s="185"/>
      <c r="CA7" s="184"/>
      <c r="CB7" s="185"/>
      <c r="CC7" s="184"/>
      <c r="CD7" s="185"/>
      <c r="CE7" s="184"/>
      <c r="CF7" s="185"/>
      <c r="CG7" s="184"/>
      <c r="CH7" s="185"/>
      <c r="CI7" s="184"/>
      <c r="CJ7" s="185"/>
      <c r="CK7" s="184"/>
      <c r="CL7" s="185"/>
      <c r="CM7" s="184"/>
      <c r="CN7" s="185"/>
      <c r="CO7" s="184"/>
      <c r="CP7" s="185"/>
      <c r="CQ7" s="184"/>
      <c r="CR7" s="185"/>
      <c r="CS7" s="184"/>
      <c r="CT7" s="185"/>
      <c r="CU7" s="184"/>
      <c r="CV7" s="185"/>
      <c r="CW7" s="184"/>
      <c r="CX7" s="185"/>
      <c r="CY7" s="184"/>
      <c r="CZ7" s="185"/>
      <c r="DA7" s="184"/>
      <c r="DB7" s="185"/>
      <c r="DC7" s="184"/>
      <c r="DD7" s="185"/>
      <c r="DE7" s="184"/>
      <c r="DF7" s="185"/>
      <c r="DG7" s="184"/>
      <c r="DH7" s="185"/>
      <c r="DI7" s="184"/>
      <c r="DJ7" s="185"/>
      <c r="DK7" s="184"/>
      <c r="DL7" s="185"/>
      <c r="DM7" s="184"/>
      <c r="DN7" s="185"/>
      <c r="DO7" s="184"/>
      <c r="DP7" s="185"/>
      <c r="DQ7" s="184"/>
      <c r="DR7" s="185"/>
      <c r="DS7" s="184"/>
      <c r="DT7" s="185"/>
      <c r="DU7" s="184"/>
      <c r="DV7" s="185"/>
    </row>
    <row r="8" spans="1:126" x14ac:dyDescent="0.2">
      <c r="A8" s="183" t="s">
        <v>24</v>
      </c>
      <c r="B8" s="183" t="s">
        <v>26</v>
      </c>
      <c r="C8" s="184">
        <f t="shared" si="0"/>
        <v>672</v>
      </c>
      <c r="D8" s="185">
        <f t="shared" si="0"/>
        <v>672</v>
      </c>
      <c r="E8" s="184">
        <f t="shared" si="1"/>
        <v>672</v>
      </c>
      <c r="F8" s="185">
        <f t="shared" si="2"/>
        <v>672</v>
      </c>
      <c r="G8" s="184">
        <f t="shared" si="3"/>
        <v>0</v>
      </c>
      <c r="H8" s="185">
        <f t="shared" si="3"/>
        <v>0</v>
      </c>
      <c r="I8" s="184"/>
      <c r="J8" s="185"/>
      <c r="K8" s="184"/>
      <c r="L8" s="185"/>
      <c r="M8" s="184"/>
      <c r="N8" s="185"/>
      <c r="O8" s="184"/>
      <c r="P8" s="185"/>
      <c r="Q8" s="184">
        <v>672</v>
      </c>
      <c r="R8" s="185">
        <v>672</v>
      </c>
      <c r="S8" s="184"/>
      <c r="T8" s="185"/>
      <c r="U8" s="184"/>
      <c r="V8" s="185"/>
      <c r="W8" s="184"/>
      <c r="X8" s="185"/>
      <c r="Y8" s="184"/>
      <c r="Z8" s="185"/>
      <c r="AA8" s="184"/>
      <c r="AB8" s="185"/>
      <c r="AC8" s="184"/>
      <c r="AD8" s="185"/>
      <c r="AE8" s="184"/>
      <c r="AF8" s="185"/>
      <c r="AG8" s="184"/>
      <c r="AH8" s="185"/>
      <c r="AI8" s="184"/>
      <c r="AJ8" s="185"/>
      <c r="AK8" s="184"/>
      <c r="AL8" s="185"/>
      <c r="AM8" s="184"/>
      <c r="AN8" s="185"/>
      <c r="AO8" s="184"/>
      <c r="AP8" s="185"/>
      <c r="AQ8" s="184"/>
      <c r="AR8" s="185"/>
      <c r="AS8" s="184"/>
      <c r="AT8" s="185"/>
      <c r="AU8" s="184"/>
      <c r="AV8" s="185"/>
      <c r="AW8" s="184"/>
      <c r="AX8" s="185"/>
      <c r="AY8" s="184"/>
      <c r="AZ8" s="185"/>
      <c r="BA8" s="184"/>
      <c r="BB8" s="185"/>
      <c r="BC8" s="184"/>
      <c r="BD8" s="185"/>
      <c r="BE8" s="184"/>
      <c r="BF8" s="185"/>
      <c r="BG8" s="184"/>
      <c r="BH8" s="185"/>
      <c r="BI8" s="184"/>
      <c r="BJ8" s="185"/>
      <c r="BK8" s="184"/>
      <c r="BL8" s="185"/>
      <c r="BM8" s="184"/>
      <c r="BN8" s="185"/>
      <c r="BO8" s="184"/>
      <c r="BP8" s="185"/>
      <c r="BQ8" s="184"/>
      <c r="BR8" s="185"/>
      <c r="BS8" s="184"/>
      <c r="BT8" s="185"/>
      <c r="BU8" s="184"/>
      <c r="BV8" s="185"/>
      <c r="BW8" s="184"/>
      <c r="BX8" s="185"/>
      <c r="BY8" s="184"/>
      <c r="BZ8" s="185"/>
      <c r="CA8" s="184"/>
      <c r="CB8" s="185"/>
      <c r="CC8" s="184"/>
      <c r="CD8" s="185"/>
      <c r="CE8" s="184"/>
      <c r="CF8" s="185"/>
      <c r="CG8" s="184"/>
      <c r="CH8" s="185"/>
      <c r="CI8" s="184"/>
      <c r="CJ8" s="185"/>
      <c r="CK8" s="184"/>
      <c r="CL8" s="185"/>
      <c r="CM8" s="184"/>
      <c r="CN8" s="185"/>
      <c r="CO8" s="184"/>
      <c r="CP8" s="185"/>
      <c r="CQ8" s="184"/>
      <c r="CR8" s="185"/>
      <c r="CS8" s="184"/>
      <c r="CT8" s="185"/>
      <c r="CU8" s="184"/>
      <c r="CV8" s="185"/>
      <c r="CW8" s="184"/>
      <c r="CX8" s="185"/>
      <c r="CY8" s="184"/>
      <c r="CZ8" s="185"/>
      <c r="DA8" s="184"/>
      <c r="DB8" s="185"/>
      <c r="DC8" s="184"/>
      <c r="DD8" s="185"/>
      <c r="DE8" s="184"/>
      <c r="DF8" s="185"/>
      <c r="DG8" s="184"/>
      <c r="DH8" s="185"/>
      <c r="DI8" s="184"/>
      <c r="DJ8" s="185"/>
      <c r="DK8" s="184"/>
      <c r="DL8" s="185"/>
      <c r="DM8" s="184"/>
      <c r="DN8" s="185"/>
      <c r="DO8" s="184"/>
      <c r="DP8" s="185"/>
      <c r="DQ8" s="184"/>
      <c r="DR8" s="185"/>
      <c r="DS8" s="184"/>
      <c r="DT8" s="185"/>
      <c r="DU8" s="184"/>
      <c r="DV8" s="185"/>
    </row>
    <row r="9" spans="1:126" x14ac:dyDescent="0.2">
      <c r="A9" s="183" t="s">
        <v>27</v>
      </c>
      <c r="B9" s="183" t="s">
        <v>29</v>
      </c>
      <c r="C9" s="184">
        <f t="shared" si="0"/>
        <v>0</v>
      </c>
      <c r="D9" s="185">
        <f t="shared" si="0"/>
        <v>0</v>
      </c>
      <c r="E9" s="184">
        <f t="shared" si="1"/>
        <v>0</v>
      </c>
      <c r="F9" s="185">
        <f t="shared" si="2"/>
        <v>0</v>
      </c>
      <c r="G9" s="184">
        <f t="shared" si="3"/>
        <v>0</v>
      </c>
      <c r="H9" s="185">
        <f t="shared" si="3"/>
        <v>0</v>
      </c>
      <c r="I9" s="184"/>
      <c r="J9" s="185"/>
      <c r="K9" s="184"/>
      <c r="L9" s="185"/>
      <c r="M9" s="184"/>
      <c r="N9" s="185"/>
      <c r="O9" s="184"/>
      <c r="P9" s="185"/>
      <c r="Q9" s="184"/>
      <c r="R9" s="185"/>
      <c r="S9" s="184"/>
      <c r="T9" s="185"/>
      <c r="U9" s="184"/>
      <c r="V9" s="185"/>
      <c r="W9" s="184"/>
      <c r="X9" s="185"/>
      <c r="Y9" s="184"/>
      <c r="Z9" s="185"/>
      <c r="AA9" s="184"/>
      <c r="AB9" s="185"/>
      <c r="AC9" s="184"/>
      <c r="AD9" s="185"/>
      <c r="AE9" s="184"/>
      <c r="AF9" s="185"/>
      <c r="AG9" s="184"/>
      <c r="AH9" s="185"/>
      <c r="AI9" s="184"/>
      <c r="AJ9" s="185"/>
      <c r="AK9" s="184"/>
      <c r="AL9" s="185"/>
      <c r="AM9" s="184"/>
      <c r="AN9" s="185"/>
      <c r="AO9" s="184"/>
      <c r="AP9" s="185"/>
      <c r="AQ9" s="184"/>
      <c r="AR9" s="185"/>
      <c r="AS9" s="184"/>
      <c r="AT9" s="185"/>
      <c r="AU9" s="184"/>
      <c r="AV9" s="185"/>
      <c r="AW9" s="184"/>
      <c r="AX9" s="185"/>
      <c r="AY9" s="184"/>
      <c r="AZ9" s="185"/>
      <c r="BA9" s="184"/>
      <c r="BB9" s="185"/>
      <c r="BC9" s="184"/>
      <c r="BD9" s="185"/>
      <c r="BE9" s="184"/>
      <c r="BF9" s="185"/>
      <c r="BG9" s="184"/>
      <c r="BH9" s="185"/>
      <c r="BI9" s="184"/>
      <c r="BJ9" s="185"/>
      <c r="BK9" s="184"/>
      <c r="BL9" s="185"/>
      <c r="BM9" s="184"/>
      <c r="BN9" s="185"/>
      <c r="BO9" s="184"/>
      <c r="BP9" s="185"/>
      <c r="BQ9" s="184"/>
      <c r="BR9" s="185"/>
      <c r="BS9" s="184"/>
      <c r="BT9" s="185"/>
      <c r="BU9" s="184"/>
      <c r="BV9" s="185"/>
      <c r="BW9" s="184"/>
      <c r="BX9" s="185"/>
      <c r="BY9" s="184"/>
      <c r="BZ9" s="185"/>
      <c r="CA9" s="184"/>
      <c r="CB9" s="185"/>
      <c r="CC9" s="184"/>
      <c r="CD9" s="185"/>
      <c r="CE9" s="184"/>
      <c r="CF9" s="185"/>
      <c r="CG9" s="184"/>
      <c r="CH9" s="185"/>
      <c r="CI9" s="184"/>
      <c r="CJ9" s="185"/>
      <c r="CK9" s="184"/>
      <c r="CL9" s="185"/>
      <c r="CM9" s="184"/>
      <c r="CN9" s="185"/>
      <c r="CO9" s="184"/>
      <c r="CP9" s="185"/>
      <c r="CQ9" s="184"/>
      <c r="CR9" s="185"/>
      <c r="CS9" s="184"/>
      <c r="CT9" s="185"/>
      <c r="CU9" s="184"/>
      <c r="CV9" s="185"/>
      <c r="CW9" s="184"/>
      <c r="CX9" s="185"/>
      <c r="CY9" s="184"/>
      <c r="CZ9" s="185"/>
      <c r="DA9" s="184"/>
      <c r="DB9" s="185"/>
      <c r="DC9" s="184"/>
      <c r="DD9" s="185"/>
      <c r="DE9" s="184"/>
      <c r="DF9" s="185"/>
      <c r="DG9" s="184"/>
      <c r="DH9" s="185"/>
      <c r="DI9" s="184"/>
      <c r="DJ9" s="185"/>
      <c r="DK9" s="184"/>
      <c r="DL9" s="185"/>
      <c r="DM9" s="184"/>
      <c r="DN9" s="185"/>
      <c r="DO9" s="184"/>
      <c r="DP9" s="185"/>
      <c r="DQ9" s="184"/>
      <c r="DR9" s="185"/>
      <c r="DS9" s="184"/>
      <c r="DT9" s="185"/>
      <c r="DU9" s="184"/>
      <c r="DV9" s="185"/>
    </row>
    <row r="10" spans="1:126" x14ac:dyDescent="0.2">
      <c r="A10" s="183" t="s">
        <v>30</v>
      </c>
      <c r="B10" s="183" t="s">
        <v>32</v>
      </c>
      <c r="C10" s="184">
        <f t="shared" si="0"/>
        <v>350</v>
      </c>
      <c r="D10" s="185">
        <f t="shared" si="0"/>
        <v>350</v>
      </c>
      <c r="E10" s="184">
        <f t="shared" si="1"/>
        <v>350</v>
      </c>
      <c r="F10" s="185">
        <f t="shared" si="2"/>
        <v>350</v>
      </c>
      <c r="G10" s="184">
        <f t="shared" si="3"/>
        <v>0</v>
      </c>
      <c r="H10" s="185">
        <f t="shared" si="3"/>
        <v>0</v>
      </c>
      <c r="I10" s="184"/>
      <c r="J10" s="185"/>
      <c r="K10" s="184"/>
      <c r="L10" s="185"/>
      <c r="M10" s="184"/>
      <c r="N10" s="185"/>
      <c r="O10" s="184"/>
      <c r="P10" s="185"/>
      <c r="Q10" s="184">
        <v>350</v>
      </c>
      <c r="R10" s="185">
        <v>350</v>
      </c>
      <c r="S10" s="184"/>
      <c r="T10" s="185"/>
      <c r="U10" s="184"/>
      <c r="V10" s="185"/>
      <c r="W10" s="184"/>
      <c r="X10" s="185"/>
      <c r="Y10" s="184"/>
      <c r="Z10" s="185"/>
      <c r="AA10" s="184"/>
      <c r="AB10" s="185"/>
      <c r="AC10" s="184"/>
      <c r="AD10" s="185"/>
      <c r="AE10" s="184"/>
      <c r="AF10" s="185"/>
      <c r="AG10" s="184"/>
      <c r="AH10" s="185"/>
      <c r="AI10" s="184"/>
      <c r="AJ10" s="185"/>
      <c r="AK10" s="184"/>
      <c r="AL10" s="185"/>
      <c r="AM10" s="184"/>
      <c r="AN10" s="185"/>
      <c r="AO10" s="184"/>
      <c r="AP10" s="185"/>
      <c r="AQ10" s="184"/>
      <c r="AR10" s="185"/>
      <c r="AS10" s="184"/>
      <c r="AT10" s="185"/>
      <c r="AU10" s="184"/>
      <c r="AV10" s="185"/>
      <c r="AW10" s="184"/>
      <c r="AX10" s="185"/>
      <c r="AY10" s="184"/>
      <c r="AZ10" s="185"/>
      <c r="BA10" s="184"/>
      <c r="BB10" s="185"/>
      <c r="BC10" s="184"/>
      <c r="BD10" s="185"/>
      <c r="BE10" s="184"/>
      <c r="BF10" s="185"/>
      <c r="BG10" s="184"/>
      <c r="BH10" s="185"/>
      <c r="BI10" s="184"/>
      <c r="BJ10" s="185"/>
      <c r="BK10" s="184"/>
      <c r="BL10" s="185"/>
      <c r="BM10" s="184"/>
      <c r="BN10" s="185"/>
      <c r="BO10" s="184"/>
      <c r="BP10" s="185"/>
      <c r="BQ10" s="184"/>
      <c r="BR10" s="185"/>
      <c r="BS10" s="184"/>
      <c r="BT10" s="185"/>
      <c r="BU10" s="184"/>
      <c r="BV10" s="185"/>
      <c r="BW10" s="184"/>
      <c r="BX10" s="185"/>
      <c r="BY10" s="184"/>
      <c r="BZ10" s="185"/>
      <c r="CA10" s="184"/>
      <c r="CB10" s="185"/>
      <c r="CC10" s="184"/>
      <c r="CD10" s="185"/>
      <c r="CE10" s="184"/>
      <c r="CF10" s="185"/>
      <c r="CG10" s="184"/>
      <c r="CH10" s="185"/>
      <c r="CI10" s="184"/>
      <c r="CJ10" s="185"/>
      <c r="CK10" s="184"/>
      <c r="CL10" s="185"/>
      <c r="CM10" s="184"/>
      <c r="CN10" s="185"/>
      <c r="CO10" s="184"/>
      <c r="CP10" s="185"/>
      <c r="CQ10" s="184"/>
      <c r="CR10" s="185"/>
      <c r="CS10" s="184"/>
      <c r="CT10" s="185"/>
      <c r="CU10" s="184"/>
      <c r="CV10" s="185"/>
      <c r="CW10" s="184"/>
      <c r="CX10" s="185"/>
      <c r="CY10" s="184"/>
      <c r="CZ10" s="185"/>
      <c r="DA10" s="184"/>
      <c r="DB10" s="185"/>
      <c r="DC10" s="184"/>
      <c r="DD10" s="185"/>
      <c r="DE10" s="184"/>
      <c r="DF10" s="185"/>
      <c r="DG10" s="184"/>
      <c r="DH10" s="185"/>
      <c r="DI10" s="184"/>
      <c r="DJ10" s="185"/>
      <c r="DK10" s="184"/>
      <c r="DL10" s="185"/>
      <c r="DM10" s="184"/>
      <c r="DN10" s="185"/>
      <c r="DO10" s="184"/>
      <c r="DP10" s="185"/>
      <c r="DQ10" s="184"/>
      <c r="DR10" s="185"/>
      <c r="DS10" s="184"/>
      <c r="DT10" s="185"/>
      <c r="DU10" s="184"/>
      <c r="DV10" s="185"/>
    </row>
    <row r="11" spans="1:126" x14ac:dyDescent="0.2">
      <c r="A11" s="183" t="s">
        <v>33</v>
      </c>
      <c r="B11" s="183" t="s">
        <v>35</v>
      </c>
      <c r="C11" s="184">
        <f t="shared" si="0"/>
        <v>0</v>
      </c>
      <c r="D11" s="185">
        <f t="shared" si="0"/>
        <v>144</v>
      </c>
      <c r="E11" s="184">
        <f t="shared" si="1"/>
        <v>0</v>
      </c>
      <c r="F11" s="185">
        <f t="shared" si="2"/>
        <v>144</v>
      </c>
      <c r="G11" s="184">
        <f t="shared" si="3"/>
        <v>0</v>
      </c>
      <c r="H11" s="185">
        <f t="shared" si="3"/>
        <v>0</v>
      </c>
      <c r="I11" s="184"/>
      <c r="J11" s="185"/>
      <c r="K11" s="184"/>
      <c r="L11" s="185"/>
      <c r="M11" s="184"/>
      <c r="N11" s="185"/>
      <c r="O11" s="184"/>
      <c r="P11" s="185"/>
      <c r="Q11" s="184"/>
      <c r="R11" s="185">
        <v>84</v>
      </c>
      <c r="S11" s="184"/>
      <c r="T11" s="185"/>
      <c r="U11" s="184"/>
      <c r="V11" s="185"/>
      <c r="W11" s="184"/>
      <c r="X11" s="185"/>
      <c r="Y11" s="184"/>
      <c r="Z11" s="185"/>
      <c r="AA11" s="184"/>
      <c r="AB11" s="185"/>
      <c r="AC11" s="184"/>
      <c r="AD11" s="185"/>
      <c r="AE11" s="184"/>
      <c r="AF11" s="185">
        <v>60</v>
      </c>
      <c r="AG11" s="184"/>
      <c r="AH11" s="185"/>
      <c r="AI11" s="184"/>
      <c r="AJ11" s="185"/>
      <c r="AK11" s="184"/>
      <c r="AL11" s="185"/>
      <c r="AM11" s="184"/>
      <c r="AN11" s="185"/>
      <c r="AO11" s="184"/>
      <c r="AP11" s="185"/>
      <c r="AQ11" s="184"/>
      <c r="AR11" s="185"/>
      <c r="AS11" s="184"/>
      <c r="AT11" s="185"/>
      <c r="AU11" s="184"/>
      <c r="AV11" s="185"/>
      <c r="AW11" s="184"/>
      <c r="AX11" s="185"/>
      <c r="AY11" s="184"/>
      <c r="AZ11" s="185"/>
      <c r="BA11" s="184"/>
      <c r="BB11" s="185"/>
      <c r="BC11" s="184"/>
      <c r="BD11" s="185"/>
      <c r="BE11" s="184"/>
      <c r="BF11" s="185"/>
      <c r="BG11" s="184"/>
      <c r="BH11" s="185"/>
      <c r="BI11" s="184"/>
      <c r="BJ11" s="185"/>
      <c r="BK11" s="184"/>
      <c r="BL11" s="185"/>
      <c r="BM11" s="184"/>
      <c r="BN11" s="185"/>
      <c r="BO11" s="184"/>
      <c r="BP11" s="185"/>
      <c r="BQ11" s="184"/>
      <c r="BR11" s="185"/>
      <c r="BS11" s="184"/>
      <c r="BT11" s="185"/>
      <c r="BU11" s="184"/>
      <c r="BV11" s="185"/>
      <c r="BW11" s="184"/>
      <c r="BX11" s="185"/>
      <c r="BY11" s="184"/>
      <c r="BZ11" s="185"/>
      <c r="CA11" s="184"/>
      <c r="CB11" s="185"/>
      <c r="CC11" s="184"/>
      <c r="CD11" s="185"/>
      <c r="CE11" s="184"/>
      <c r="CF11" s="185"/>
      <c r="CG11" s="184"/>
      <c r="CH11" s="185"/>
      <c r="CI11" s="184"/>
      <c r="CJ11" s="185"/>
      <c r="CK11" s="184"/>
      <c r="CL11" s="185"/>
      <c r="CM11" s="184"/>
      <c r="CN11" s="185"/>
      <c r="CO11" s="184"/>
      <c r="CP11" s="185"/>
      <c r="CQ11" s="184"/>
      <c r="CR11" s="185"/>
      <c r="CS11" s="184"/>
      <c r="CT11" s="185"/>
      <c r="CU11" s="184"/>
      <c r="CV11" s="185"/>
      <c r="CW11" s="184"/>
      <c r="CX11" s="185"/>
      <c r="CY11" s="184"/>
      <c r="CZ11" s="185"/>
      <c r="DA11" s="184"/>
      <c r="DB11" s="185"/>
      <c r="DC11" s="184"/>
      <c r="DD11" s="185"/>
      <c r="DE11" s="184"/>
      <c r="DF11" s="185"/>
      <c r="DG11" s="184"/>
      <c r="DH11" s="185"/>
      <c r="DI11" s="184"/>
      <c r="DJ11" s="185"/>
      <c r="DK11" s="184"/>
      <c r="DL11" s="185"/>
      <c r="DM11" s="184"/>
      <c r="DN11" s="185"/>
      <c r="DO11" s="184"/>
      <c r="DP11" s="185"/>
      <c r="DQ11" s="184"/>
      <c r="DR11" s="185"/>
      <c r="DS11" s="184"/>
      <c r="DT11" s="185"/>
      <c r="DU11" s="184"/>
      <c r="DV11" s="185"/>
    </row>
    <row r="12" spans="1:126" x14ac:dyDescent="0.2">
      <c r="A12" s="183" t="s">
        <v>36</v>
      </c>
      <c r="B12" s="183" t="s">
        <v>38</v>
      </c>
      <c r="C12" s="184">
        <f t="shared" si="0"/>
        <v>0</v>
      </c>
      <c r="D12" s="185">
        <f t="shared" si="0"/>
        <v>0</v>
      </c>
      <c r="E12" s="184">
        <f t="shared" si="1"/>
        <v>0</v>
      </c>
      <c r="F12" s="185">
        <f t="shared" si="2"/>
        <v>0</v>
      </c>
      <c r="G12" s="184">
        <f t="shared" si="3"/>
        <v>0</v>
      </c>
      <c r="H12" s="185">
        <f t="shared" si="3"/>
        <v>0</v>
      </c>
      <c r="I12" s="184"/>
      <c r="J12" s="185"/>
      <c r="K12" s="184"/>
      <c r="L12" s="185"/>
      <c r="M12" s="184"/>
      <c r="N12" s="185"/>
      <c r="O12" s="184"/>
      <c r="P12" s="185"/>
      <c r="Q12" s="184"/>
      <c r="R12" s="185"/>
      <c r="S12" s="184"/>
      <c r="T12" s="185"/>
      <c r="U12" s="184"/>
      <c r="V12" s="185"/>
      <c r="W12" s="184"/>
      <c r="X12" s="185"/>
      <c r="Y12" s="184"/>
      <c r="Z12" s="185"/>
      <c r="AA12" s="184"/>
      <c r="AB12" s="185"/>
      <c r="AC12" s="184"/>
      <c r="AD12" s="185"/>
      <c r="AE12" s="184"/>
      <c r="AF12" s="185"/>
      <c r="AG12" s="184"/>
      <c r="AH12" s="185"/>
      <c r="AI12" s="184"/>
      <c r="AJ12" s="185"/>
      <c r="AK12" s="184"/>
      <c r="AL12" s="185"/>
      <c r="AM12" s="184"/>
      <c r="AN12" s="185"/>
      <c r="AO12" s="184"/>
      <c r="AP12" s="185"/>
      <c r="AQ12" s="184"/>
      <c r="AR12" s="185"/>
      <c r="AS12" s="184"/>
      <c r="AT12" s="185"/>
      <c r="AU12" s="184"/>
      <c r="AV12" s="185"/>
      <c r="AW12" s="184"/>
      <c r="AX12" s="185"/>
      <c r="AY12" s="184"/>
      <c r="AZ12" s="185"/>
      <c r="BA12" s="184"/>
      <c r="BB12" s="185"/>
      <c r="BC12" s="184"/>
      <c r="BD12" s="185"/>
      <c r="BE12" s="184"/>
      <c r="BF12" s="185"/>
      <c r="BG12" s="184"/>
      <c r="BH12" s="185"/>
      <c r="BI12" s="184"/>
      <c r="BJ12" s="185"/>
      <c r="BK12" s="184"/>
      <c r="BL12" s="185"/>
      <c r="BM12" s="184"/>
      <c r="BN12" s="185"/>
      <c r="BO12" s="184"/>
      <c r="BP12" s="185"/>
      <c r="BQ12" s="184"/>
      <c r="BR12" s="185"/>
      <c r="BS12" s="184"/>
      <c r="BT12" s="185"/>
      <c r="BU12" s="184"/>
      <c r="BV12" s="185"/>
      <c r="BW12" s="184"/>
      <c r="BX12" s="185"/>
      <c r="BY12" s="184"/>
      <c r="BZ12" s="185"/>
      <c r="CA12" s="184"/>
      <c r="CB12" s="185"/>
      <c r="CC12" s="184"/>
      <c r="CD12" s="185"/>
      <c r="CE12" s="184"/>
      <c r="CF12" s="185"/>
      <c r="CG12" s="184"/>
      <c r="CH12" s="185"/>
      <c r="CI12" s="184"/>
      <c r="CJ12" s="185"/>
      <c r="CK12" s="184"/>
      <c r="CL12" s="185"/>
      <c r="CM12" s="184"/>
      <c r="CN12" s="185"/>
      <c r="CO12" s="184"/>
      <c r="CP12" s="185"/>
      <c r="CQ12" s="184"/>
      <c r="CR12" s="185"/>
      <c r="CS12" s="184"/>
      <c r="CT12" s="185"/>
      <c r="CU12" s="184"/>
      <c r="CV12" s="185"/>
      <c r="CW12" s="184"/>
      <c r="CX12" s="185"/>
      <c r="CY12" s="184"/>
      <c r="CZ12" s="185"/>
      <c r="DA12" s="184"/>
      <c r="DB12" s="185"/>
      <c r="DC12" s="184"/>
      <c r="DD12" s="185"/>
      <c r="DE12" s="184"/>
      <c r="DF12" s="185"/>
      <c r="DG12" s="184"/>
      <c r="DH12" s="185"/>
      <c r="DI12" s="184"/>
      <c r="DJ12" s="185"/>
      <c r="DK12" s="184"/>
      <c r="DL12" s="185"/>
      <c r="DM12" s="184"/>
      <c r="DN12" s="185"/>
      <c r="DO12" s="184"/>
      <c r="DP12" s="185"/>
      <c r="DQ12" s="184"/>
      <c r="DR12" s="185"/>
      <c r="DS12" s="184"/>
      <c r="DT12" s="185"/>
      <c r="DU12" s="184"/>
      <c r="DV12" s="185"/>
    </row>
    <row r="13" spans="1:126" x14ac:dyDescent="0.2">
      <c r="A13" s="183" t="s">
        <v>39</v>
      </c>
      <c r="B13" s="183" t="s">
        <v>41</v>
      </c>
      <c r="C13" s="184">
        <f t="shared" si="0"/>
        <v>0</v>
      </c>
      <c r="D13" s="185">
        <f t="shared" si="0"/>
        <v>0</v>
      </c>
      <c r="E13" s="184">
        <f t="shared" si="1"/>
        <v>0</v>
      </c>
      <c r="F13" s="185">
        <f t="shared" si="2"/>
        <v>0</v>
      </c>
      <c r="G13" s="184">
        <f t="shared" si="3"/>
        <v>0</v>
      </c>
      <c r="H13" s="185">
        <f t="shared" si="3"/>
        <v>0</v>
      </c>
      <c r="I13" s="184"/>
      <c r="J13" s="185"/>
      <c r="K13" s="184"/>
      <c r="L13" s="185"/>
      <c r="M13" s="184"/>
      <c r="N13" s="185"/>
      <c r="O13" s="184"/>
      <c r="P13" s="185"/>
      <c r="Q13" s="184"/>
      <c r="R13" s="185"/>
      <c r="S13" s="184"/>
      <c r="T13" s="185"/>
      <c r="U13" s="184"/>
      <c r="V13" s="185"/>
      <c r="W13" s="184"/>
      <c r="X13" s="185"/>
      <c r="Y13" s="184"/>
      <c r="Z13" s="185"/>
      <c r="AA13" s="184"/>
      <c r="AB13" s="185"/>
      <c r="AC13" s="184"/>
      <c r="AD13" s="185"/>
      <c r="AE13" s="184"/>
      <c r="AF13" s="185"/>
      <c r="AG13" s="184"/>
      <c r="AH13" s="185"/>
      <c r="AI13" s="184"/>
      <c r="AJ13" s="185"/>
      <c r="AK13" s="184"/>
      <c r="AL13" s="185"/>
      <c r="AM13" s="184"/>
      <c r="AN13" s="185"/>
      <c r="AO13" s="184"/>
      <c r="AP13" s="185"/>
      <c r="AQ13" s="184"/>
      <c r="AR13" s="185"/>
      <c r="AS13" s="184"/>
      <c r="AT13" s="185"/>
      <c r="AU13" s="184"/>
      <c r="AV13" s="185"/>
      <c r="AW13" s="184"/>
      <c r="AX13" s="185"/>
      <c r="AY13" s="184"/>
      <c r="AZ13" s="185"/>
      <c r="BA13" s="184"/>
      <c r="BB13" s="185"/>
      <c r="BC13" s="184"/>
      <c r="BD13" s="185"/>
      <c r="BE13" s="184"/>
      <c r="BF13" s="185"/>
      <c r="BG13" s="184"/>
      <c r="BH13" s="185"/>
      <c r="BI13" s="184"/>
      <c r="BJ13" s="185"/>
      <c r="BK13" s="184"/>
      <c r="BL13" s="185"/>
      <c r="BM13" s="184"/>
      <c r="BN13" s="185"/>
      <c r="BO13" s="184"/>
      <c r="BP13" s="185"/>
      <c r="BQ13" s="184"/>
      <c r="BR13" s="185"/>
      <c r="BS13" s="184"/>
      <c r="BT13" s="185"/>
      <c r="BU13" s="184"/>
      <c r="BV13" s="185"/>
      <c r="BW13" s="184"/>
      <c r="BX13" s="185"/>
      <c r="BY13" s="184"/>
      <c r="BZ13" s="185"/>
      <c r="CA13" s="184"/>
      <c r="CB13" s="185"/>
      <c r="CC13" s="184"/>
      <c r="CD13" s="185"/>
      <c r="CE13" s="184"/>
      <c r="CF13" s="185"/>
      <c r="CG13" s="184"/>
      <c r="CH13" s="185"/>
      <c r="CI13" s="184"/>
      <c r="CJ13" s="185"/>
      <c r="CK13" s="184"/>
      <c r="CL13" s="185"/>
      <c r="CM13" s="184"/>
      <c r="CN13" s="185"/>
      <c r="CO13" s="184"/>
      <c r="CP13" s="185"/>
      <c r="CQ13" s="184"/>
      <c r="CR13" s="185"/>
      <c r="CS13" s="184"/>
      <c r="CT13" s="185"/>
      <c r="CU13" s="184"/>
      <c r="CV13" s="185"/>
      <c r="CW13" s="184"/>
      <c r="CX13" s="185"/>
      <c r="CY13" s="184"/>
      <c r="CZ13" s="185"/>
      <c r="DA13" s="184"/>
      <c r="DB13" s="185"/>
      <c r="DC13" s="184"/>
      <c r="DD13" s="185"/>
      <c r="DE13" s="184"/>
      <c r="DF13" s="185"/>
      <c r="DG13" s="184"/>
      <c r="DH13" s="185"/>
      <c r="DI13" s="184"/>
      <c r="DJ13" s="185"/>
      <c r="DK13" s="184"/>
      <c r="DL13" s="185"/>
      <c r="DM13" s="184"/>
      <c r="DN13" s="185"/>
      <c r="DO13" s="184"/>
      <c r="DP13" s="185"/>
      <c r="DQ13" s="184"/>
      <c r="DR13" s="185"/>
      <c r="DS13" s="184"/>
      <c r="DT13" s="185"/>
      <c r="DU13" s="184"/>
      <c r="DV13" s="185"/>
    </row>
    <row r="14" spans="1:126" x14ac:dyDescent="0.2">
      <c r="A14" s="183" t="s">
        <v>42</v>
      </c>
      <c r="B14" s="183" t="s">
        <v>880</v>
      </c>
      <c r="C14" s="184">
        <f>E14+G14+I14</f>
        <v>15643</v>
      </c>
      <c r="D14" s="185">
        <f t="shared" si="0"/>
        <v>23414</v>
      </c>
      <c r="E14" s="184">
        <f t="shared" si="1"/>
        <v>100</v>
      </c>
      <c r="F14" s="185">
        <f t="shared" si="2"/>
        <v>100</v>
      </c>
      <c r="G14" s="184">
        <f t="shared" si="3"/>
        <v>15543</v>
      </c>
      <c r="H14" s="185">
        <f t="shared" si="3"/>
        <v>23314</v>
      </c>
      <c r="I14" s="184"/>
      <c r="J14" s="185"/>
      <c r="K14" s="184"/>
      <c r="L14" s="185"/>
      <c r="M14" s="184"/>
      <c r="N14" s="185"/>
      <c r="O14" s="184"/>
      <c r="P14" s="185"/>
      <c r="Q14" s="184">
        <v>100</v>
      </c>
      <c r="R14" s="185">
        <v>100</v>
      </c>
      <c r="S14" s="184"/>
      <c r="T14" s="185"/>
      <c r="U14" s="184"/>
      <c r="V14" s="185"/>
      <c r="W14" s="184"/>
      <c r="X14" s="185"/>
      <c r="Y14" s="184"/>
      <c r="Z14" s="185"/>
      <c r="AA14" s="184"/>
      <c r="AB14" s="185"/>
      <c r="AC14" s="184"/>
      <c r="AD14" s="185"/>
      <c r="AE14" s="184"/>
      <c r="AF14" s="185"/>
      <c r="AG14" s="184"/>
      <c r="AH14" s="185"/>
      <c r="AI14" s="184"/>
      <c r="AJ14" s="185"/>
      <c r="AK14" s="184"/>
      <c r="AL14" s="185"/>
      <c r="AM14" s="184"/>
      <c r="AN14" s="185"/>
      <c r="AO14" s="184"/>
      <c r="AP14" s="185"/>
      <c r="AQ14" s="184"/>
      <c r="AR14" s="185"/>
      <c r="AS14" s="184"/>
      <c r="AT14" s="185"/>
      <c r="AU14" s="184"/>
      <c r="AV14" s="185"/>
      <c r="AW14" s="184"/>
      <c r="AX14" s="185"/>
      <c r="AY14" s="184"/>
      <c r="AZ14" s="185"/>
      <c r="BA14" s="184"/>
      <c r="BB14" s="185"/>
      <c r="BC14" s="184"/>
      <c r="BD14" s="185"/>
      <c r="BE14" s="184"/>
      <c r="BF14" s="185"/>
      <c r="BG14" s="184"/>
      <c r="BH14" s="185"/>
      <c r="BI14" s="184"/>
      <c r="BJ14" s="185"/>
      <c r="BK14" s="184"/>
      <c r="BL14" s="185"/>
      <c r="BM14" s="184"/>
      <c r="BN14" s="185"/>
      <c r="BO14" s="184"/>
      <c r="BP14" s="185"/>
      <c r="BQ14" s="184"/>
      <c r="BR14" s="185"/>
      <c r="BS14" s="184"/>
      <c r="BT14" s="185"/>
      <c r="BU14" s="184"/>
      <c r="BV14" s="185"/>
      <c r="BW14" s="184"/>
      <c r="BX14" s="185"/>
      <c r="BY14" s="184"/>
      <c r="BZ14" s="185"/>
      <c r="CA14" s="184"/>
      <c r="CB14" s="185"/>
      <c r="CC14" s="184"/>
      <c r="CD14" s="185"/>
      <c r="CE14" s="184"/>
      <c r="CF14" s="185"/>
      <c r="CG14" s="184"/>
      <c r="CH14" s="185"/>
      <c r="CI14" s="184"/>
      <c r="CJ14" s="185"/>
      <c r="CK14" s="184"/>
      <c r="CL14" s="185"/>
      <c r="CM14" s="184"/>
      <c r="CN14" s="185"/>
      <c r="CO14" s="184"/>
      <c r="CP14" s="185"/>
      <c r="CQ14" s="184"/>
      <c r="CR14" s="185"/>
      <c r="CS14" s="184"/>
      <c r="CT14" s="185"/>
      <c r="CU14" s="184"/>
      <c r="CV14" s="185"/>
      <c r="CW14" s="184"/>
      <c r="CX14" s="185"/>
      <c r="CY14" s="184"/>
      <c r="CZ14" s="185"/>
      <c r="DA14" s="184"/>
      <c r="DB14" s="185"/>
      <c r="DC14" s="184"/>
      <c r="DD14" s="185"/>
      <c r="DE14" s="184"/>
      <c r="DF14" s="185"/>
      <c r="DG14" s="184"/>
      <c r="DH14" s="185"/>
      <c r="DI14" s="184"/>
      <c r="DJ14" s="185"/>
      <c r="DK14" s="184"/>
      <c r="DL14" s="185"/>
      <c r="DM14" s="184"/>
      <c r="DN14" s="185"/>
      <c r="DO14" s="184"/>
      <c r="DP14" s="185"/>
      <c r="DQ14" s="184"/>
      <c r="DR14" s="185"/>
      <c r="DS14" s="184">
        <v>15543</v>
      </c>
      <c r="DT14" s="185">
        <v>23314</v>
      </c>
      <c r="DU14" s="184"/>
      <c r="DV14" s="185"/>
    </row>
    <row r="15" spans="1:126" x14ac:dyDescent="0.2">
      <c r="A15" s="183" t="s">
        <v>48</v>
      </c>
      <c r="B15" s="183" t="s">
        <v>50</v>
      </c>
      <c r="C15" s="184">
        <f>E15+G15+I15</f>
        <v>0</v>
      </c>
      <c r="D15" s="185">
        <f t="shared" si="0"/>
        <v>44181</v>
      </c>
      <c r="E15" s="184">
        <f t="shared" si="1"/>
        <v>0</v>
      </c>
      <c r="F15" s="185">
        <f t="shared" si="2"/>
        <v>44181</v>
      </c>
      <c r="G15" s="184">
        <f t="shared" si="3"/>
        <v>0</v>
      </c>
      <c r="H15" s="185">
        <f t="shared" si="3"/>
        <v>0</v>
      </c>
      <c r="I15" s="184"/>
      <c r="J15" s="185"/>
      <c r="K15" s="184"/>
      <c r="L15" s="185"/>
      <c r="M15" s="184"/>
      <c r="N15" s="185"/>
      <c r="O15" s="184"/>
      <c r="P15" s="185"/>
      <c r="Q15" s="184"/>
      <c r="R15" s="185"/>
      <c r="S15" s="184"/>
      <c r="T15" s="185"/>
      <c r="U15" s="184"/>
      <c r="V15" s="185"/>
      <c r="W15" s="184"/>
      <c r="X15" s="185"/>
      <c r="Y15" s="184"/>
      <c r="Z15" s="185"/>
      <c r="AA15" s="184"/>
      <c r="AB15" s="185"/>
      <c r="AC15" s="184"/>
      <c r="AD15" s="185"/>
      <c r="AE15" s="184"/>
      <c r="AF15" s="185">
        <f>23776+6660+1696+6282+5767</f>
        <v>44181</v>
      </c>
      <c r="AG15" s="184"/>
      <c r="AH15" s="185"/>
      <c r="AI15" s="184"/>
      <c r="AJ15" s="185"/>
      <c r="AK15" s="184"/>
      <c r="AL15" s="185"/>
      <c r="AM15" s="184"/>
      <c r="AN15" s="185"/>
      <c r="AO15" s="184"/>
      <c r="AP15" s="185"/>
      <c r="AQ15" s="184"/>
      <c r="AR15" s="185"/>
      <c r="AS15" s="184"/>
      <c r="AT15" s="185"/>
      <c r="AU15" s="184"/>
      <c r="AV15" s="185"/>
      <c r="AW15" s="184"/>
      <c r="AX15" s="185"/>
      <c r="AY15" s="184"/>
      <c r="AZ15" s="185"/>
      <c r="BA15" s="184"/>
      <c r="BB15" s="185"/>
      <c r="BC15" s="184"/>
      <c r="BD15" s="185"/>
      <c r="BE15" s="184"/>
      <c r="BF15" s="185"/>
      <c r="BG15" s="184"/>
      <c r="BH15" s="185"/>
      <c r="BI15" s="184"/>
      <c r="BJ15" s="185"/>
      <c r="BK15" s="184"/>
      <c r="BL15" s="185"/>
      <c r="BM15" s="184"/>
      <c r="BN15" s="185"/>
      <c r="BO15" s="184"/>
      <c r="BP15" s="185"/>
      <c r="BQ15" s="184"/>
      <c r="BR15" s="185"/>
      <c r="BS15" s="184"/>
      <c r="BT15" s="185"/>
      <c r="BU15" s="184"/>
      <c r="BV15" s="185"/>
      <c r="BW15" s="184"/>
      <c r="BX15" s="185"/>
      <c r="BY15" s="184"/>
      <c r="BZ15" s="185"/>
      <c r="CA15" s="184"/>
      <c r="CB15" s="185"/>
      <c r="CC15" s="184"/>
      <c r="CD15" s="185"/>
      <c r="CE15" s="184"/>
      <c r="CF15" s="185"/>
      <c r="CG15" s="184"/>
      <c r="CH15" s="185"/>
      <c r="CI15" s="184"/>
      <c r="CJ15" s="185"/>
      <c r="CK15" s="184"/>
      <c r="CL15" s="185"/>
      <c r="CM15" s="184"/>
      <c r="CN15" s="185"/>
      <c r="CO15" s="184"/>
      <c r="CP15" s="185"/>
      <c r="CQ15" s="184"/>
      <c r="CR15" s="185"/>
      <c r="CS15" s="184"/>
      <c r="CT15" s="185"/>
      <c r="CU15" s="184"/>
      <c r="CV15" s="185"/>
      <c r="CW15" s="184"/>
      <c r="CX15" s="185"/>
      <c r="CY15" s="184"/>
      <c r="CZ15" s="185"/>
      <c r="DA15" s="184"/>
      <c r="DB15" s="185"/>
      <c r="DC15" s="184"/>
      <c r="DD15" s="185"/>
      <c r="DE15" s="184"/>
      <c r="DF15" s="185"/>
      <c r="DG15" s="184"/>
      <c r="DH15" s="185"/>
      <c r="DI15" s="184"/>
      <c r="DJ15" s="185"/>
      <c r="DK15" s="184"/>
      <c r="DL15" s="185"/>
      <c r="DM15" s="184"/>
      <c r="DN15" s="185"/>
      <c r="DO15" s="184"/>
      <c r="DP15" s="185"/>
      <c r="DQ15" s="184"/>
      <c r="DR15" s="185"/>
      <c r="DS15" s="184"/>
      <c r="DT15" s="185"/>
      <c r="DU15" s="184"/>
      <c r="DV15" s="185"/>
    </row>
    <row r="16" spans="1:126" x14ac:dyDescent="0.2">
      <c r="A16" s="183" t="s">
        <v>51</v>
      </c>
      <c r="B16" s="183" t="s">
        <v>881</v>
      </c>
      <c r="C16" s="184">
        <f>E16+G16+I16</f>
        <v>150</v>
      </c>
      <c r="D16" s="185">
        <f t="shared" si="0"/>
        <v>20000</v>
      </c>
      <c r="E16" s="184">
        <f t="shared" si="1"/>
        <v>150</v>
      </c>
      <c r="F16" s="185">
        <f t="shared" si="2"/>
        <v>20000</v>
      </c>
      <c r="G16" s="184">
        <f t="shared" si="3"/>
        <v>0</v>
      </c>
      <c r="H16" s="185">
        <f t="shared" si="3"/>
        <v>0</v>
      </c>
      <c r="I16" s="184"/>
      <c r="J16" s="185"/>
      <c r="K16" s="184"/>
      <c r="L16" s="185"/>
      <c r="M16" s="184"/>
      <c r="N16" s="185"/>
      <c r="O16" s="184"/>
      <c r="P16" s="185"/>
      <c r="Q16" s="184">
        <v>150</v>
      </c>
      <c r="R16" s="185">
        <v>0</v>
      </c>
      <c r="S16" s="184"/>
      <c r="T16" s="185"/>
      <c r="U16" s="184"/>
      <c r="V16" s="185"/>
      <c r="W16" s="184"/>
      <c r="X16" s="185"/>
      <c r="Y16" s="184"/>
      <c r="Z16" s="185"/>
      <c r="AA16" s="184"/>
      <c r="AB16" s="185"/>
      <c r="AC16" s="184"/>
      <c r="AD16" s="185"/>
      <c r="AE16" s="184"/>
      <c r="AF16" s="185">
        <v>20000</v>
      </c>
      <c r="AG16" s="184"/>
      <c r="AH16" s="185"/>
      <c r="AI16" s="184"/>
      <c r="AJ16" s="185"/>
      <c r="AK16" s="184"/>
      <c r="AL16" s="185"/>
      <c r="AM16" s="184"/>
      <c r="AN16" s="185"/>
      <c r="AO16" s="184"/>
      <c r="AP16" s="185"/>
      <c r="AQ16" s="184"/>
      <c r="AR16" s="185"/>
      <c r="AS16" s="184"/>
      <c r="AT16" s="185"/>
      <c r="AU16" s="184"/>
      <c r="AV16" s="185"/>
      <c r="AW16" s="184"/>
      <c r="AX16" s="185"/>
      <c r="AY16" s="184"/>
      <c r="AZ16" s="185"/>
      <c r="BA16" s="184"/>
      <c r="BB16" s="185"/>
      <c r="BC16" s="184"/>
      <c r="BD16" s="185"/>
      <c r="BE16" s="184"/>
      <c r="BF16" s="185"/>
      <c r="BG16" s="184"/>
      <c r="BH16" s="185"/>
      <c r="BI16" s="184"/>
      <c r="BJ16" s="185"/>
      <c r="BK16" s="184"/>
      <c r="BL16" s="185"/>
      <c r="BM16" s="184"/>
      <c r="BN16" s="185"/>
      <c r="BO16" s="184"/>
      <c r="BP16" s="185"/>
      <c r="BQ16" s="184"/>
      <c r="BR16" s="185"/>
      <c r="BS16" s="184"/>
      <c r="BT16" s="185"/>
      <c r="BU16" s="184"/>
      <c r="BV16" s="185"/>
      <c r="BW16" s="184"/>
      <c r="BX16" s="185"/>
      <c r="BY16" s="184"/>
      <c r="BZ16" s="185"/>
      <c r="CA16" s="184"/>
      <c r="CB16" s="185"/>
      <c r="CC16" s="184"/>
      <c r="CD16" s="185"/>
      <c r="CE16" s="184"/>
      <c r="CF16" s="185"/>
      <c r="CG16" s="184"/>
      <c r="CH16" s="185"/>
      <c r="CI16" s="184"/>
      <c r="CJ16" s="185"/>
      <c r="CK16" s="184"/>
      <c r="CL16" s="185"/>
      <c r="CM16" s="184"/>
      <c r="CN16" s="185"/>
      <c r="CO16" s="184"/>
      <c r="CP16" s="185"/>
      <c r="CQ16" s="184"/>
      <c r="CR16" s="185"/>
      <c r="CS16" s="184"/>
      <c r="CT16" s="185"/>
      <c r="CU16" s="184"/>
      <c r="CV16" s="185"/>
      <c r="CW16" s="184"/>
      <c r="CX16" s="185"/>
      <c r="CY16" s="184"/>
      <c r="CZ16" s="185"/>
      <c r="DA16" s="184"/>
      <c r="DB16" s="185"/>
      <c r="DC16" s="184"/>
      <c r="DD16" s="185"/>
      <c r="DE16" s="184"/>
      <c r="DF16" s="185"/>
      <c r="DG16" s="184"/>
      <c r="DH16" s="185"/>
      <c r="DI16" s="184"/>
      <c r="DJ16" s="185"/>
      <c r="DK16" s="184"/>
      <c r="DL16" s="185"/>
      <c r="DM16" s="184"/>
      <c r="DN16" s="185"/>
      <c r="DO16" s="184"/>
      <c r="DP16" s="185"/>
      <c r="DQ16" s="184"/>
      <c r="DR16" s="185"/>
      <c r="DS16" s="184"/>
      <c r="DT16" s="185"/>
      <c r="DU16" s="184"/>
      <c r="DV16" s="185"/>
    </row>
    <row r="17" spans="1:126" x14ac:dyDescent="0.2">
      <c r="A17" s="183" t="s">
        <v>54</v>
      </c>
      <c r="B17" s="183" t="s">
        <v>285</v>
      </c>
      <c r="C17" s="184">
        <f>E17+G17+I17</f>
        <v>2650</v>
      </c>
      <c r="D17" s="185">
        <f t="shared" si="0"/>
        <v>31413</v>
      </c>
      <c r="E17" s="184">
        <f t="shared" si="1"/>
        <v>1050</v>
      </c>
      <c r="F17" s="185">
        <f t="shared" si="2"/>
        <v>572</v>
      </c>
      <c r="G17" s="184">
        <f t="shared" si="3"/>
        <v>1600</v>
      </c>
      <c r="H17" s="185">
        <f>AL17+AN17+AP17+AR17+AT17+AV17+AX17+AZ17+BB17+BD17+BF17+BH17+BJ17+BL17+BN17+BP17+BR17+BT17+BV17+BX17+BZ17+CB17+CD17+CF17+CH17+CJ17+CL17+CN17+CP17+CR17+CT17+CV17+CX17+DB17+CZ17+DD17+DF17+DH17+DJ17+DL17+DN17+DP17+DR17+DT17+DV17</f>
        <v>30841</v>
      </c>
      <c r="I17" s="184"/>
      <c r="J17" s="185"/>
      <c r="K17" s="184"/>
      <c r="L17" s="185"/>
      <c r="M17" s="184"/>
      <c r="N17" s="185"/>
      <c r="O17" s="184"/>
      <c r="P17" s="185"/>
      <c r="Q17" s="184">
        <v>50</v>
      </c>
      <c r="R17" s="185">
        <v>50</v>
      </c>
      <c r="S17" s="184"/>
      <c r="T17" s="185"/>
      <c r="U17" s="184"/>
      <c r="V17" s="185"/>
      <c r="W17" s="184"/>
      <c r="X17" s="185"/>
      <c r="Y17" s="184"/>
      <c r="Z17" s="185"/>
      <c r="AA17" s="184"/>
      <c r="AB17" s="185"/>
      <c r="AC17" s="184"/>
      <c r="AD17" s="185"/>
      <c r="AE17" s="184">
        <v>1000</v>
      </c>
      <c r="AF17" s="185">
        <v>522</v>
      </c>
      <c r="AG17" s="184"/>
      <c r="AH17" s="185"/>
      <c r="AI17" s="184"/>
      <c r="AJ17" s="185"/>
      <c r="AK17" s="184"/>
      <c r="AL17" s="185"/>
      <c r="AM17" s="184"/>
      <c r="AN17" s="185"/>
      <c r="AO17" s="184"/>
      <c r="AP17" s="185"/>
      <c r="AQ17" s="184"/>
      <c r="AR17" s="185">
        <v>1000</v>
      </c>
      <c r="AS17" s="184"/>
      <c r="AT17" s="185">
        <f>2000+1200</f>
        <v>3200</v>
      </c>
      <c r="AU17" s="184"/>
      <c r="AV17" s="185"/>
      <c r="AW17" s="184"/>
      <c r="AX17" s="185"/>
      <c r="AY17" s="184"/>
      <c r="AZ17" s="185"/>
      <c r="BA17" s="184"/>
      <c r="BB17" s="185"/>
      <c r="BC17" s="184"/>
      <c r="BD17" s="185"/>
      <c r="BE17" s="184"/>
      <c r="BF17" s="185"/>
      <c r="BG17" s="184"/>
      <c r="BH17" s="185"/>
      <c r="BI17" s="184"/>
      <c r="BJ17" s="185"/>
      <c r="BK17" s="184"/>
      <c r="BL17" s="185"/>
      <c r="BM17" s="184"/>
      <c r="BN17" s="185"/>
      <c r="BO17" s="184"/>
      <c r="BP17" s="185"/>
      <c r="BQ17" s="184"/>
      <c r="BR17" s="185"/>
      <c r="BS17" s="184"/>
      <c r="BT17" s="185"/>
      <c r="BU17" s="184"/>
      <c r="BV17" s="185"/>
      <c r="BW17" s="184"/>
      <c r="BX17" s="185"/>
      <c r="BY17" s="184"/>
      <c r="BZ17" s="185"/>
      <c r="CA17" s="184"/>
      <c r="CB17" s="185"/>
      <c r="CC17" s="184"/>
      <c r="CD17" s="185"/>
      <c r="CE17" s="184"/>
      <c r="CF17" s="185"/>
      <c r="CG17" s="184"/>
      <c r="CH17" s="185"/>
      <c r="CI17" s="184"/>
      <c r="CJ17" s="185"/>
      <c r="CK17" s="184"/>
      <c r="CL17" s="185"/>
      <c r="CM17" s="184"/>
      <c r="CN17" s="185"/>
      <c r="CO17" s="184"/>
      <c r="CP17" s="185"/>
      <c r="CQ17" s="184"/>
      <c r="CR17" s="185"/>
      <c r="CS17" s="184"/>
      <c r="CT17" s="185">
        <v>12000</v>
      </c>
      <c r="CU17" s="184"/>
      <c r="CV17" s="185"/>
      <c r="CW17" s="184"/>
      <c r="CX17" s="185"/>
      <c r="CY17" s="184"/>
      <c r="CZ17" s="185"/>
      <c r="DA17" s="184"/>
      <c r="DB17" s="185"/>
      <c r="DC17" s="184"/>
      <c r="DD17" s="185"/>
      <c r="DE17" s="184"/>
      <c r="DF17" s="185"/>
      <c r="DG17" s="184">
        <v>1600</v>
      </c>
      <c r="DH17" s="185">
        <v>14641</v>
      </c>
      <c r="DI17" s="184"/>
      <c r="DJ17" s="185"/>
      <c r="DK17" s="184"/>
      <c r="DL17" s="185"/>
      <c r="DM17" s="184"/>
      <c r="DN17" s="185"/>
      <c r="DO17" s="184"/>
      <c r="DP17" s="185"/>
      <c r="DQ17" s="184"/>
      <c r="DR17" s="185"/>
      <c r="DS17" s="184"/>
      <c r="DT17" s="185"/>
      <c r="DU17" s="184"/>
      <c r="DV17" s="185"/>
    </row>
    <row r="18" spans="1:126" s="189" customFormat="1" x14ac:dyDescent="0.2">
      <c r="A18" s="186" t="s">
        <v>882</v>
      </c>
      <c r="B18" s="186" t="s">
        <v>286</v>
      </c>
      <c r="C18" s="187">
        <f t="shared" ref="C18:BO18" si="4">SUM(C2:C17)</f>
        <v>39976</v>
      </c>
      <c r="D18" s="188">
        <f>SUM(D2:D17)</f>
        <v>162200</v>
      </c>
      <c r="E18" s="187">
        <f t="shared" si="4"/>
        <v>22833</v>
      </c>
      <c r="F18" s="188">
        <f t="shared" si="4"/>
        <v>108045</v>
      </c>
      <c r="G18" s="187">
        <f t="shared" si="4"/>
        <v>17143</v>
      </c>
      <c r="H18" s="188">
        <f t="shared" si="4"/>
        <v>54155</v>
      </c>
      <c r="I18" s="187">
        <f t="shared" si="4"/>
        <v>0</v>
      </c>
      <c r="J18" s="188">
        <f t="shared" si="4"/>
        <v>0</v>
      </c>
      <c r="K18" s="187">
        <f t="shared" si="4"/>
        <v>0</v>
      </c>
      <c r="L18" s="188">
        <f t="shared" si="4"/>
        <v>0</v>
      </c>
      <c r="M18" s="187">
        <f t="shared" si="4"/>
        <v>0</v>
      </c>
      <c r="N18" s="188">
        <f t="shared" si="4"/>
        <v>0</v>
      </c>
      <c r="O18" s="187">
        <f t="shared" si="4"/>
        <v>0</v>
      </c>
      <c r="P18" s="188">
        <f t="shared" si="4"/>
        <v>0</v>
      </c>
      <c r="Q18" s="187">
        <f t="shared" si="4"/>
        <v>21833</v>
      </c>
      <c r="R18" s="188">
        <f t="shared" si="4"/>
        <v>23553</v>
      </c>
      <c r="S18" s="187">
        <f t="shared" si="4"/>
        <v>0</v>
      </c>
      <c r="T18" s="188">
        <f t="shared" ref="T18" si="5">SUM(T2:T17)</f>
        <v>0</v>
      </c>
      <c r="U18" s="187">
        <f t="shared" si="4"/>
        <v>0</v>
      </c>
      <c r="V18" s="188">
        <f t="shared" ref="V18" si="6">SUM(V2:V17)</f>
        <v>0</v>
      </c>
      <c r="W18" s="187">
        <f t="shared" si="4"/>
        <v>0</v>
      </c>
      <c r="X18" s="188">
        <f t="shared" si="4"/>
        <v>0</v>
      </c>
      <c r="Y18" s="187">
        <f t="shared" si="4"/>
        <v>0</v>
      </c>
      <c r="Z18" s="188">
        <f t="shared" si="4"/>
        <v>0</v>
      </c>
      <c r="AA18" s="187">
        <f t="shared" si="4"/>
        <v>0</v>
      </c>
      <c r="AB18" s="188">
        <f t="shared" ref="AB18" si="7">SUM(AB2:AB17)</f>
        <v>0</v>
      </c>
      <c r="AC18" s="187">
        <f t="shared" si="4"/>
        <v>0</v>
      </c>
      <c r="AD18" s="188">
        <f t="shared" ref="AD18" si="8">SUM(AD2:AD17)</f>
        <v>0</v>
      </c>
      <c r="AE18" s="187">
        <f t="shared" si="4"/>
        <v>1000</v>
      </c>
      <c r="AF18" s="188">
        <f t="shared" ref="AF18" si="9">SUM(AF2:AF17)</f>
        <v>76176</v>
      </c>
      <c r="AG18" s="187"/>
      <c r="AH18" s="188">
        <f t="shared" si="4"/>
        <v>8316</v>
      </c>
      <c r="AI18" s="187">
        <f t="shared" si="4"/>
        <v>0</v>
      </c>
      <c r="AJ18" s="188">
        <f t="shared" ref="AJ18" si="10">SUM(AJ2:AJ17)</f>
        <v>0</v>
      </c>
      <c r="AK18" s="187">
        <f t="shared" si="4"/>
        <v>0</v>
      </c>
      <c r="AL18" s="188">
        <f t="shared" si="4"/>
        <v>0</v>
      </c>
      <c r="AM18" s="187">
        <f t="shared" si="4"/>
        <v>0</v>
      </c>
      <c r="AN18" s="188"/>
      <c r="AO18" s="187">
        <f t="shared" si="4"/>
        <v>0</v>
      </c>
      <c r="AP18" s="188">
        <f t="shared" ref="AP18" si="11">SUM(AP2:AP17)</f>
        <v>0</v>
      </c>
      <c r="AQ18" s="187">
        <f t="shared" si="4"/>
        <v>0</v>
      </c>
      <c r="AR18" s="188">
        <f t="shared" ref="AR18" si="12">SUM(AR2:AR17)</f>
        <v>1000</v>
      </c>
      <c r="AS18" s="187">
        <f t="shared" si="4"/>
        <v>0</v>
      </c>
      <c r="AT18" s="188">
        <f t="shared" ref="AT18" si="13">SUM(AT2:AT17)</f>
        <v>3200</v>
      </c>
      <c r="AU18" s="187">
        <f t="shared" si="4"/>
        <v>0</v>
      </c>
      <c r="AV18" s="188">
        <f t="shared" ref="AV18" si="14">SUM(AV2:AV17)</f>
        <v>0</v>
      </c>
      <c r="AW18" s="187">
        <f t="shared" si="4"/>
        <v>0</v>
      </c>
      <c r="AX18" s="188">
        <f t="shared" ref="AX18" si="15">SUM(AX2:AX17)</f>
        <v>0</v>
      </c>
      <c r="AY18" s="187">
        <f t="shared" si="4"/>
        <v>0</v>
      </c>
      <c r="AZ18" s="188">
        <f t="shared" ref="AZ18" si="16">SUM(AZ2:AZ17)</f>
        <v>0</v>
      </c>
      <c r="BA18" s="187">
        <f t="shared" si="4"/>
        <v>0</v>
      </c>
      <c r="BB18" s="188">
        <f t="shared" ref="BB18" si="17">SUM(BB2:BB17)</f>
        <v>0</v>
      </c>
      <c r="BC18" s="187">
        <f t="shared" si="4"/>
        <v>0</v>
      </c>
      <c r="BD18" s="188">
        <f t="shared" ref="BD18" si="18">SUM(BD2:BD17)</f>
        <v>0</v>
      </c>
      <c r="BE18" s="187">
        <f t="shared" si="4"/>
        <v>0</v>
      </c>
      <c r="BF18" s="188">
        <f t="shared" ref="BF18" si="19">SUM(BF2:BF17)</f>
        <v>0</v>
      </c>
      <c r="BG18" s="187">
        <f t="shared" si="4"/>
        <v>0</v>
      </c>
      <c r="BH18" s="188">
        <f t="shared" ref="BH18" si="20">SUM(BH2:BH17)</f>
        <v>0</v>
      </c>
      <c r="BI18" s="187">
        <f t="shared" si="4"/>
        <v>0</v>
      </c>
      <c r="BJ18" s="188">
        <f t="shared" ref="BJ18" si="21">SUM(BJ2:BJ17)</f>
        <v>0</v>
      </c>
      <c r="BK18" s="187">
        <f t="shared" si="4"/>
        <v>0</v>
      </c>
      <c r="BL18" s="188">
        <f t="shared" ref="BL18" si="22">SUM(BL2:BL17)</f>
        <v>0</v>
      </c>
      <c r="BM18" s="187">
        <f t="shared" si="4"/>
        <v>0</v>
      </c>
      <c r="BN18" s="188">
        <f t="shared" ref="BN18" si="23">SUM(BN2:BN17)</f>
        <v>0</v>
      </c>
      <c r="BO18" s="187">
        <f t="shared" si="4"/>
        <v>0</v>
      </c>
      <c r="BP18" s="188">
        <f t="shared" ref="BP18" si="24">SUM(BP2:BP17)</f>
        <v>0</v>
      </c>
      <c r="BQ18" s="187">
        <f t="shared" ref="BQ18:DU18" si="25">SUM(BQ2:BQ17)</f>
        <v>0</v>
      </c>
      <c r="BR18" s="188">
        <f t="shared" ref="BR18" si="26">SUM(BR2:BR17)</f>
        <v>0</v>
      </c>
      <c r="BS18" s="187">
        <f t="shared" si="25"/>
        <v>0</v>
      </c>
      <c r="BT18" s="188">
        <f t="shared" ref="BT18" si="27">SUM(BT2:BT17)</f>
        <v>0</v>
      </c>
      <c r="BU18" s="187">
        <f t="shared" si="25"/>
        <v>0</v>
      </c>
      <c r="BV18" s="188">
        <f t="shared" ref="BV18" si="28">SUM(BV2:BV17)</f>
        <v>0</v>
      </c>
      <c r="BW18" s="187">
        <f t="shared" si="25"/>
        <v>0</v>
      </c>
      <c r="BX18" s="188">
        <f t="shared" ref="BX18" si="29">SUM(BX2:BX17)</f>
        <v>0</v>
      </c>
      <c r="BY18" s="187">
        <f t="shared" si="25"/>
        <v>0</v>
      </c>
      <c r="BZ18" s="188">
        <f t="shared" ref="BZ18" si="30">SUM(BZ2:BZ17)</f>
        <v>0</v>
      </c>
      <c r="CA18" s="187">
        <f t="shared" si="25"/>
        <v>0</v>
      </c>
      <c r="CB18" s="188">
        <f t="shared" ref="CB18" si="31">SUM(CB2:CB17)</f>
        <v>0</v>
      </c>
      <c r="CC18" s="187">
        <f t="shared" si="25"/>
        <v>0</v>
      </c>
      <c r="CD18" s="188">
        <f t="shared" ref="CD18" si="32">SUM(CD2:CD17)</f>
        <v>0</v>
      </c>
      <c r="CE18" s="187">
        <f t="shared" si="25"/>
        <v>0</v>
      </c>
      <c r="CF18" s="188">
        <f t="shared" ref="CF18" si="33">SUM(CF2:CF17)</f>
        <v>0</v>
      </c>
      <c r="CG18" s="187">
        <f t="shared" si="25"/>
        <v>0</v>
      </c>
      <c r="CH18" s="188">
        <f t="shared" ref="CH18" si="34">SUM(CH2:CH17)</f>
        <v>0</v>
      </c>
      <c r="CI18" s="187">
        <f t="shared" si="25"/>
        <v>0</v>
      </c>
      <c r="CJ18" s="188">
        <f t="shared" ref="CJ18" si="35">SUM(CJ2:CJ17)</f>
        <v>0</v>
      </c>
      <c r="CK18" s="187">
        <f t="shared" si="25"/>
        <v>0</v>
      </c>
      <c r="CL18" s="188">
        <f t="shared" ref="CL18" si="36">SUM(CL2:CL17)</f>
        <v>0</v>
      </c>
      <c r="CM18" s="187">
        <f t="shared" si="25"/>
        <v>0</v>
      </c>
      <c r="CN18" s="188">
        <f t="shared" ref="CN18" si="37">SUM(CN2:CN17)</f>
        <v>0</v>
      </c>
      <c r="CO18" s="187">
        <f t="shared" si="25"/>
        <v>0</v>
      </c>
      <c r="CP18" s="188">
        <f t="shared" ref="CP18" si="38">SUM(CP2:CP17)</f>
        <v>0</v>
      </c>
      <c r="CQ18" s="187">
        <f t="shared" si="25"/>
        <v>0</v>
      </c>
      <c r="CR18" s="188">
        <f t="shared" ref="CR18" si="39">SUM(CR2:CR17)</f>
        <v>0</v>
      </c>
      <c r="CS18" s="187">
        <f t="shared" si="25"/>
        <v>0</v>
      </c>
      <c r="CT18" s="188">
        <f t="shared" si="25"/>
        <v>12000</v>
      </c>
      <c r="CU18" s="187">
        <f t="shared" si="25"/>
        <v>0</v>
      </c>
      <c r="CV18" s="188">
        <f t="shared" ref="CV18" si="40">SUM(CV2:CV17)</f>
        <v>0</v>
      </c>
      <c r="CW18" s="187">
        <f t="shared" si="25"/>
        <v>0</v>
      </c>
      <c r="CX18" s="188">
        <f t="shared" ref="CX18" si="41">SUM(CX2:CX17)</f>
        <v>0</v>
      </c>
      <c r="CY18" s="187">
        <f t="shared" si="25"/>
        <v>0</v>
      </c>
      <c r="CZ18" s="188"/>
      <c r="DA18" s="187">
        <f t="shared" si="25"/>
        <v>0</v>
      </c>
      <c r="DB18" s="188"/>
      <c r="DC18" s="187">
        <f t="shared" si="25"/>
        <v>0</v>
      </c>
      <c r="DD18" s="188">
        <f t="shared" ref="DD18" si="42">SUM(DD2:DD17)</f>
        <v>0</v>
      </c>
      <c r="DE18" s="187">
        <f t="shared" si="25"/>
        <v>0</v>
      </c>
      <c r="DF18" s="188">
        <f t="shared" ref="DF18" si="43">SUM(DF2:DF17)</f>
        <v>0</v>
      </c>
      <c r="DG18" s="187">
        <f t="shared" si="25"/>
        <v>1600</v>
      </c>
      <c r="DH18" s="188">
        <f t="shared" ref="DH18" si="44">SUM(DH2:DH17)</f>
        <v>14641</v>
      </c>
      <c r="DI18" s="187">
        <f t="shared" si="25"/>
        <v>0</v>
      </c>
      <c r="DJ18" s="188">
        <f t="shared" ref="DJ18" si="45">SUM(DJ2:DJ17)</f>
        <v>0</v>
      </c>
      <c r="DK18" s="187">
        <f t="shared" si="25"/>
        <v>0</v>
      </c>
      <c r="DL18" s="188">
        <f t="shared" ref="DL18" si="46">SUM(DL2:DL17)</f>
        <v>0</v>
      </c>
      <c r="DM18" s="187">
        <f t="shared" si="25"/>
        <v>0</v>
      </c>
      <c r="DN18" s="188">
        <f t="shared" ref="DN18" si="47">SUM(DN2:DN17)</f>
        <v>0</v>
      </c>
      <c r="DO18" s="187">
        <f t="shared" si="25"/>
        <v>0</v>
      </c>
      <c r="DP18" s="188">
        <f t="shared" ref="DP18" si="48">SUM(DP2:DP17)</f>
        <v>0</v>
      </c>
      <c r="DQ18" s="187">
        <f t="shared" si="25"/>
        <v>0</v>
      </c>
      <c r="DR18" s="188"/>
      <c r="DS18" s="187">
        <f t="shared" si="25"/>
        <v>15543</v>
      </c>
      <c r="DT18" s="188">
        <f t="shared" ref="DT18" si="49">SUM(DT2:DT17)</f>
        <v>23314</v>
      </c>
      <c r="DU18" s="187">
        <f t="shared" si="25"/>
        <v>0</v>
      </c>
      <c r="DV18" s="188">
        <f t="shared" ref="DV18" si="50">SUM(DV2:DV17)</f>
        <v>0</v>
      </c>
    </row>
    <row r="19" spans="1:126" s="189" customFormat="1" x14ac:dyDescent="0.2">
      <c r="A19" s="186" t="s">
        <v>883</v>
      </c>
      <c r="B19" s="186" t="s">
        <v>287</v>
      </c>
      <c r="C19" s="187">
        <f>E19+G19+I19</f>
        <v>7350</v>
      </c>
      <c r="D19" s="188">
        <f>F19+H19+J19</f>
        <v>41861</v>
      </c>
      <c r="E19" s="187">
        <f>K19+M19+O18:O19+Q19+S19+U19+W19+Y19+AA19+AC19+AE19+AI19</f>
        <v>6379</v>
      </c>
      <c r="F19" s="188">
        <f>L19+N19+P18:P19+R19+T19+V19+X19+Z19+AB19+AD19+AF19+AJ19+AH19</f>
        <v>29235</v>
      </c>
      <c r="G19" s="187">
        <f t="shared" si="3"/>
        <v>971</v>
      </c>
      <c r="H19" s="188">
        <f t="shared" si="3"/>
        <v>12626</v>
      </c>
      <c r="I19" s="187"/>
      <c r="J19" s="188">
        <v>0</v>
      </c>
      <c r="K19" s="187"/>
      <c r="L19" s="188"/>
      <c r="M19" s="187"/>
      <c r="N19" s="188">
        <v>0</v>
      </c>
      <c r="O19" s="187">
        <f>ROUND(O17*1.19*0.43,0)</f>
        <v>0</v>
      </c>
      <c r="P19" s="188">
        <v>0</v>
      </c>
      <c r="Q19" s="187">
        <f>ROUND((Q17*1.19*0.43)+((Q2+Q5+Q14+Q16*0.9)*0.27)+(Q8*1.19*0.3),0)</f>
        <v>5867</v>
      </c>
      <c r="R19" s="188">
        <f>ROUND((R2+R3+R4+R5+R6+R7+R14+R15+R16)*0.27+R8*1.19*0.3+R17*1.19*0.43,0)</f>
        <v>6313</v>
      </c>
      <c r="S19" s="187"/>
      <c r="T19" s="188"/>
      <c r="U19" s="187"/>
      <c r="V19" s="188"/>
      <c r="W19" s="187"/>
      <c r="X19" s="188">
        <v>0</v>
      </c>
      <c r="Y19" s="187"/>
      <c r="Z19" s="188">
        <v>0</v>
      </c>
      <c r="AA19" s="187"/>
      <c r="AB19" s="188"/>
      <c r="AC19" s="187"/>
      <c r="AD19" s="188"/>
      <c r="AE19" s="187">
        <f>ROUND(AE18*1.19*(0.27+0.16),0)</f>
        <v>512</v>
      </c>
      <c r="AF19" s="188">
        <f>ROUND((AF2+AF3+AF4+AF5+AF6+AF7+AF15+AF14+AF16)*0.27+AF17*1.19*0.43,0)</f>
        <v>20677</v>
      </c>
      <c r="AG19" s="187"/>
      <c r="AH19" s="188">
        <f>ROUND((AH2+AH3+AH4+AH5+AH6+AH7+AH14+AH15+AH16)*0.27+AH8*1.19*0.3+AH17*1.19*0.43,0)</f>
        <v>2245</v>
      </c>
      <c r="AI19" s="187"/>
      <c r="AJ19" s="188"/>
      <c r="AK19" s="187"/>
      <c r="AL19" s="188">
        <v>0</v>
      </c>
      <c r="AM19" s="187"/>
      <c r="AN19" s="188"/>
      <c r="AO19" s="187"/>
      <c r="AP19" s="188"/>
      <c r="AQ19" s="187"/>
      <c r="AR19" s="188">
        <v>500</v>
      </c>
      <c r="AS19" s="187"/>
      <c r="AT19" s="188">
        <v>0</v>
      </c>
      <c r="AU19" s="187"/>
      <c r="AV19" s="188"/>
      <c r="AW19" s="187"/>
      <c r="AX19" s="188"/>
      <c r="AY19" s="187"/>
      <c r="AZ19" s="188"/>
      <c r="BA19" s="187"/>
      <c r="BB19" s="188"/>
      <c r="BC19" s="187"/>
      <c r="BD19" s="188"/>
      <c r="BE19" s="187"/>
      <c r="BF19" s="188"/>
      <c r="BG19" s="187"/>
      <c r="BH19" s="188"/>
      <c r="BI19" s="187"/>
      <c r="BJ19" s="188"/>
      <c r="BK19" s="187"/>
      <c r="BL19" s="188"/>
      <c r="BM19" s="187"/>
      <c r="BN19" s="188"/>
      <c r="BO19" s="187"/>
      <c r="BP19" s="188"/>
      <c r="BQ19" s="187"/>
      <c r="BR19" s="188"/>
      <c r="BS19" s="187"/>
      <c r="BT19" s="188"/>
      <c r="BU19" s="187"/>
      <c r="BV19" s="188"/>
      <c r="BW19" s="187"/>
      <c r="BX19" s="188"/>
      <c r="BY19" s="187"/>
      <c r="BZ19" s="188"/>
      <c r="CA19" s="187"/>
      <c r="CB19" s="188"/>
      <c r="CC19" s="187"/>
      <c r="CD19" s="188"/>
      <c r="CE19" s="187"/>
      <c r="CF19" s="188"/>
      <c r="CG19" s="187"/>
      <c r="CH19" s="188"/>
      <c r="CI19" s="187"/>
      <c r="CJ19" s="188"/>
      <c r="CK19" s="187"/>
      <c r="CL19" s="188"/>
      <c r="CM19" s="187"/>
      <c r="CN19" s="188"/>
      <c r="CO19" s="187"/>
      <c r="CP19" s="188"/>
      <c r="CQ19" s="187"/>
      <c r="CR19" s="188"/>
      <c r="CS19" s="187"/>
      <c r="CT19" s="188">
        <f>ROUND(CT17*0.27,0)</f>
        <v>3240</v>
      </c>
      <c r="CU19" s="187"/>
      <c r="CV19" s="188"/>
      <c r="CW19" s="187"/>
      <c r="CX19" s="188"/>
      <c r="CY19" s="187"/>
      <c r="CZ19" s="188"/>
      <c r="DA19" s="187"/>
      <c r="DB19" s="188"/>
      <c r="DC19" s="187"/>
      <c r="DD19" s="188"/>
      <c r="DE19" s="187"/>
      <c r="DF19" s="188"/>
      <c r="DG19" s="187">
        <v>971</v>
      </c>
      <c r="DH19" s="188">
        <v>8886</v>
      </c>
      <c r="DI19" s="187"/>
      <c r="DJ19" s="188"/>
      <c r="DK19" s="187"/>
      <c r="DL19" s="188"/>
      <c r="DM19" s="187"/>
      <c r="DN19" s="188"/>
      <c r="DO19" s="187"/>
      <c r="DP19" s="188"/>
      <c r="DQ19" s="187"/>
      <c r="DR19" s="188"/>
      <c r="DS19" s="187"/>
      <c r="DT19" s="188"/>
      <c r="DU19" s="187"/>
      <c r="DV19" s="188"/>
    </row>
    <row r="20" spans="1:126" x14ac:dyDescent="0.2">
      <c r="A20" s="183" t="s">
        <v>67</v>
      </c>
      <c r="B20" s="183" t="s">
        <v>884</v>
      </c>
      <c r="C20" s="184">
        <f>E20+G20+I20</f>
        <v>50</v>
      </c>
      <c r="D20" s="185">
        <f t="shared" ref="D20:D42" si="51">F20+H20+J20</f>
        <v>211</v>
      </c>
      <c r="E20" s="184">
        <f>K20+M20+O19:O20+Q20+S20+U20+W20+Y20+AA20+AC20+AE20+AI20</f>
        <v>50</v>
      </c>
      <c r="F20" s="185">
        <f t="shared" ref="F20:F42" si="52">L20+N20+P19:P20+R20+T20+V20+X20+Z20+AB20+AD20+AF20+AJ20+AH20</f>
        <v>211</v>
      </c>
      <c r="G20" s="184">
        <f t="shared" si="3"/>
        <v>0</v>
      </c>
      <c r="H20" s="185">
        <f t="shared" si="3"/>
        <v>0</v>
      </c>
      <c r="I20" s="184"/>
      <c r="J20" s="185"/>
      <c r="K20" s="184"/>
      <c r="L20" s="185"/>
      <c r="M20" s="184"/>
      <c r="N20" s="185"/>
      <c r="O20" s="184"/>
      <c r="P20" s="185"/>
      <c r="Q20" s="184">
        <v>30</v>
      </c>
      <c r="R20" s="185">
        <f>30+53+41+52</f>
        <v>176</v>
      </c>
      <c r="S20" s="184"/>
      <c r="T20" s="185"/>
      <c r="U20" s="184"/>
      <c r="V20" s="185"/>
      <c r="W20" s="184"/>
      <c r="X20" s="185"/>
      <c r="Y20" s="184"/>
      <c r="Z20" s="185"/>
      <c r="AA20" s="184"/>
      <c r="AB20" s="185"/>
      <c r="AC20" s="184"/>
      <c r="AD20" s="185"/>
      <c r="AE20" s="184">
        <v>20</v>
      </c>
      <c r="AF20" s="185">
        <v>35</v>
      </c>
      <c r="AG20" s="184"/>
      <c r="AH20" s="185"/>
      <c r="AI20" s="184"/>
      <c r="AJ20" s="185"/>
      <c r="AK20" s="184"/>
      <c r="AL20" s="185"/>
      <c r="AM20" s="184"/>
      <c r="AN20" s="185"/>
      <c r="AO20" s="184"/>
      <c r="AP20" s="185"/>
      <c r="AQ20" s="184"/>
      <c r="AR20" s="185"/>
      <c r="AS20" s="184"/>
      <c r="AT20" s="185"/>
      <c r="AU20" s="184"/>
      <c r="AV20" s="185"/>
      <c r="AW20" s="184"/>
      <c r="AX20" s="185"/>
      <c r="AY20" s="184"/>
      <c r="AZ20" s="185"/>
      <c r="BA20" s="184"/>
      <c r="BB20" s="185"/>
      <c r="BC20" s="184"/>
      <c r="BD20" s="185"/>
      <c r="BE20" s="184"/>
      <c r="BF20" s="185"/>
      <c r="BG20" s="184"/>
      <c r="BH20" s="185"/>
      <c r="BI20" s="184"/>
      <c r="BJ20" s="185"/>
      <c r="BK20" s="184"/>
      <c r="BL20" s="185"/>
      <c r="BM20" s="184"/>
      <c r="BN20" s="185"/>
      <c r="BO20" s="184"/>
      <c r="BP20" s="185"/>
      <c r="BQ20" s="184"/>
      <c r="BR20" s="185"/>
      <c r="BS20" s="184"/>
      <c r="BT20" s="185"/>
      <c r="BU20" s="184"/>
      <c r="BV20" s="185"/>
      <c r="BW20" s="184"/>
      <c r="BX20" s="185"/>
      <c r="BY20" s="184"/>
      <c r="BZ20" s="185"/>
      <c r="CA20" s="184"/>
      <c r="CB20" s="185"/>
      <c r="CC20" s="184"/>
      <c r="CD20" s="185"/>
      <c r="CE20" s="184"/>
      <c r="CF20" s="185"/>
      <c r="CG20" s="184"/>
      <c r="CH20" s="185"/>
      <c r="CI20" s="184"/>
      <c r="CJ20" s="185"/>
      <c r="CK20" s="184"/>
      <c r="CL20" s="185"/>
      <c r="CM20" s="184"/>
      <c r="CN20" s="185"/>
      <c r="CO20" s="184"/>
      <c r="CP20" s="185"/>
      <c r="CQ20" s="184"/>
      <c r="CR20" s="185"/>
      <c r="CS20" s="184"/>
      <c r="CT20" s="185"/>
      <c r="CU20" s="184"/>
      <c r="CV20" s="185"/>
      <c r="CW20" s="184"/>
      <c r="CX20" s="185"/>
      <c r="CY20" s="184"/>
      <c r="CZ20" s="185"/>
      <c r="DA20" s="184"/>
      <c r="DB20" s="185"/>
      <c r="DC20" s="184"/>
      <c r="DD20" s="185"/>
      <c r="DE20" s="184"/>
      <c r="DF20" s="185"/>
      <c r="DG20" s="184"/>
      <c r="DH20" s="185"/>
      <c r="DI20" s="184"/>
      <c r="DJ20" s="185"/>
      <c r="DK20" s="184"/>
      <c r="DL20" s="185"/>
      <c r="DM20" s="184"/>
      <c r="DN20" s="185"/>
      <c r="DO20" s="184"/>
      <c r="DP20" s="185"/>
      <c r="DQ20" s="184"/>
      <c r="DR20" s="185"/>
      <c r="DS20" s="184"/>
      <c r="DT20" s="185"/>
      <c r="DU20" s="184"/>
      <c r="DV20" s="185"/>
    </row>
    <row r="21" spans="1:126" x14ac:dyDescent="0.2">
      <c r="A21" s="183" t="s">
        <v>76</v>
      </c>
      <c r="B21" s="183" t="s">
        <v>885</v>
      </c>
      <c r="C21" s="184">
        <f>E21+G21+I21</f>
        <v>2865</v>
      </c>
      <c r="D21" s="185">
        <f t="shared" si="51"/>
        <v>8002</v>
      </c>
      <c r="E21" s="184">
        <f>K21+M21+O20:O21+Q21+S21+U21+W21+Y21+AA21+AC21+AE21+AI21</f>
        <v>960</v>
      </c>
      <c r="F21" s="185">
        <f t="shared" si="52"/>
        <v>2152</v>
      </c>
      <c r="G21" s="184">
        <f t="shared" si="3"/>
        <v>1905</v>
      </c>
      <c r="H21" s="185">
        <f t="shared" si="3"/>
        <v>5850</v>
      </c>
      <c r="I21" s="184"/>
      <c r="J21" s="185"/>
      <c r="K21" s="184"/>
      <c r="L21" s="185"/>
      <c r="M21" s="184"/>
      <c r="N21" s="185"/>
      <c r="O21" s="184"/>
      <c r="P21" s="185"/>
      <c r="Q21" s="184">
        <v>180</v>
      </c>
      <c r="R21" s="185">
        <v>250</v>
      </c>
      <c r="S21" s="184"/>
      <c r="T21" s="185"/>
      <c r="U21" s="184"/>
      <c r="V21" s="185"/>
      <c r="W21" s="184"/>
      <c r="X21" s="185"/>
      <c r="Y21" s="184"/>
      <c r="Z21" s="185"/>
      <c r="AA21" s="184"/>
      <c r="AB21" s="185"/>
      <c r="AC21" s="184">
        <v>280</v>
      </c>
      <c r="AD21" s="185">
        <v>280</v>
      </c>
      <c r="AE21" s="184">
        <v>500</v>
      </c>
      <c r="AF21" s="185">
        <f>1500+122</f>
        <v>1622</v>
      </c>
      <c r="AG21" s="184"/>
      <c r="AH21" s="185"/>
      <c r="AI21" s="184"/>
      <c r="AJ21" s="185"/>
      <c r="AK21" s="184"/>
      <c r="AL21" s="185"/>
      <c r="AM21" s="184"/>
      <c r="AN21" s="185"/>
      <c r="AO21" s="184"/>
      <c r="AP21" s="185"/>
      <c r="AQ21" s="184"/>
      <c r="AR21" s="185"/>
      <c r="AS21" s="184"/>
      <c r="AT21" s="185"/>
      <c r="AU21" s="184"/>
      <c r="AV21" s="185"/>
      <c r="AW21" s="184"/>
      <c r="AX21" s="185"/>
      <c r="AY21" s="184"/>
      <c r="AZ21" s="185"/>
      <c r="BA21" s="184"/>
      <c r="BB21" s="185"/>
      <c r="BC21" s="184"/>
      <c r="BD21" s="185"/>
      <c r="BE21" s="184"/>
      <c r="BF21" s="185"/>
      <c r="BG21" s="184"/>
      <c r="BH21" s="185"/>
      <c r="BI21" s="184"/>
      <c r="BJ21" s="185"/>
      <c r="BK21" s="184"/>
      <c r="BL21" s="185"/>
      <c r="BM21" s="184"/>
      <c r="BN21" s="185"/>
      <c r="BO21" s="184"/>
      <c r="BP21" s="185"/>
      <c r="BQ21" s="184"/>
      <c r="BR21" s="185"/>
      <c r="BS21" s="184"/>
      <c r="BT21" s="185"/>
      <c r="BU21" s="184"/>
      <c r="BV21" s="185"/>
      <c r="BW21" s="184"/>
      <c r="BX21" s="185"/>
      <c r="BY21" s="184"/>
      <c r="BZ21" s="185"/>
      <c r="CA21" s="184"/>
      <c r="CB21" s="185"/>
      <c r="CC21" s="184"/>
      <c r="CD21" s="185"/>
      <c r="CE21" s="184"/>
      <c r="CF21" s="185"/>
      <c r="CG21" s="184"/>
      <c r="CH21" s="185"/>
      <c r="CI21" s="184"/>
      <c r="CJ21" s="185"/>
      <c r="CK21" s="184"/>
      <c r="CL21" s="185"/>
      <c r="CM21" s="184"/>
      <c r="CN21" s="185"/>
      <c r="CO21" s="184"/>
      <c r="CP21" s="185"/>
      <c r="CQ21" s="184"/>
      <c r="CR21" s="185"/>
      <c r="CS21" s="184"/>
      <c r="CT21" s="185"/>
      <c r="CU21" s="184"/>
      <c r="CV21" s="185"/>
      <c r="CW21" s="184"/>
      <c r="CX21" s="185"/>
      <c r="CY21" s="184"/>
      <c r="CZ21" s="185"/>
      <c r="DA21" s="184"/>
      <c r="DB21" s="185"/>
      <c r="DC21" s="184"/>
      <c r="DD21" s="185"/>
      <c r="DE21" s="184"/>
      <c r="DF21" s="185"/>
      <c r="DG21" s="184"/>
      <c r="DH21" s="185">
        <v>850</v>
      </c>
      <c r="DI21" s="184"/>
      <c r="DJ21" s="185"/>
      <c r="DK21" s="184"/>
      <c r="DL21" s="185"/>
      <c r="DM21" s="184">
        <v>1905</v>
      </c>
      <c r="DN21" s="185">
        <v>5000</v>
      </c>
      <c r="DO21" s="184"/>
      <c r="DP21" s="185"/>
      <c r="DQ21" s="184"/>
      <c r="DR21" s="185"/>
      <c r="DS21" s="184"/>
      <c r="DT21" s="185"/>
      <c r="DU21" s="184"/>
      <c r="DV21" s="185"/>
    </row>
    <row r="22" spans="1:126" x14ac:dyDescent="0.2">
      <c r="A22" s="183" t="s">
        <v>85</v>
      </c>
      <c r="B22" s="183" t="s">
        <v>88</v>
      </c>
      <c r="C22" s="184">
        <f>E22+G22+I22</f>
        <v>0</v>
      </c>
      <c r="D22" s="185">
        <f t="shared" si="51"/>
        <v>0</v>
      </c>
      <c r="E22" s="184">
        <f>K22+M22+O21:O22+Q22+S22+U22+W22+Y22+AA22+AC22+AE22+AI22</f>
        <v>0</v>
      </c>
      <c r="F22" s="185">
        <f t="shared" si="52"/>
        <v>0</v>
      </c>
      <c r="G22" s="184">
        <f t="shared" si="3"/>
        <v>0</v>
      </c>
      <c r="H22" s="185">
        <f t="shared" si="3"/>
        <v>0</v>
      </c>
      <c r="I22" s="184"/>
      <c r="J22" s="185"/>
      <c r="K22" s="184"/>
      <c r="L22" s="185"/>
      <c r="M22" s="184"/>
      <c r="N22" s="185"/>
      <c r="O22" s="184"/>
      <c r="P22" s="185"/>
      <c r="Q22" s="184">
        <v>0</v>
      </c>
      <c r="R22" s="185">
        <v>0</v>
      </c>
      <c r="S22" s="184"/>
      <c r="T22" s="185"/>
      <c r="U22" s="184"/>
      <c r="V22" s="185"/>
      <c r="W22" s="184"/>
      <c r="X22" s="185"/>
      <c r="Y22" s="184"/>
      <c r="Z22" s="185"/>
      <c r="AA22" s="184"/>
      <c r="AB22" s="185"/>
      <c r="AC22" s="184"/>
      <c r="AD22" s="185"/>
      <c r="AE22" s="184"/>
      <c r="AF22" s="185"/>
      <c r="AG22" s="184"/>
      <c r="AH22" s="185"/>
      <c r="AI22" s="184"/>
      <c r="AJ22" s="185"/>
      <c r="AK22" s="184"/>
      <c r="AL22" s="185"/>
      <c r="AM22" s="184"/>
      <c r="AN22" s="185"/>
      <c r="AO22" s="184"/>
      <c r="AP22" s="185"/>
      <c r="AQ22" s="184"/>
      <c r="AR22" s="185"/>
      <c r="AS22" s="184"/>
      <c r="AT22" s="185"/>
      <c r="AU22" s="184"/>
      <c r="AV22" s="185"/>
      <c r="AW22" s="184"/>
      <c r="AX22" s="185"/>
      <c r="AY22" s="184"/>
      <c r="AZ22" s="185"/>
      <c r="BA22" s="184"/>
      <c r="BB22" s="185"/>
      <c r="BC22" s="184"/>
      <c r="BD22" s="185"/>
      <c r="BE22" s="184"/>
      <c r="BF22" s="185"/>
      <c r="BG22" s="184"/>
      <c r="BH22" s="185"/>
      <c r="BI22" s="184"/>
      <c r="BJ22" s="185"/>
      <c r="BK22" s="184"/>
      <c r="BL22" s="185"/>
      <c r="BM22" s="184"/>
      <c r="BN22" s="185"/>
      <c r="BO22" s="184"/>
      <c r="BP22" s="185"/>
      <c r="BQ22" s="184"/>
      <c r="BR22" s="185"/>
      <c r="BS22" s="184"/>
      <c r="BT22" s="185"/>
      <c r="BU22" s="184"/>
      <c r="BV22" s="185"/>
      <c r="BW22" s="184"/>
      <c r="BX22" s="185"/>
      <c r="BY22" s="184"/>
      <c r="BZ22" s="185"/>
      <c r="CA22" s="184"/>
      <c r="CB22" s="185"/>
      <c r="CC22" s="184"/>
      <c r="CD22" s="185"/>
      <c r="CE22" s="184"/>
      <c r="CF22" s="185"/>
      <c r="CG22" s="184"/>
      <c r="CH22" s="185"/>
      <c r="CI22" s="184"/>
      <c r="CJ22" s="185"/>
      <c r="CK22" s="184"/>
      <c r="CL22" s="185"/>
      <c r="CM22" s="184"/>
      <c r="CN22" s="185"/>
      <c r="CO22" s="184"/>
      <c r="CP22" s="185"/>
      <c r="CQ22" s="184"/>
      <c r="CR22" s="185"/>
      <c r="CS22" s="184"/>
      <c r="CT22" s="185"/>
      <c r="CU22" s="184"/>
      <c r="CV22" s="185"/>
      <c r="CW22" s="184"/>
      <c r="CX22" s="185"/>
      <c r="CY22" s="184"/>
      <c r="CZ22" s="185"/>
      <c r="DA22" s="184"/>
      <c r="DB22" s="185"/>
      <c r="DC22" s="184"/>
      <c r="DD22" s="185"/>
      <c r="DE22" s="184"/>
      <c r="DF22" s="185"/>
      <c r="DG22" s="184"/>
      <c r="DH22" s="185"/>
      <c r="DI22" s="184"/>
      <c r="DJ22" s="185"/>
      <c r="DK22" s="184"/>
      <c r="DL22" s="185"/>
      <c r="DM22" s="184"/>
      <c r="DN22" s="185"/>
      <c r="DO22" s="184"/>
      <c r="DP22" s="185"/>
      <c r="DQ22" s="184"/>
      <c r="DR22" s="185"/>
      <c r="DS22" s="184"/>
      <c r="DT22" s="185"/>
      <c r="DU22" s="184"/>
      <c r="DV22" s="185"/>
    </row>
    <row r="23" spans="1:126" x14ac:dyDescent="0.2">
      <c r="A23" s="190" t="s">
        <v>90</v>
      </c>
      <c r="B23" s="190" t="s">
        <v>886</v>
      </c>
      <c r="C23" s="191">
        <f t="shared" ref="C23:H23" si="53">SUM(C20:C22)</f>
        <v>2915</v>
      </c>
      <c r="D23" s="192">
        <f t="shared" si="53"/>
        <v>8213</v>
      </c>
      <c r="E23" s="191">
        <f t="shared" si="53"/>
        <v>1010</v>
      </c>
      <c r="F23" s="192">
        <f t="shared" si="53"/>
        <v>2363</v>
      </c>
      <c r="G23" s="191">
        <f t="shared" si="53"/>
        <v>1905</v>
      </c>
      <c r="H23" s="192">
        <f t="shared" si="53"/>
        <v>5850</v>
      </c>
      <c r="I23" s="191"/>
      <c r="J23" s="192"/>
      <c r="K23" s="191">
        <f t="shared" ref="K23:AO23" si="54">SUM(K20:K22)</f>
        <v>0</v>
      </c>
      <c r="L23" s="192">
        <f t="shared" si="54"/>
        <v>0</v>
      </c>
      <c r="M23" s="191">
        <f t="shared" si="54"/>
        <v>0</v>
      </c>
      <c r="N23" s="192">
        <f t="shared" si="54"/>
        <v>0</v>
      </c>
      <c r="O23" s="191">
        <f t="shared" si="54"/>
        <v>0</v>
      </c>
      <c r="P23" s="192">
        <f t="shared" si="54"/>
        <v>0</v>
      </c>
      <c r="Q23" s="191">
        <f t="shared" si="54"/>
        <v>210</v>
      </c>
      <c r="R23" s="192">
        <f t="shared" si="54"/>
        <v>426</v>
      </c>
      <c r="S23" s="191">
        <f t="shared" si="54"/>
        <v>0</v>
      </c>
      <c r="T23" s="192">
        <f t="shared" ref="T23" si="55">SUM(T20:T22)</f>
        <v>0</v>
      </c>
      <c r="U23" s="191">
        <f t="shared" si="54"/>
        <v>0</v>
      </c>
      <c r="V23" s="192">
        <f t="shared" ref="V23" si="56">SUM(V20:V22)</f>
        <v>0</v>
      </c>
      <c r="W23" s="191">
        <f t="shared" si="54"/>
        <v>0</v>
      </c>
      <c r="X23" s="192">
        <f t="shared" si="54"/>
        <v>0</v>
      </c>
      <c r="Y23" s="191">
        <f t="shared" si="54"/>
        <v>0</v>
      </c>
      <c r="Z23" s="192">
        <f t="shared" ref="Z23" si="57">SUM(Z20:Z22)</f>
        <v>0</v>
      </c>
      <c r="AA23" s="191">
        <f t="shared" si="54"/>
        <v>0</v>
      </c>
      <c r="AB23" s="192">
        <f t="shared" ref="AB23" si="58">SUM(AB20:AB22)</f>
        <v>0</v>
      </c>
      <c r="AC23" s="191">
        <f t="shared" si="54"/>
        <v>280</v>
      </c>
      <c r="AD23" s="192">
        <f t="shared" ref="AD23" si="59">SUM(AD20:AD22)</f>
        <v>280</v>
      </c>
      <c r="AE23" s="191">
        <f t="shared" si="54"/>
        <v>520</v>
      </c>
      <c r="AF23" s="192">
        <f t="shared" ref="AF23" si="60">SUM(AF20:AF22)</f>
        <v>1657</v>
      </c>
      <c r="AG23" s="191"/>
      <c r="AH23" s="192"/>
      <c r="AI23" s="191">
        <f>SUM(AI20:AI22)</f>
        <v>0</v>
      </c>
      <c r="AJ23" s="192">
        <f>SUM(AJ20:AJ22)</f>
        <v>0</v>
      </c>
      <c r="AK23" s="191">
        <f t="shared" si="54"/>
        <v>0</v>
      </c>
      <c r="AL23" s="192">
        <f t="shared" ref="AL23" si="61">SUM(AL20:AL22)</f>
        <v>0</v>
      </c>
      <c r="AM23" s="191">
        <f t="shared" si="54"/>
        <v>0</v>
      </c>
      <c r="AN23" s="192"/>
      <c r="AO23" s="191">
        <f t="shared" si="54"/>
        <v>0</v>
      </c>
      <c r="AP23" s="192">
        <f t="shared" ref="AP23" si="62">SUM(AP20:AP22)</f>
        <v>0</v>
      </c>
      <c r="AQ23" s="191">
        <f t="shared" ref="AQ23:DO23" si="63">SUM(AQ20:AQ22)</f>
        <v>0</v>
      </c>
      <c r="AR23" s="192">
        <f t="shared" ref="AR23" si="64">SUM(AR20:AR22)</f>
        <v>0</v>
      </c>
      <c r="AS23" s="191">
        <f t="shared" si="63"/>
        <v>0</v>
      </c>
      <c r="AT23" s="192">
        <f t="shared" ref="AT23" si="65">SUM(AT20:AT22)</f>
        <v>0</v>
      </c>
      <c r="AU23" s="191">
        <f t="shared" si="63"/>
        <v>0</v>
      </c>
      <c r="AV23" s="192">
        <f t="shared" ref="AV23" si="66">SUM(AV20:AV22)</f>
        <v>0</v>
      </c>
      <c r="AW23" s="191">
        <f t="shared" si="63"/>
        <v>0</v>
      </c>
      <c r="AX23" s="192">
        <f t="shared" ref="AX23" si="67">SUM(AX20:AX22)</f>
        <v>0</v>
      </c>
      <c r="AY23" s="191">
        <f t="shared" si="63"/>
        <v>0</v>
      </c>
      <c r="AZ23" s="192">
        <f t="shared" ref="AZ23" si="68">SUM(AZ20:AZ22)</f>
        <v>0</v>
      </c>
      <c r="BA23" s="191">
        <f t="shared" si="63"/>
        <v>0</v>
      </c>
      <c r="BB23" s="192">
        <f t="shared" ref="BB23" si="69">SUM(BB20:BB22)</f>
        <v>0</v>
      </c>
      <c r="BC23" s="191">
        <f t="shared" si="63"/>
        <v>0</v>
      </c>
      <c r="BD23" s="192">
        <f t="shared" ref="BD23" si="70">SUM(BD20:BD22)</f>
        <v>0</v>
      </c>
      <c r="BE23" s="191">
        <f t="shared" si="63"/>
        <v>0</v>
      </c>
      <c r="BF23" s="192">
        <f t="shared" ref="BF23" si="71">SUM(BF20:BF22)</f>
        <v>0</v>
      </c>
      <c r="BG23" s="191">
        <f t="shared" si="63"/>
        <v>0</v>
      </c>
      <c r="BH23" s="192">
        <f t="shared" ref="BH23" si="72">SUM(BH20:BH22)</f>
        <v>0</v>
      </c>
      <c r="BI23" s="191">
        <f t="shared" si="63"/>
        <v>0</v>
      </c>
      <c r="BJ23" s="192">
        <f t="shared" ref="BJ23" si="73">SUM(BJ20:BJ22)</f>
        <v>0</v>
      </c>
      <c r="BK23" s="191">
        <f t="shared" si="63"/>
        <v>0</v>
      </c>
      <c r="BL23" s="192">
        <f t="shared" ref="BL23" si="74">SUM(BL20:BL22)</f>
        <v>0</v>
      </c>
      <c r="BM23" s="191">
        <f t="shared" si="63"/>
        <v>0</v>
      </c>
      <c r="BN23" s="192">
        <f t="shared" ref="BN23" si="75">SUM(BN20:BN22)</f>
        <v>0</v>
      </c>
      <c r="BO23" s="191">
        <f t="shared" si="63"/>
        <v>0</v>
      </c>
      <c r="BP23" s="192">
        <f t="shared" ref="BP23" si="76">SUM(BP20:BP22)</f>
        <v>0</v>
      </c>
      <c r="BQ23" s="191">
        <f t="shared" si="63"/>
        <v>0</v>
      </c>
      <c r="BR23" s="192">
        <f t="shared" ref="BR23" si="77">SUM(BR20:BR22)</f>
        <v>0</v>
      </c>
      <c r="BS23" s="191">
        <f t="shared" si="63"/>
        <v>0</v>
      </c>
      <c r="BT23" s="192">
        <f t="shared" ref="BT23" si="78">SUM(BT20:BT22)</f>
        <v>0</v>
      </c>
      <c r="BU23" s="191">
        <f t="shared" si="63"/>
        <v>0</v>
      </c>
      <c r="BV23" s="192">
        <f t="shared" ref="BV23" si="79">SUM(BV20:BV22)</f>
        <v>0</v>
      </c>
      <c r="BW23" s="191">
        <f t="shared" si="63"/>
        <v>0</v>
      </c>
      <c r="BX23" s="192">
        <f t="shared" ref="BX23" si="80">SUM(BX20:BX22)</f>
        <v>0</v>
      </c>
      <c r="BY23" s="191">
        <f t="shared" si="63"/>
        <v>0</v>
      </c>
      <c r="BZ23" s="192">
        <f t="shared" ref="BZ23" si="81">SUM(BZ20:BZ22)</f>
        <v>0</v>
      </c>
      <c r="CA23" s="191">
        <f t="shared" si="63"/>
        <v>0</v>
      </c>
      <c r="CB23" s="192">
        <f t="shared" ref="CB23" si="82">SUM(CB20:CB22)</f>
        <v>0</v>
      </c>
      <c r="CC23" s="191">
        <f t="shared" si="63"/>
        <v>0</v>
      </c>
      <c r="CD23" s="192">
        <f t="shared" ref="CD23" si="83">SUM(CD20:CD22)</f>
        <v>0</v>
      </c>
      <c r="CE23" s="191">
        <f>SUM(CE20:CE22)</f>
        <v>0</v>
      </c>
      <c r="CF23" s="192">
        <f>SUM(CF20:CF22)</f>
        <v>0</v>
      </c>
      <c r="CG23" s="191">
        <f t="shared" si="63"/>
        <v>0</v>
      </c>
      <c r="CH23" s="192">
        <f t="shared" ref="CH23" si="84">SUM(CH20:CH22)</f>
        <v>0</v>
      </c>
      <c r="CI23" s="191">
        <f t="shared" si="63"/>
        <v>0</v>
      </c>
      <c r="CJ23" s="192">
        <f t="shared" ref="CJ23" si="85">SUM(CJ20:CJ22)</f>
        <v>0</v>
      </c>
      <c r="CK23" s="191">
        <f t="shared" si="63"/>
        <v>0</v>
      </c>
      <c r="CL23" s="192">
        <f t="shared" ref="CL23" si="86">SUM(CL20:CL22)</f>
        <v>0</v>
      </c>
      <c r="CM23" s="191">
        <f t="shared" si="63"/>
        <v>0</v>
      </c>
      <c r="CN23" s="192">
        <f t="shared" ref="CN23" si="87">SUM(CN20:CN22)</f>
        <v>0</v>
      </c>
      <c r="CO23" s="191">
        <f t="shared" si="63"/>
        <v>0</v>
      </c>
      <c r="CP23" s="192">
        <f t="shared" ref="CP23" si="88">SUM(CP20:CP22)</f>
        <v>0</v>
      </c>
      <c r="CQ23" s="191">
        <f t="shared" si="63"/>
        <v>0</v>
      </c>
      <c r="CR23" s="192">
        <f t="shared" ref="CR23" si="89">SUM(CR20:CR22)</f>
        <v>0</v>
      </c>
      <c r="CS23" s="191">
        <f t="shared" si="63"/>
        <v>0</v>
      </c>
      <c r="CT23" s="192">
        <f t="shared" ref="CT23" si="90">SUM(CT20:CT22)</f>
        <v>0</v>
      </c>
      <c r="CU23" s="191">
        <f t="shared" si="63"/>
        <v>0</v>
      </c>
      <c r="CV23" s="192">
        <f t="shared" ref="CV23" si="91">SUM(CV20:CV22)</f>
        <v>0</v>
      </c>
      <c r="CW23" s="191">
        <f t="shared" si="63"/>
        <v>0</v>
      </c>
      <c r="CX23" s="192">
        <f t="shared" ref="CX23" si="92">SUM(CX20:CX22)</f>
        <v>0</v>
      </c>
      <c r="CY23" s="191">
        <f t="shared" si="63"/>
        <v>0</v>
      </c>
      <c r="CZ23" s="192"/>
      <c r="DA23" s="191">
        <f t="shared" si="63"/>
        <v>0</v>
      </c>
      <c r="DB23" s="192"/>
      <c r="DC23" s="191">
        <f t="shared" si="63"/>
        <v>0</v>
      </c>
      <c r="DD23" s="192">
        <f t="shared" ref="DD23" si="93">SUM(DD20:DD22)</f>
        <v>0</v>
      </c>
      <c r="DE23" s="191">
        <f t="shared" si="63"/>
        <v>0</v>
      </c>
      <c r="DF23" s="192">
        <f t="shared" ref="DF23" si="94">SUM(DF20:DF22)</f>
        <v>0</v>
      </c>
      <c r="DG23" s="191">
        <f t="shared" si="63"/>
        <v>0</v>
      </c>
      <c r="DH23" s="192">
        <f t="shared" ref="DH23" si="95">SUM(DH20:DH22)</f>
        <v>850</v>
      </c>
      <c r="DI23" s="191">
        <f t="shared" si="63"/>
        <v>0</v>
      </c>
      <c r="DJ23" s="192">
        <f t="shared" ref="DJ23" si="96">SUM(DJ20:DJ22)</f>
        <v>0</v>
      </c>
      <c r="DK23" s="191">
        <f t="shared" si="63"/>
        <v>0</v>
      </c>
      <c r="DL23" s="192">
        <f t="shared" ref="DL23" si="97">SUM(DL20:DL22)</f>
        <v>0</v>
      </c>
      <c r="DM23" s="191">
        <f t="shared" si="63"/>
        <v>1905</v>
      </c>
      <c r="DN23" s="192">
        <f t="shared" ref="DN23" si="98">SUM(DN20:DN22)</f>
        <v>5000</v>
      </c>
      <c r="DO23" s="191">
        <f t="shared" si="63"/>
        <v>0</v>
      </c>
      <c r="DP23" s="192">
        <f t="shared" ref="DP23" si="99">SUM(DP20:DP22)</f>
        <v>0</v>
      </c>
      <c r="DQ23" s="191"/>
      <c r="DR23" s="192"/>
      <c r="DS23" s="191"/>
      <c r="DT23" s="192"/>
      <c r="DU23" s="191"/>
      <c r="DV23" s="192"/>
    </row>
    <row r="24" spans="1:126" x14ac:dyDescent="0.2">
      <c r="A24" s="183" t="s">
        <v>93</v>
      </c>
      <c r="B24" s="183" t="s">
        <v>95</v>
      </c>
      <c r="C24" s="184">
        <f>E24+G24+I24</f>
        <v>15489</v>
      </c>
      <c r="D24" s="185">
        <f t="shared" si="51"/>
        <v>16301</v>
      </c>
      <c r="E24" s="184">
        <f>K24+M24+O23:O24+Q24+S24+U24+W24+Y24+AA24+AC24+AE24+AI24</f>
        <v>15489</v>
      </c>
      <c r="F24" s="185">
        <f t="shared" si="52"/>
        <v>16301</v>
      </c>
      <c r="G24" s="184">
        <f t="shared" si="3"/>
        <v>0</v>
      </c>
      <c r="H24" s="185">
        <f t="shared" si="3"/>
        <v>0</v>
      </c>
      <c r="I24" s="184"/>
      <c r="J24" s="185"/>
      <c r="K24" s="184">
        <v>200</v>
      </c>
      <c r="L24" s="185">
        <v>120</v>
      </c>
      <c r="M24" s="184"/>
      <c r="N24" s="185"/>
      <c r="O24" s="184"/>
      <c r="P24" s="185"/>
      <c r="Q24" s="184">
        <v>164</v>
      </c>
      <c r="R24" s="185">
        <v>450</v>
      </c>
      <c r="S24" s="184"/>
      <c r="T24" s="185"/>
      <c r="U24" s="184"/>
      <c r="V24" s="185"/>
      <c r="W24" s="184"/>
      <c r="X24" s="185"/>
      <c r="Y24" s="184"/>
      <c r="Z24" s="185"/>
      <c r="AA24" s="184"/>
      <c r="AB24" s="185"/>
      <c r="AC24" s="184"/>
      <c r="AD24" s="185"/>
      <c r="AE24" s="184">
        <v>15125</v>
      </c>
      <c r="AF24" s="185">
        <v>15731</v>
      </c>
      <c r="AG24" s="184"/>
      <c r="AH24" s="185"/>
      <c r="AI24" s="184"/>
      <c r="AJ24" s="185"/>
      <c r="AK24" s="184"/>
      <c r="AL24" s="185"/>
      <c r="AM24" s="184"/>
      <c r="AN24" s="185"/>
      <c r="AO24" s="184"/>
      <c r="AP24" s="185"/>
      <c r="AQ24" s="184"/>
      <c r="AR24" s="185"/>
      <c r="AS24" s="184"/>
      <c r="AT24" s="185"/>
      <c r="AU24" s="184"/>
      <c r="AV24" s="185"/>
      <c r="AW24" s="184"/>
      <c r="AX24" s="185"/>
      <c r="AY24" s="184"/>
      <c r="AZ24" s="185"/>
      <c r="BA24" s="184"/>
      <c r="BB24" s="185"/>
      <c r="BC24" s="184"/>
      <c r="BD24" s="185"/>
      <c r="BE24" s="184"/>
      <c r="BF24" s="185"/>
      <c r="BG24" s="184"/>
      <c r="BH24" s="185"/>
      <c r="BI24" s="184"/>
      <c r="BJ24" s="185"/>
      <c r="BK24" s="184"/>
      <c r="BL24" s="185"/>
      <c r="BM24" s="184"/>
      <c r="BN24" s="185"/>
      <c r="BO24" s="184"/>
      <c r="BP24" s="185"/>
      <c r="BQ24" s="184"/>
      <c r="BR24" s="185"/>
      <c r="BS24" s="184"/>
      <c r="BT24" s="185"/>
      <c r="BU24" s="184"/>
      <c r="BV24" s="185"/>
      <c r="BW24" s="184"/>
      <c r="BX24" s="185"/>
      <c r="BY24" s="184"/>
      <c r="BZ24" s="185"/>
      <c r="CA24" s="184"/>
      <c r="CB24" s="185"/>
      <c r="CC24" s="184"/>
      <c r="CD24" s="185"/>
      <c r="CE24" s="184"/>
      <c r="CF24" s="185"/>
      <c r="CG24" s="184"/>
      <c r="CH24" s="185"/>
      <c r="CI24" s="184"/>
      <c r="CJ24" s="185"/>
      <c r="CK24" s="184"/>
      <c r="CL24" s="185"/>
      <c r="CM24" s="184"/>
      <c r="CN24" s="185"/>
      <c r="CO24" s="184"/>
      <c r="CP24" s="185"/>
      <c r="CQ24" s="184"/>
      <c r="CR24" s="185"/>
      <c r="CS24" s="184"/>
      <c r="CT24" s="185"/>
      <c r="CU24" s="184"/>
      <c r="CV24" s="185"/>
      <c r="CW24" s="184"/>
      <c r="CX24" s="185"/>
      <c r="CY24" s="184"/>
      <c r="CZ24" s="185"/>
      <c r="DA24" s="184"/>
      <c r="DB24" s="185"/>
      <c r="DC24" s="184"/>
      <c r="DD24" s="185"/>
      <c r="DE24" s="184"/>
      <c r="DF24" s="185"/>
      <c r="DG24" s="184"/>
      <c r="DH24" s="185"/>
      <c r="DI24" s="184"/>
      <c r="DJ24" s="185"/>
      <c r="DK24" s="184"/>
      <c r="DL24" s="185"/>
      <c r="DM24" s="184"/>
      <c r="DN24" s="185"/>
      <c r="DO24" s="184"/>
      <c r="DP24" s="185"/>
      <c r="DQ24" s="184"/>
      <c r="DR24" s="185"/>
      <c r="DS24" s="184"/>
      <c r="DT24" s="185"/>
      <c r="DU24" s="184"/>
      <c r="DV24" s="185"/>
    </row>
    <row r="25" spans="1:126" x14ac:dyDescent="0.2">
      <c r="A25" s="183" t="s">
        <v>102</v>
      </c>
      <c r="B25" s="183" t="s">
        <v>106</v>
      </c>
      <c r="C25" s="184">
        <f>E25+G25+I25</f>
        <v>150</v>
      </c>
      <c r="D25" s="185">
        <f t="shared" si="51"/>
        <v>160</v>
      </c>
      <c r="E25" s="184">
        <f>K25+M25+O24:O25+Q25+S25+U25+W25+Y25+AA25+AC25+AE25+AI25</f>
        <v>150</v>
      </c>
      <c r="F25" s="185">
        <f t="shared" si="52"/>
        <v>160</v>
      </c>
      <c r="G25" s="184">
        <f t="shared" si="3"/>
        <v>0</v>
      </c>
      <c r="H25" s="185">
        <f t="shared" si="3"/>
        <v>0</v>
      </c>
      <c r="I25" s="184"/>
      <c r="J25" s="185"/>
      <c r="K25" s="184"/>
      <c r="L25" s="185"/>
      <c r="M25" s="184"/>
      <c r="N25" s="185"/>
      <c r="O25" s="184"/>
      <c r="P25" s="185"/>
      <c r="Q25" s="184">
        <v>120</v>
      </c>
      <c r="R25" s="185">
        <v>160</v>
      </c>
      <c r="S25" s="184"/>
      <c r="T25" s="185"/>
      <c r="U25" s="184"/>
      <c r="V25" s="185"/>
      <c r="W25" s="184"/>
      <c r="X25" s="185"/>
      <c r="Y25" s="184"/>
      <c r="Z25" s="185"/>
      <c r="AA25" s="184"/>
      <c r="AB25" s="185"/>
      <c r="AC25" s="184"/>
      <c r="AD25" s="185"/>
      <c r="AE25" s="184">
        <v>30</v>
      </c>
      <c r="AF25" s="185">
        <v>0</v>
      </c>
      <c r="AG25" s="184"/>
      <c r="AH25" s="185"/>
      <c r="AI25" s="184"/>
      <c r="AJ25" s="185"/>
      <c r="AK25" s="184"/>
      <c r="AL25" s="185"/>
      <c r="AM25" s="184"/>
      <c r="AN25" s="185"/>
      <c r="AO25" s="184"/>
      <c r="AP25" s="185"/>
      <c r="AQ25" s="184"/>
      <c r="AR25" s="185"/>
      <c r="AS25" s="184"/>
      <c r="AT25" s="185"/>
      <c r="AU25" s="184"/>
      <c r="AV25" s="185"/>
      <c r="AW25" s="184"/>
      <c r="AX25" s="185"/>
      <c r="AY25" s="184"/>
      <c r="AZ25" s="185"/>
      <c r="BA25" s="184"/>
      <c r="BB25" s="185"/>
      <c r="BC25" s="184"/>
      <c r="BD25" s="185"/>
      <c r="BE25" s="184"/>
      <c r="BF25" s="185"/>
      <c r="BG25" s="184"/>
      <c r="BH25" s="185"/>
      <c r="BI25" s="184"/>
      <c r="BJ25" s="185"/>
      <c r="BK25" s="184"/>
      <c r="BL25" s="185"/>
      <c r="BM25" s="184"/>
      <c r="BN25" s="185"/>
      <c r="BO25" s="184"/>
      <c r="BP25" s="185"/>
      <c r="BQ25" s="184"/>
      <c r="BR25" s="185"/>
      <c r="BS25" s="184"/>
      <c r="BT25" s="185"/>
      <c r="BU25" s="184"/>
      <c r="BV25" s="185"/>
      <c r="BW25" s="184"/>
      <c r="BX25" s="185"/>
      <c r="BY25" s="184"/>
      <c r="BZ25" s="185"/>
      <c r="CA25" s="184"/>
      <c r="CB25" s="185"/>
      <c r="CC25" s="184"/>
      <c r="CD25" s="185"/>
      <c r="CE25" s="184"/>
      <c r="CF25" s="185"/>
      <c r="CG25" s="184"/>
      <c r="CH25" s="185"/>
      <c r="CI25" s="184"/>
      <c r="CJ25" s="185"/>
      <c r="CK25" s="184"/>
      <c r="CL25" s="185"/>
      <c r="CM25" s="184"/>
      <c r="CN25" s="185"/>
      <c r="CO25" s="184"/>
      <c r="CP25" s="185"/>
      <c r="CQ25" s="184"/>
      <c r="CR25" s="185"/>
      <c r="CS25" s="184"/>
      <c r="CT25" s="185"/>
      <c r="CU25" s="184"/>
      <c r="CV25" s="185"/>
      <c r="CW25" s="184"/>
      <c r="CX25" s="185"/>
      <c r="CY25" s="184"/>
      <c r="CZ25" s="185"/>
      <c r="DA25" s="184"/>
      <c r="DB25" s="185"/>
      <c r="DC25" s="184"/>
      <c r="DD25" s="185"/>
      <c r="DE25" s="184"/>
      <c r="DF25" s="185"/>
      <c r="DG25" s="184"/>
      <c r="DH25" s="185"/>
      <c r="DI25" s="184"/>
      <c r="DJ25" s="185"/>
      <c r="DK25" s="184"/>
      <c r="DL25" s="185"/>
      <c r="DM25" s="184"/>
      <c r="DN25" s="185"/>
      <c r="DO25" s="184"/>
      <c r="DP25" s="185"/>
      <c r="DQ25" s="184"/>
      <c r="DR25" s="185"/>
      <c r="DS25" s="184"/>
      <c r="DT25" s="185"/>
      <c r="DU25" s="184"/>
      <c r="DV25" s="185"/>
    </row>
    <row r="26" spans="1:126" x14ac:dyDescent="0.2">
      <c r="A26" s="190" t="s">
        <v>107</v>
      </c>
      <c r="B26" s="190" t="s">
        <v>887</v>
      </c>
      <c r="C26" s="191">
        <f t="shared" ref="C26:H26" si="100">SUM(C24:C25)</f>
        <v>15639</v>
      </c>
      <c r="D26" s="192">
        <f t="shared" si="100"/>
        <v>16461</v>
      </c>
      <c r="E26" s="191">
        <f t="shared" si="100"/>
        <v>15639</v>
      </c>
      <c r="F26" s="192">
        <f t="shared" si="100"/>
        <v>16461</v>
      </c>
      <c r="G26" s="191">
        <f t="shared" si="100"/>
        <v>0</v>
      </c>
      <c r="H26" s="192">
        <f t="shared" si="100"/>
        <v>0</v>
      </c>
      <c r="I26" s="191"/>
      <c r="J26" s="192"/>
      <c r="K26" s="191">
        <f t="shared" ref="K26:AO26" si="101">SUM(K24:K25)</f>
        <v>200</v>
      </c>
      <c r="L26" s="192">
        <f t="shared" si="101"/>
        <v>120</v>
      </c>
      <c r="M26" s="191">
        <f t="shared" si="101"/>
        <v>0</v>
      </c>
      <c r="N26" s="192">
        <f t="shared" si="101"/>
        <v>0</v>
      </c>
      <c r="O26" s="191">
        <f t="shared" si="101"/>
        <v>0</v>
      </c>
      <c r="P26" s="192">
        <f t="shared" si="101"/>
        <v>0</v>
      </c>
      <c r="Q26" s="191">
        <f t="shared" si="101"/>
        <v>284</v>
      </c>
      <c r="R26" s="192">
        <f t="shared" si="101"/>
        <v>610</v>
      </c>
      <c r="S26" s="191">
        <f t="shared" si="101"/>
        <v>0</v>
      </c>
      <c r="T26" s="192">
        <f t="shared" ref="T26" si="102">SUM(T24:T25)</f>
        <v>0</v>
      </c>
      <c r="U26" s="191">
        <f t="shared" si="101"/>
        <v>0</v>
      </c>
      <c r="V26" s="192">
        <f t="shared" ref="V26" si="103">SUM(V24:V25)</f>
        <v>0</v>
      </c>
      <c r="W26" s="191">
        <f t="shared" si="101"/>
        <v>0</v>
      </c>
      <c r="X26" s="192">
        <f t="shared" si="101"/>
        <v>0</v>
      </c>
      <c r="Y26" s="191">
        <f t="shared" si="101"/>
        <v>0</v>
      </c>
      <c r="Z26" s="192">
        <f t="shared" ref="Z26" si="104">SUM(Z24:Z25)</f>
        <v>0</v>
      </c>
      <c r="AA26" s="191">
        <f t="shared" si="101"/>
        <v>0</v>
      </c>
      <c r="AB26" s="192">
        <f t="shared" ref="AB26" si="105">SUM(AB24:AB25)</f>
        <v>0</v>
      </c>
      <c r="AC26" s="191">
        <f t="shared" si="101"/>
        <v>0</v>
      </c>
      <c r="AD26" s="192">
        <f t="shared" ref="AD26" si="106">SUM(AD24:AD25)</f>
        <v>0</v>
      </c>
      <c r="AE26" s="191">
        <f t="shared" si="101"/>
        <v>15155</v>
      </c>
      <c r="AF26" s="192">
        <f t="shared" ref="AF26" si="107">SUM(AF24:AF25)</f>
        <v>15731</v>
      </c>
      <c r="AG26" s="191"/>
      <c r="AH26" s="192"/>
      <c r="AI26" s="191">
        <f>SUM(AI24:AI25)</f>
        <v>0</v>
      </c>
      <c r="AJ26" s="192">
        <f>SUM(AJ24:AJ25)</f>
        <v>0</v>
      </c>
      <c r="AK26" s="191">
        <f t="shared" si="101"/>
        <v>0</v>
      </c>
      <c r="AL26" s="192">
        <f t="shared" ref="AL26" si="108">SUM(AL24:AL25)</f>
        <v>0</v>
      </c>
      <c r="AM26" s="191">
        <f t="shared" si="101"/>
        <v>0</v>
      </c>
      <c r="AN26" s="192"/>
      <c r="AO26" s="191">
        <f t="shared" si="101"/>
        <v>0</v>
      </c>
      <c r="AP26" s="192">
        <f t="shared" ref="AP26" si="109">SUM(AP24:AP25)</f>
        <v>0</v>
      </c>
      <c r="AQ26" s="191">
        <f t="shared" ref="AQ26:DO26" si="110">SUM(AQ24:AQ25)</f>
        <v>0</v>
      </c>
      <c r="AR26" s="192">
        <f t="shared" ref="AR26" si="111">SUM(AR24:AR25)</f>
        <v>0</v>
      </c>
      <c r="AS26" s="191">
        <f t="shared" si="110"/>
        <v>0</v>
      </c>
      <c r="AT26" s="192">
        <f t="shared" ref="AT26" si="112">SUM(AT24:AT25)</f>
        <v>0</v>
      </c>
      <c r="AU26" s="191">
        <f t="shared" si="110"/>
        <v>0</v>
      </c>
      <c r="AV26" s="192">
        <f t="shared" ref="AV26" si="113">SUM(AV24:AV25)</f>
        <v>0</v>
      </c>
      <c r="AW26" s="191">
        <f t="shared" si="110"/>
        <v>0</v>
      </c>
      <c r="AX26" s="192">
        <f t="shared" ref="AX26" si="114">SUM(AX24:AX25)</f>
        <v>0</v>
      </c>
      <c r="AY26" s="191">
        <f t="shared" si="110"/>
        <v>0</v>
      </c>
      <c r="AZ26" s="192">
        <f t="shared" ref="AZ26" si="115">SUM(AZ24:AZ25)</f>
        <v>0</v>
      </c>
      <c r="BA26" s="191">
        <f t="shared" si="110"/>
        <v>0</v>
      </c>
      <c r="BB26" s="192">
        <f t="shared" ref="BB26" si="116">SUM(BB24:BB25)</f>
        <v>0</v>
      </c>
      <c r="BC26" s="191">
        <f t="shared" si="110"/>
        <v>0</v>
      </c>
      <c r="BD26" s="192">
        <f t="shared" ref="BD26" si="117">SUM(BD24:BD25)</f>
        <v>0</v>
      </c>
      <c r="BE26" s="191">
        <f t="shared" si="110"/>
        <v>0</v>
      </c>
      <c r="BF26" s="192">
        <f t="shared" ref="BF26" si="118">SUM(BF24:BF25)</f>
        <v>0</v>
      </c>
      <c r="BG26" s="191">
        <f t="shared" si="110"/>
        <v>0</v>
      </c>
      <c r="BH26" s="192">
        <f t="shared" ref="BH26" si="119">SUM(BH24:BH25)</f>
        <v>0</v>
      </c>
      <c r="BI26" s="191">
        <f t="shared" si="110"/>
        <v>0</v>
      </c>
      <c r="BJ26" s="192">
        <f t="shared" ref="BJ26" si="120">SUM(BJ24:BJ25)</f>
        <v>0</v>
      </c>
      <c r="BK26" s="191">
        <f t="shared" si="110"/>
        <v>0</v>
      </c>
      <c r="BL26" s="192">
        <f t="shared" ref="BL26" si="121">SUM(BL24:BL25)</f>
        <v>0</v>
      </c>
      <c r="BM26" s="191">
        <f t="shared" si="110"/>
        <v>0</v>
      </c>
      <c r="BN26" s="192">
        <f t="shared" ref="BN26" si="122">SUM(BN24:BN25)</f>
        <v>0</v>
      </c>
      <c r="BO26" s="191">
        <f t="shared" si="110"/>
        <v>0</v>
      </c>
      <c r="BP26" s="192">
        <f t="shared" ref="BP26" si="123">SUM(BP24:BP25)</f>
        <v>0</v>
      </c>
      <c r="BQ26" s="191">
        <f t="shared" si="110"/>
        <v>0</v>
      </c>
      <c r="BR26" s="192">
        <f t="shared" ref="BR26" si="124">SUM(BR24:BR25)</f>
        <v>0</v>
      </c>
      <c r="BS26" s="191">
        <f t="shared" si="110"/>
        <v>0</v>
      </c>
      <c r="BT26" s="192">
        <f t="shared" ref="BT26" si="125">SUM(BT24:BT25)</f>
        <v>0</v>
      </c>
      <c r="BU26" s="191">
        <f t="shared" si="110"/>
        <v>0</v>
      </c>
      <c r="BV26" s="192">
        <f t="shared" ref="BV26" si="126">SUM(BV24:BV25)</f>
        <v>0</v>
      </c>
      <c r="BW26" s="191">
        <f t="shared" si="110"/>
        <v>0</v>
      </c>
      <c r="BX26" s="192">
        <f t="shared" ref="BX26" si="127">SUM(BX24:BX25)</f>
        <v>0</v>
      </c>
      <c r="BY26" s="191">
        <f t="shared" si="110"/>
        <v>0</v>
      </c>
      <c r="BZ26" s="192">
        <f t="shared" ref="BZ26" si="128">SUM(BZ24:BZ25)</f>
        <v>0</v>
      </c>
      <c r="CA26" s="191">
        <f t="shared" si="110"/>
        <v>0</v>
      </c>
      <c r="CB26" s="192">
        <f t="shared" ref="CB26" si="129">SUM(CB24:CB25)</f>
        <v>0</v>
      </c>
      <c r="CC26" s="191">
        <f t="shared" si="110"/>
        <v>0</v>
      </c>
      <c r="CD26" s="192">
        <f t="shared" ref="CD26" si="130">SUM(CD24:CD25)</f>
        <v>0</v>
      </c>
      <c r="CE26" s="191">
        <f>SUM(CE24:CE25)</f>
        <v>0</v>
      </c>
      <c r="CF26" s="192">
        <f>SUM(CF24:CF25)</f>
        <v>0</v>
      </c>
      <c r="CG26" s="191">
        <f t="shared" si="110"/>
        <v>0</v>
      </c>
      <c r="CH26" s="192">
        <f t="shared" ref="CH26" si="131">SUM(CH24:CH25)</f>
        <v>0</v>
      </c>
      <c r="CI26" s="191">
        <f t="shared" si="110"/>
        <v>0</v>
      </c>
      <c r="CJ26" s="192">
        <f t="shared" ref="CJ26" si="132">SUM(CJ24:CJ25)</f>
        <v>0</v>
      </c>
      <c r="CK26" s="191">
        <f t="shared" si="110"/>
        <v>0</v>
      </c>
      <c r="CL26" s="192">
        <f t="shared" ref="CL26" si="133">SUM(CL24:CL25)</f>
        <v>0</v>
      </c>
      <c r="CM26" s="191">
        <f t="shared" si="110"/>
        <v>0</v>
      </c>
      <c r="CN26" s="192">
        <f t="shared" ref="CN26" si="134">SUM(CN24:CN25)</f>
        <v>0</v>
      </c>
      <c r="CO26" s="191">
        <f t="shared" si="110"/>
        <v>0</v>
      </c>
      <c r="CP26" s="192">
        <f t="shared" ref="CP26" si="135">SUM(CP24:CP25)</f>
        <v>0</v>
      </c>
      <c r="CQ26" s="191">
        <f t="shared" si="110"/>
        <v>0</v>
      </c>
      <c r="CR26" s="192">
        <f t="shared" ref="CR26" si="136">SUM(CR24:CR25)</f>
        <v>0</v>
      </c>
      <c r="CS26" s="191">
        <f t="shared" si="110"/>
        <v>0</v>
      </c>
      <c r="CT26" s="192">
        <f t="shared" ref="CT26" si="137">SUM(CT24:CT25)</f>
        <v>0</v>
      </c>
      <c r="CU26" s="191">
        <f t="shared" si="110"/>
        <v>0</v>
      </c>
      <c r="CV26" s="192">
        <f t="shared" ref="CV26" si="138">SUM(CV24:CV25)</f>
        <v>0</v>
      </c>
      <c r="CW26" s="191">
        <f t="shared" si="110"/>
        <v>0</v>
      </c>
      <c r="CX26" s="192">
        <f t="shared" ref="CX26" si="139">SUM(CX24:CX25)</f>
        <v>0</v>
      </c>
      <c r="CY26" s="191">
        <f t="shared" si="110"/>
        <v>0</v>
      </c>
      <c r="CZ26" s="192"/>
      <c r="DA26" s="191">
        <f t="shared" si="110"/>
        <v>0</v>
      </c>
      <c r="DB26" s="192"/>
      <c r="DC26" s="191">
        <f t="shared" si="110"/>
        <v>0</v>
      </c>
      <c r="DD26" s="192">
        <f t="shared" ref="DD26" si="140">SUM(DD24:DD25)</f>
        <v>0</v>
      </c>
      <c r="DE26" s="191">
        <f t="shared" si="110"/>
        <v>0</v>
      </c>
      <c r="DF26" s="192">
        <f t="shared" ref="DF26" si="141">SUM(DF24:DF25)</f>
        <v>0</v>
      </c>
      <c r="DG26" s="191">
        <f t="shared" si="110"/>
        <v>0</v>
      </c>
      <c r="DH26" s="192">
        <f t="shared" ref="DH26" si="142">SUM(DH24:DH25)</f>
        <v>0</v>
      </c>
      <c r="DI26" s="191">
        <f t="shared" si="110"/>
        <v>0</v>
      </c>
      <c r="DJ26" s="192">
        <f t="shared" ref="DJ26" si="143">SUM(DJ24:DJ25)</f>
        <v>0</v>
      </c>
      <c r="DK26" s="191">
        <f t="shared" si="110"/>
        <v>0</v>
      </c>
      <c r="DL26" s="192">
        <f t="shared" ref="DL26" si="144">SUM(DL24:DL25)</f>
        <v>0</v>
      </c>
      <c r="DM26" s="191">
        <f t="shared" si="110"/>
        <v>0</v>
      </c>
      <c r="DN26" s="192">
        <f t="shared" ref="DN26" si="145">SUM(DN24:DN25)</f>
        <v>0</v>
      </c>
      <c r="DO26" s="191">
        <f t="shared" si="110"/>
        <v>0</v>
      </c>
      <c r="DP26" s="192">
        <f t="shared" ref="DP26" si="146">SUM(DP24:DP25)</f>
        <v>0</v>
      </c>
      <c r="DQ26" s="191"/>
      <c r="DR26" s="192"/>
      <c r="DS26" s="191"/>
      <c r="DT26" s="192"/>
      <c r="DU26" s="191"/>
      <c r="DV26" s="192"/>
    </row>
    <row r="27" spans="1:126" x14ac:dyDescent="0.2">
      <c r="A27" s="183" t="s">
        <v>110</v>
      </c>
      <c r="B27" s="183" t="s">
        <v>888</v>
      </c>
      <c r="C27" s="184">
        <f t="shared" ref="C27:C33" si="147">E27+G27+I27</f>
        <v>10500</v>
      </c>
      <c r="D27" s="185">
        <f t="shared" si="51"/>
        <v>11300</v>
      </c>
      <c r="E27" s="184">
        <f t="shared" ref="E27:E33" si="148">K27+M27+O26:O27+Q27+S27+U27+W27+Y27+AA27+AC27+AE27+AI27</f>
        <v>10500</v>
      </c>
      <c r="F27" s="185">
        <f t="shared" si="52"/>
        <v>11300</v>
      </c>
      <c r="G27" s="184">
        <f t="shared" si="3"/>
        <v>0</v>
      </c>
      <c r="H27" s="185">
        <f t="shared" si="3"/>
        <v>0</v>
      </c>
      <c r="I27" s="184"/>
      <c r="J27" s="185"/>
      <c r="K27" s="184"/>
      <c r="L27" s="185"/>
      <c r="M27" s="184"/>
      <c r="N27" s="185"/>
      <c r="O27" s="184">
        <v>200</v>
      </c>
      <c r="P27" s="185">
        <v>200</v>
      </c>
      <c r="Q27" s="184"/>
      <c r="R27" s="185"/>
      <c r="S27" s="184"/>
      <c r="T27" s="185"/>
      <c r="U27" s="184"/>
      <c r="V27" s="185"/>
      <c r="W27" s="184">
        <v>1900</v>
      </c>
      <c r="X27" s="185">
        <v>1900</v>
      </c>
      <c r="Y27" s="184"/>
      <c r="Z27" s="185"/>
      <c r="AA27" s="184"/>
      <c r="AB27" s="185"/>
      <c r="AC27" s="184"/>
      <c r="AD27" s="185"/>
      <c r="AE27" s="184">
        <v>8400</v>
      </c>
      <c r="AF27" s="185">
        <v>9200</v>
      </c>
      <c r="AG27" s="184"/>
      <c r="AH27" s="185"/>
      <c r="AI27" s="184"/>
      <c r="AJ27" s="185"/>
      <c r="AK27" s="184"/>
      <c r="AL27" s="185"/>
      <c r="AM27" s="184"/>
      <c r="AN27" s="185"/>
      <c r="AO27" s="184"/>
      <c r="AP27" s="185"/>
      <c r="AQ27" s="184"/>
      <c r="AR27" s="185"/>
      <c r="AS27" s="184"/>
      <c r="AT27" s="185"/>
      <c r="AU27" s="184"/>
      <c r="AV27" s="185"/>
      <c r="AW27" s="184"/>
      <c r="AX27" s="185"/>
      <c r="AY27" s="184"/>
      <c r="AZ27" s="185"/>
      <c r="BA27" s="184"/>
      <c r="BB27" s="185"/>
      <c r="BC27" s="184"/>
      <c r="BD27" s="185"/>
      <c r="BE27" s="184"/>
      <c r="BF27" s="185"/>
      <c r="BG27" s="184"/>
      <c r="BH27" s="185"/>
      <c r="BI27" s="184"/>
      <c r="BJ27" s="185"/>
      <c r="BK27" s="184"/>
      <c r="BL27" s="185"/>
      <c r="BM27" s="184"/>
      <c r="BN27" s="185"/>
      <c r="BO27" s="184"/>
      <c r="BP27" s="185"/>
      <c r="BQ27" s="184"/>
      <c r="BR27" s="185"/>
      <c r="BS27" s="184"/>
      <c r="BT27" s="185"/>
      <c r="BU27" s="184"/>
      <c r="BV27" s="185"/>
      <c r="BW27" s="184"/>
      <c r="BX27" s="185"/>
      <c r="BY27" s="184"/>
      <c r="BZ27" s="185"/>
      <c r="CA27" s="184"/>
      <c r="CB27" s="185"/>
      <c r="CC27" s="184"/>
      <c r="CD27" s="185"/>
      <c r="CE27" s="184"/>
      <c r="CF27" s="185"/>
      <c r="CG27" s="184"/>
      <c r="CH27" s="185"/>
      <c r="CI27" s="184"/>
      <c r="CJ27" s="185"/>
      <c r="CK27" s="184"/>
      <c r="CL27" s="185"/>
      <c r="CM27" s="184"/>
      <c r="CN27" s="185"/>
      <c r="CO27" s="184"/>
      <c r="CP27" s="185"/>
      <c r="CQ27" s="184"/>
      <c r="CR27" s="185"/>
      <c r="CS27" s="184"/>
      <c r="CT27" s="185"/>
      <c r="CU27" s="184"/>
      <c r="CV27" s="185"/>
      <c r="CW27" s="184"/>
      <c r="CX27" s="185"/>
      <c r="CY27" s="184"/>
      <c r="CZ27" s="185"/>
      <c r="DA27" s="184"/>
      <c r="DB27" s="185"/>
      <c r="DC27" s="184"/>
      <c r="DD27" s="185"/>
      <c r="DE27" s="184"/>
      <c r="DF27" s="185"/>
      <c r="DG27" s="184"/>
      <c r="DH27" s="185"/>
      <c r="DI27" s="184"/>
      <c r="DJ27" s="185"/>
      <c r="DK27" s="184"/>
      <c r="DL27" s="185"/>
      <c r="DM27" s="184"/>
      <c r="DN27" s="185"/>
      <c r="DO27" s="184"/>
      <c r="DP27" s="185"/>
      <c r="DQ27" s="184"/>
      <c r="DR27" s="185"/>
      <c r="DS27" s="184"/>
      <c r="DT27" s="185"/>
      <c r="DU27" s="184"/>
      <c r="DV27" s="185"/>
    </row>
    <row r="28" spans="1:126" x14ac:dyDescent="0.2">
      <c r="A28" s="183" t="s">
        <v>116</v>
      </c>
      <c r="B28" s="183" t="s">
        <v>118</v>
      </c>
      <c r="C28" s="184">
        <f t="shared" si="147"/>
        <v>0</v>
      </c>
      <c r="D28" s="185">
        <f t="shared" si="51"/>
        <v>0</v>
      </c>
      <c r="E28" s="184">
        <f t="shared" si="148"/>
        <v>0</v>
      </c>
      <c r="F28" s="185">
        <f t="shared" si="52"/>
        <v>0</v>
      </c>
      <c r="G28" s="184">
        <f t="shared" si="3"/>
        <v>0</v>
      </c>
      <c r="H28" s="185">
        <f t="shared" si="3"/>
        <v>0</v>
      </c>
      <c r="I28" s="184"/>
      <c r="J28" s="185"/>
      <c r="K28" s="184"/>
      <c r="L28" s="185"/>
      <c r="M28" s="184"/>
      <c r="N28" s="185"/>
      <c r="O28" s="184"/>
      <c r="P28" s="185"/>
      <c r="Q28" s="184"/>
      <c r="R28" s="185"/>
      <c r="S28" s="184"/>
      <c r="T28" s="185"/>
      <c r="U28" s="184"/>
      <c r="V28" s="185"/>
      <c r="W28" s="184"/>
      <c r="X28" s="185"/>
      <c r="Y28" s="184"/>
      <c r="Z28" s="185"/>
      <c r="AA28" s="184"/>
      <c r="AB28" s="185"/>
      <c r="AC28" s="184"/>
      <c r="AD28" s="185"/>
      <c r="AE28" s="184"/>
      <c r="AF28" s="185"/>
      <c r="AG28" s="184"/>
      <c r="AH28" s="185"/>
      <c r="AI28" s="184"/>
      <c r="AJ28" s="185"/>
      <c r="AK28" s="184"/>
      <c r="AL28" s="185"/>
      <c r="AM28" s="184"/>
      <c r="AN28" s="185"/>
      <c r="AO28" s="184"/>
      <c r="AP28" s="185"/>
      <c r="AQ28" s="184"/>
      <c r="AR28" s="185"/>
      <c r="AS28" s="184"/>
      <c r="AT28" s="185"/>
      <c r="AU28" s="184"/>
      <c r="AV28" s="185"/>
      <c r="AW28" s="184"/>
      <c r="AX28" s="185"/>
      <c r="AY28" s="184"/>
      <c r="AZ28" s="185"/>
      <c r="BA28" s="184"/>
      <c r="BB28" s="185"/>
      <c r="BC28" s="184"/>
      <c r="BD28" s="185"/>
      <c r="BE28" s="184"/>
      <c r="BF28" s="185"/>
      <c r="BG28" s="184"/>
      <c r="BH28" s="185"/>
      <c r="BI28" s="184"/>
      <c r="BJ28" s="185"/>
      <c r="BK28" s="184"/>
      <c r="BL28" s="185"/>
      <c r="BM28" s="184"/>
      <c r="BN28" s="185"/>
      <c r="BO28" s="184"/>
      <c r="BP28" s="185"/>
      <c r="BQ28" s="184"/>
      <c r="BR28" s="185"/>
      <c r="BS28" s="184"/>
      <c r="BT28" s="185"/>
      <c r="BU28" s="184"/>
      <c r="BV28" s="185"/>
      <c r="BW28" s="184"/>
      <c r="BX28" s="185"/>
      <c r="BY28" s="184"/>
      <c r="BZ28" s="185"/>
      <c r="CA28" s="184"/>
      <c r="CB28" s="185"/>
      <c r="CC28" s="184"/>
      <c r="CD28" s="185"/>
      <c r="CE28" s="184"/>
      <c r="CF28" s="185"/>
      <c r="CG28" s="184"/>
      <c r="CH28" s="185"/>
      <c r="CI28" s="184"/>
      <c r="CJ28" s="185"/>
      <c r="CK28" s="184"/>
      <c r="CL28" s="185"/>
      <c r="CM28" s="184"/>
      <c r="CN28" s="185"/>
      <c r="CO28" s="184"/>
      <c r="CP28" s="185"/>
      <c r="CQ28" s="184"/>
      <c r="CR28" s="185"/>
      <c r="CS28" s="184"/>
      <c r="CT28" s="185"/>
      <c r="CU28" s="184"/>
      <c r="CV28" s="185"/>
      <c r="CW28" s="184"/>
      <c r="CX28" s="185"/>
      <c r="CY28" s="184"/>
      <c r="CZ28" s="185"/>
      <c r="DA28" s="184"/>
      <c r="DB28" s="185"/>
      <c r="DC28" s="184"/>
      <c r="DD28" s="185"/>
      <c r="DE28" s="184"/>
      <c r="DF28" s="185"/>
      <c r="DG28" s="184"/>
      <c r="DH28" s="185"/>
      <c r="DI28" s="184"/>
      <c r="DJ28" s="185"/>
      <c r="DK28" s="184"/>
      <c r="DL28" s="185"/>
      <c r="DM28" s="184"/>
      <c r="DN28" s="185"/>
      <c r="DO28" s="184"/>
      <c r="DP28" s="185"/>
      <c r="DQ28" s="184"/>
      <c r="DR28" s="185"/>
      <c r="DS28" s="184"/>
      <c r="DT28" s="185"/>
      <c r="DU28" s="184"/>
      <c r="DV28" s="185"/>
    </row>
    <row r="29" spans="1:126" x14ac:dyDescent="0.2">
      <c r="A29" s="183" t="s">
        <v>119</v>
      </c>
      <c r="B29" s="183" t="s">
        <v>889</v>
      </c>
      <c r="C29" s="184">
        <f t="shared" si="147"/>
        <v>33387</v>
      </c>
      <c r="D29" s="185">
        <f t="shared" si="51"/>
        <v>18388</v>
      </c>
      <c r="E29" s="184">
        <f t="shared" si="148"/>
        <v>33387</v>
      </c>
      <c r="F29" s="185">
        <f t="shared" si="52"/>
        <v>18288</v>
      </c>
      <c r="G29" s="184">
        <f t="shared" si="3"/>
        <v>0</v>
      </c>
      <c r="H29" s="185">
        <f t="shared" si="3"/>
        <v>100</v>
      </c>
      <c r="I29" s="184"/>
      <c r="J29" s="185"/>
      <c r="K29" s="184"/>
      <c r="L29" s="185"/>
      <c r="M29" s="184"/>
      <c r="N29" s="185"/>
      <c r="O29" s="184">
        <v>2400</v>
      </c>
      <c r="P29" s="185">
        <f>1080+876</f>
        <v>1956</v>
      </c>
      <c r="Q29" s="184"/>
      <c r="R29" s="185"/>
      <c r="S29" s="184"/>
      <c r="T29" s="185"/>
      <c r="U29" s="184"/>
      <c r="V29" s="185"/>
      <c r="W29" s="184"/>
      <c r="X29" s="185"/>
      <c r="Y29" s="184"/>
      <c r="Z29" s="185"/>
      <c r="AA29" s="184"/>
      <c r="AB29" s="185"/>
      <c r="AC29" s="184"/>
      <c r="AD29" s="185"/>
      <c r="AE29" s="184">
        <v>30987</v>
      </c>
      <c r="AF29" s="185">
        <v>16332</v>
      </c>
      <c r="AG29" s="184"/>
      <c r="AH29" s="185"/>
      <c r="AI29" s="184"/>
      <c r="AJ29" s="185"/>
      <c r="AK29" s="184"/>
      <c r="AL29" s="185"/>
      <c r="AM29" s="184"/>
      <c r="AN29" s="185"/>
      <c r="AO29" s="184"/>
      <c r="AP29" s="185"/>
      <c r="AQ29" s="184"/>
      <c r="AR29" s="185"/>
      <c r="AS29" s="184"/>
      <c r="AT29" s="185"/>
      <c r="AU29" s="184"/>
      <c r="AV29" s="185"/>
      <c r="AW29" s="184"/>
      <c r="AX29" s="185"/>
      <c r="AY29" s="184"/>
      <c r="AZ29" s="185"/>
      <c r="BA29" s="184"/>
      <c r="BB29" s="185"/>
      <c r="BC29" s="184"/>
      <c r="BD29" s="185"/>
      <c r="BE29" s="184"/>
      <c r="BF29" s="185"/>
      <c r="BG29" s="184"/>
      <c r="BH29" s="185"/>
      <c r="BI29" s="184"/>
      <c r="BJ29" s="185"/>
      <c r="BK29" s="184"/>
      <c r="BL29" s="185"/>
      <c r="BM29" s="184"/>
      <c r="BN29" s="185"/>
      <c r="BO29" s="184"/>
      <c r="BP29" s="185"/>
      <c r="BQ29" s="184"/>
      <c r="BR29" s="185"/>
      <c r="BS29" s="184"/>
      <c r="BT29" s="185"/>
      <c r="BU29" s="184"/>
      <c r="BV29" s="185"/>
      <c r="BW29" s="184"/>
      <c r="BX29" s="185"/>
      <c r="BY29" s="184"/>
      <c r="BZ29" s="185"/>
      <c r="CA29" s="184"/>
      <c r="CB29" s="185"/>
      <c r="CC29" s="184"/>
      <c r="CD29" s="185"/>
      <c r="CE29" s="184"/>
      <c r="CF29" s="185"/>
      <c r="CG29" s="184"/>
      <c r="CH29" s="185"/>
      <c r="CI29" s="184"/>
      <c r="CJ29" s="185"/>
      <c r="CK29" s="184"/>
      <c r="CL29" s="185"/>
      <c r="CM29" s="184"/>
      <c r="CN29" s="185"/>
      <c r="CO29" s="184"/>
      <c r="CP29" s="185"/>
      <c r="CQ29" s="184"/>
      <c r="CR29" s="185"/>
      <c r="CS29" s="184"/>
      <c r="CT29" s="185"/>
      <c r="CU29" s="184"/>
      <c r="CV29" s="185"/>
      <c r="CW29" s="184"/>
      <c r="CX29" s="185"/>
      <c r="CY29" s="184"/>
      <c r="CZ29" s="185"/>
      <c r="DA29" s="184"/>
      <c r="DB29" s="185"/>
      <c r="DC29" s="184"/>
      <c r="DD29" s="185"/>
      <c r="DE29" s="184"/>
      <c r="DF29" s="185"/>
      <c r="DG29" s="184"/>
      <c r="DH29" s="185">
        <v>100</v>
      </c>
      <c r="DI29" s="184"/>
      <c r="DJ29" s="185"/>
      <c r="DK29" s="184"/>
      <c r="DL29" s="185"/>
      <c r="DM29" s="184"/>
      <c r="DN29" s="185"/>
      <c r="DO29" s="184"/>
      <c r="DP29" s="185"/>
      <c r="DQ29" s="184"/>
      <c r="DR29" s="185"/>
      <c r="DS29" s="184"/>
      <c r="DT29" s="185"/>
      <c r="DU29" s="184"/>
      <c r="DV29" s="185"/>
    </row>
    <row r="30" spans="1:126" x14ac:dyDescent="0.2">
      <c r="A30" s="183" t="s">
        <v>124</v>
      </c>
      <c r="B30" s="183" t="s">
        <v>126</v>
      </c>
      <c r="C30" s="184">
        <f t="shared" si="147"/>
        <v>2236</v>
      </c>
      <c r="D30" s="185">
        <f t="shared" si="51"/>
        <v>1286</v>
      </c>
      <c r="E30" s="184">
        <f t="shared" si="148"/>
        <v>600</v>
      </c>
      <c r="F30" s="185">
        <f t="shared" si="52"/>
        <v>1286</v>
      </c>
      <c r="G30" s="184">
        <f t="shared" si="3"/>
        <v>1636</v>
      </c>
      <c r="H30" s="185">
        <f t="shared" si="3"/>
        <v>0</v>
      </c>
      <c r="I30" s="184"/>
      <c r="J30" s="185"/>
      <c r="K30" s="184"/>
      <c r="L30" s="185"/>
      <c r="M30" s="184"/>
      <c r="N30" s="185"/>
      <c r="O30" s="184"/>
      <c r="P30" s="185"/>
      <c r="Q30" s="184"/>
      <c r="R30" s="185">
        <v>30</v>
      </c>
      <c r="S30" s="184"/>
      <c r="T30" s="185"/>
      <c r="U30" s="184"/>
      <c r="V30" s="185"/>
      <c r="W30" s="184"/>
      <c r="X30" s="185"/>
      <c r="Y30" s="184"/>
      <c r="Z30" s="185"/>
      <c r="AA30" s="184"/>
      <c r="AB30" s="185"/>
      <c r="AC30" s="184"/>
      <c r="AD30" s="185"/>
      <c r="AE30" s="184">
        <v>600</v>
      </c>
      <c r="AF30" s="185">
        <v>1256</v>
      </c>
      <c r="AG30" s="184"/>
      <c r="AH30" s="185"/>
      <c r="AI30" s="184"/>
      <c r="AJ30" s="185"/>
      <c r="AK30" s="184"/>
      <c r="AL30" s="185"/>
      <c r="AM30" s="184"/>
      <c r="AN30" s="185"/>
      <c r="AO30" s="184"/>
      <c r="AP30" s="185"/>
      <c r="AQ30" s="184"/>
      <c r="AR30" s="185"/>
      <c r="AS30" s="184"/>
      <c r="AT30" s="185"/>
      <c r="AU30" s="184"/>
      <c r="AV30" s="185"/>
      <c r="AW30" s="184"/>
      <c r="AX30" s="185"/>
      <c r="AY30" s="184"/>
      <c r="AZ30" s="185"/>
      <c r="BA30" s="184"/>
      <c r="BB30" s="185"/>
      <c r="BC30" s="184"/>
      <c r="BD30" s="185"/>
      <c r="BE30" s="184"/>
      <c r="BF30" s="185"/>
      <c r="BG30" s="184"/>
      <c r="BH30" s="185"/>
      <c r="BI30" s="184"/>
      <c r="BJ30" s="185"/>
      <c r="BK30" s="184">
        <f>4*298+37*12</f>
        <v>1636</v>
      </c>
      <c r="BL30" s="185">
        <v>0</v>
      </c>
      <c r="BM30" s="184"/>
      <c r="BN30" s="185"/>
      <c r="BO30" s="184"/>
      <c r="BP30" s="185"/>
      <c r="BQ30" s="184"/>
      <c r="BR30" s="185"/>
      <c r="BS30" s="184"/>
      <c r="BT30" s="185"/>
      <c r="BU30" s="184"/>
      <c r="BV30" s="185"/>
      <c r="BW30" s="184"/>
      <c r="BX30" s="185"/>
      <c r="BY30" s="184"/>
      <c r="BZ30" s="185"/>
      <c r="CA30" s="184"/>
      <c r="CB30" s="185"/>
      <c r="CC30" s="184"/>
      <c r="CD30" s="185"/>
      <c r="CE30" s="184"/>
      <c r="CF30" s="185"/>
      <c r="CG30" s="184"/>
      <c r="CH30" s="185"/>
      <c r="CI30" s="184"/>
      <c r="CJ30" s="185"/>
      <c r="CK30" s="184"/>
      <c r="CL30" s="185"/>
      <c r="CM30" s="184"/>
      <c r="CN30" s="185"/>
      <c r="CO30" s="184"/>
      <c r="CP30" s="185"/>
      <c r="CQ30" s="184"/>
      <c r="CR30" s="185"/>
      <c r="CS30" s="184"/>
      <c r="CT30" s="185"/>
      <c r="CU30" s="184"/>
      <c r="CV30" s="185"/>
      <c r="CW30" s="184"/>
      <c r="CX30" s="185"/>
      <c r="CY30" s="184"/>
      <c r="CZ30" s="185"/>
      <c r="DA30" s="184"/>
      <c r="DB30" s="185"/>
      <c r="DC30" s="184"/>
      <c r="DD30" s="185"/>
      <c r="DE30" s="184"/>
      <c r="DF30" s="185"/>
      <c r="DG30" s="184"/>
      <c r="DH30" s="185"/>
      <c r="DI30" s="184"/>
      <c r="DJ30" s="185"/>
      <c r="DK30" s="184"/>
      <c r="DL30" s="185"/>
      <c r="DM30" s="184"/>
      <c r="DN30" s="185"/>
      <c r="DO30" s="184"/>
      <c r="DP30" s="185"/>
      <c r="DQ30" s="184"/>
      <c r="DR30" s="185"/>
      <c r="DS30" s="184"/>
      <c r="DT30" s="185"/>
      <c r="DU30" s="184"/>
      <c r="DV30" s="185"/>
    </row>
    <row r="31" spans="1:126" x14ac:dyDescent="0.2">
      <c r="A31" s="183" t="s">
        <v>127</v>
      </c>
      <c r="B31" s="183" t="s">
        <v>890</v>
      </c>
      <c r="C31" s="184">
        <f t="shared" si="147"/>
        <v>1500</v>
      </c>
      <c r="D31" s="185">
        <f t="shared" si="51"/>
        <v>1825</v>
      </c>
      <c r="E31" s="184">
        <f t="shared" si="148"/>
        <v>1500</v>
      </c>
      <c r="F31" s="185">
        <f t="shared" si="52"/>
        <v>1825</v>
      </c>
      <c r="G31" s="184">
        <f t="shared" si="3"/>
        <v>0</v>
      </c>
      <c r="H31" s="185">
        <f t="shared" si="3"/>
        <v>0</v>
      </c>
      <c r="I31" s="184"/>
      <c r="J31" s="185"/>
      <c r="K31" s="184"/>
      <c r="L31" s="185"/>
      <c r="M31" s="184"/>
      <c r="N31" s="185"/>
      <c r="O31" s="184"/>
      <c r="P31" s="185"/>
      <c r="Q31" s="184"/>
      <c r="R31" s="185">
        <v>25</v>
      </c>
      <c r="S31" s="184"/>
      <c r="T31" s="185"/>
      <c r="U31" s="184"/>
      <c r="V31" s="185"/>
      <c r="W31" s="184"/>
      <c r="X31" s="185"/>
      <c r="Y31" s="184"/>
      <c r="Z31" s="185"/>
      <c r="AA31" s="184"/>
      <c r="AB31" s="185"/>
      <c r="AC31" s="184"/>
      <c r="AD31" s="185"/>
      <c r="AE31" s="184">
        <v>1500</v>
      </c>
      <c r="AF31" s="185">
        <v>1800</v>
      </c>
      <c r="AG31" s="184"/>
      <c r="AH31" s="185"/>
      <c r="AI31" s="184"/>
      <c r="AJ31" s="185"/>
      <c r="AK31" s="184"/>
      <c r="AL31" s="185"/>
      <c r="AM31" s="184"/>
      <c r="AN31" s="185"/>
      <c r="AO31" s="184"/>
      <c r="AP31" s="185"/>
      <c r="AQ31" s="184"/>
      <c r="AR31" s="185"/>
      <c r="AS31" s="184"/>
      <c r="AT31" s="185"/>
      <c r="AU31" s="184"/>
      <c r="AV31" s="185"/>
      <c r="AW31" s="184"/>
      <c r="AX31" s="185"/>
      <c r="AY31" s="184"/>
      <c r="AZ31" s="185"/>
      <c r="BA31" s="184"/>
      <c r="BB31" s="185"/>
      <c r="BC31" s="184"/>
      <c r="BD31" s="185"/>
      <c r="BE31" s="184"/>
      <c r="BF31" s="185"/>
      <c r="BG31" s="184"/>
      <c r="BH31" s="185"/>
      <c r="BI31" s="184"/>
      <c r="BJ31" s="185"/>
      <c r="BK31" s="184"/>
      <c r="BL31" s="185"/>
      <c r="BM31" s="184"/>
      <c r="BN31" s="185"/>
      <c r="BO31" s="184"/>
      <c r="BP31" s="185"/>
      <c r="BQ31" s="184"/>
      <c r="BR31" s="185"/>
      <c r="BS31" s="184"/>
      <c r="BT31" s="185"/>
      <c r="BU31" s="184"/>
      <c r="BV31" s="185"/>
      <c r="BW31" s="184"/>
      <c r="BX31" s="185"/>
      <c r="BY31" s="184"/>
      <c r="BZ31" s="185"/>
      <c r="CA31" s="184"/>
      <c r="CB31" s="185"/>
      <c r="CC31" s="184"/>
      <c r="CD31" s="185"/>
      <c r="CE31" s="184"/>
      <c r="CF31" s="185"/>
      <c r="CG31" s="184"/>
      <c r="CH31" s="185"/>
      <c r="CI31" s="184"/>
      <c r="CJ31" s="185"/>
      <c r="CK31" s="184"/>
      <c r="CL31" s="185"/>
      <c r="CM31" s="184"/>
      <c r="CN31" s="185"/>
      <c r="CO31" s="184"/>
      <c r="CP31" s="185"/>
      <c r="CQ31" s="184"/>
      <c r="CR31" s="185"/>
      <c r="CS31" s="184"/>
      <c r="CT31" s="185"/>
      <c r="CU31" s="184"/>
      <c r="CV31" s="185"/>
      <c r="CW31" s="184"/>
      <c r="CX31" s="185"/>
      <c r="CY31" s="184"/>
      <c r="CZ31" s="185"/>
      <c r="DA31" s="184"/>
      <c r="DB31" s="185"/>
      <c r="DC31" s="184"/>
      <c r="DD31" s="185"/>
      <c r="DE31" s="184"/>
      <c r="DF31" s="185"/>
      <c r="DG31" s="184"/>
      <c r="DH31" s="185"/>
      <c r="DI31" s="184"/>
      <c r="DJ31" s="185"/>
      <c r="DK31" s="184"/>
      <c r="DL31" s="185"/>
      <c r="DM31" s="184"/>
      <c r="DN31" s="185"/>
      <c r="DO31" s="184"/>
      <c r="DP31" s="185"/>
      <c r="DQ31" s="184"/>
      <c r="DR31" s="185"/>
      <c r="DS31" s="184"/>
      <c r="DT31" s="185"/>
      <c r="DU31" s="184"/>
      <c r="DV31" s="185"/>
    </row>
    <row r="32" spans="1:126" x14ac:dyDescent="0.2">
      <c r="A32" s="183" t="s">
        <v>132</v>
      </c>
      <c r="B32" s="183" t="s">
        <v>134</v>
      </c>
      <c r="C32" s="184">
        <f t="shared" si="147"/>
        <v>60967</v>
      </c>
      <c r="D32" s="185">
        <f t="shared" si="51"/>
        <v>75194</v>
      </c>
      <c r="E32" s="184">
        <f t="shared" si="148"/>
        <v>48012</v>
      </c>
      <c r="F32" s="185">
        <f t="shared" si="52"/>
        <v>56922</v>
      </c>
      <c r="G32" s="184">
        <f t="shared" si="3"/>
        <v>12955</v>
      </c>
      <c r="H32" s="185">
        <f t="shared" si="3"/>
        <v>18272</v>
      </c>
      <c r="I32" s="184"/>
      <c r="J32" s="185"/>
      <c r="K32" s="184">
        <f>6600+1350+200</f>
        <v>8150</v>
      </c>
      <c r="L32" s="185">
        <f>6600+500</f>
        <v>7100</v>
      </c>
      <c r="M32" s="184"/>
      <c r="N32" s="185"/>
      <c r="O32" s="184">
        <v>16640</v>
      </c>
      <c r="P32" s="185">
        <f>14300+1480</f>
        <v>15780</v>
      </c>
      <c r="Q32" s="184">
        <v>50</v>
      </c>
      <c r="R32" s="185">
        <v>50</v>
      </c>
      <c r="S32" s="184"/>
      <c r="T32" s="185"/>
      <c r="U32" s="184"/>
      <c r="V32" s="185"/>
      <c r="W32" s="184"/>
      <c r="X32" s="185"/>
      <c r="Y32" s="184"/>
      <c r="Z32" s="185"/>
      <c r="AA32" s="184"/>
      <c r="AB32" s="185"/>
      <c r="AC32" s="184"/>
      <c r="AD32" s="185"/>
      <c r="AE32" s="184">
        <v>23172</v>
      </c>
      <c r="AF32" s="185">
        <v>33992</v>
      </c>
      <c r="AG32" s="184"/>
      <c r="AH32" s="185"/>
      <c r="AI32" s="184"/>
      <c r="AJ32" s="185"/>
      <c r="AK32" s="184">
        <v>3744</v>
      </c>
      <c r="AL32" s="185">
        <v>3744</v>
      </c>
      <c r="AM32" s="184"/>
      <c r="AN32" s="185"/>
      <c r="AO32" s="184"/>
      <c r="AP32" s="185"/>
      <c r="AQ32" s="184"/>
      <c r="AR32" s="185"/>
      <c r="AS32" s="184"/>
      <c r="AT32" s="185"/>
      <c r="AU32" s="184"/>
      <c r="AV32" s="185"/>
      <c r="AW32" s="184">
        <v>2811</v>
      </c>
      <c r="AX32" s="185">
        <v>2811</v>
      </c>
      <c r="AY32" s="184">
        <v>1595</v>
      </c>
      <c r="AZ32" s="185">
        <v>1595</v>
      </c>
      <c r="BA32" s="184"/>
      <c r="BB32" s="185"/>
      <c r="BC32" s="184">
        <v>875</v>
      </c>
      <c r="BD32" s="185">
        <v>1750</v>
      </c>
      <c r="BE32" s="184">
        <v>720</v>
      </c>
      <c r="BF32" s="185">
        <v>1440</v>
      </c>
      <c r="BG32" s="184"/>
      <c r="BH32" s="185"/>
      <c r="BI32" s="184"/>
      <c r="BJ32" s="185"/>
      <c r="BK32" s="184"/>
      <c r="BL32" s="185"/>
      <c r="BM32" s="184">
        <v>1200</v>
      </c>
      <c r="BN32" s="185">
        <v>1500</v>
      </c>
      <c r="BO32" s="184"/>
      <c r="BP32" s="185"/>
      <c r="BQ32" s="184"/>
      <c r="BR32" s="185"/>
      <c r="BS32" s="184"/>
      <c r="BT32" s="185"/>
      <c r="BU32" s="184"/>
      <c r="BV32" s="185"/>
      <c r="BW32" s="184"/>
      <c r="BX32" s="185"/>
      <c r="BY32" s="184"/>
      <c r="BZ32" s="185"/>
      <c r="CA32" s="184"/>
      <c r="CB32" s="185"/>
      <c r="CC32" s="184"/>
      <c r="CD32" s="185"/>
      <c r="CE32" s="184"/>
      <c r="CF32" s="185"/>
      <c r="CG32" s="184"/>
      <c r="CH32" s="185"/>
      <c r="CI32" s="184"/>
      <c r="CJ32" s="185"/>
      <c r="CK32" s="184"/>
      <c r="CL32" s="185"/>
      <c r="CM32" s="184"/>
      <c r="CN32" s="185"/>
      <c r="CO32" s="184"/>
      <c r="CP32" s="185"/>
      <c r="CQ32" s="184"/>
      <c r="CR32" s="185"/>
      <c r="CS32" s="184"/>
      <c r="CT32" s="185">
        <v>512</v>
      </c>
      <c r="CU32" s="184"/>
      <c r="CV32" s="185"/>
      <c r="CW32" s="184"/>
      <c r="CX32" s="185"/>
      <c r="CY32" s="184"/>
      <c r="CZ32" s="185"/>
      <c r="DA32" s="184"/>
      <c r="DB32" s="185"/>
      <c r="DC32" s="184">
        <v>1710</v>
      </c>
      <c r="DD32" s="185">
        <v>2470</v>
      </c>
      <c r="DE32" s="184"/>
      <c r="DF32" s="185"/>
      <c r="DG32" s="184"/>
      <c r="DH32" s="185">
        <f>800+1500</f>
        <v>2300</v>
      </c>
      <c r="DI32" s="184"/>
      <c r="DJ32" s="185"/>
      <c r="DK32" s="184"/>
      <c r="DL32" s="185"/>
      <c r="DM32" s="184"/>
      <c r="DN32" s="185"/>
      <c r="DO32" s="184">
        <v>300</v>
      </c>
      <c r="DP32" s="185">
        <v>150</v>
      </c>
      <c r="DQ32" s="184"/>
      <c r="DR32" s="185"/>
      <c r="DS32" s="184"/>
      <c r="DT32" s="185"/>
      <c r="DU32" s="184"/>
      <c r="DV32" s="185"/>
    </row>
    <row r="33" spans="1:126" x14ac:dyDescent="0.2">
      <c r="A33" s="183" t="s">
        <v>138</v>
      </c>
      <c r="B33" s="183" t="s">
        <v>891</v>
      </c>
      <c r="C33" s="184">
        <f t="shared" si="147"/>
        <v>126806</v>
      </c>
      <c r="D33" s="185">
        <f t="shared" si="51"/>
        <v>80600</v>
      </c>
      <c r="E33" s="184">
        <f t="shared" si="148"/>
        <v>22807</v>
      </c>
      <c r="F33" s="185">
        <f t="shared" si="52"/>
        <v>43807</v>
      </c>
      <c r="G33" s="184">
        <f t="shared" si="3"/>
        <v>103999</v>
      </c>
      <c r="H33" s="185">
        <f t="shared" si="3"/>
        <v>36793</v>
      </c>
      <c r="I33" s="184"/>
      <c r="J33" s="185"/>
      <c r="K33" s="184"/>
      <c r="L33" s="185"/>
      <c r="M33" s="184">
        <v>2000</v>
      </c>
      <c r="N33" s="185">
        <v>2000</v>
      </c>
      <c r="O33" s="184"/>
      <c r="P33" s="185"/>
      <c r="Q33" s="184">
        <v>140</v>
      </c>
      <c r="R33" s="185">
        <v>140</v>
      </c>
      <c r="S33" s="184"/>
      <c r="T33" s="185"/>
      <c r="U33" s="184"/>
      <c r="V33" s="185"/>
      <c r="W33" s="184"/>
      <c r="X33" s="185"/>
      <c r="Y33" s="184">
        <f>788</f>
        <v>788</v>
      </c>
      <c r="Z33" s="185">
        <f>788</f>
        <v>788</v>
      </c>
      <c r="AA33" s="184">
        <f>1500+2362</f>
        <v>3862</v>
      </c>
      <c r="AB33" s="185">
        <f>2362</f>
        <v>2362</v>
      </c>
      <c r="AC33" s="184">
        <v>12</v>
      </c>
      <c r="AD33" s="185">
        <v>12</v>
      </c>
      <c r="AE33" s="184">
        <v>16005</v>
      </c>
      <c r="AF33" s="185">
        <v>38505</v>
      </c>
      <c r="AG33" s="184"/>
      <c r="AH33" s="185"/>
      <c r="AI33" s="184"/>
      <c r="AJ33" s="185"/>
      <c r="AK33" s="184">
        <v>0</v>
      </c>
      <c r="AL33" s="185">
        <v>0</v>
      </c>
      <c r="AM33" s="184"/>
      <c r="AN33" s="185"/>
      <c r="AO33" s="184">
        <v>3150</v>
      </c>
      <c r="AP33" s="185">
        <v>6347</v>
      </c>
      <c r="AQ33" s="184">
        <v>1000</v>
      </c>
      <c r="AR33" s="185">
        <v>1000</v>
      </c>
      <c r="AS33" s="184"/>
      <c r="AT33" s="185"/>
      <c r="AU33" s="184"/>
      <c r="AV33" s="185"/>
      <c r="AW33" s="184"/>
      <c r="AX33" s="185"/>
      <c r="AY33" s="184"/>
      <c r="AZ33" s="185"/>
      <c r="BA33" s="184">
        <v>4724</v>
      </c>
      <c r="BB33" s="185">
        <v>6000</v>
      </c>
      <c r="BC33" s="184"/>
      <c r="BD33" s="185"/>
      <c r="BE33" s="184"/>
      <c r="BF33" s="185"/>
      <c r="BG33" s="184">
        <v>2400</v>
      </c>
      <c r="BH33" s="185">
        <v>2400</v>
      </c>
      <c r="BI33" s="184">
        <v>1906</v>
      </c>
      <c r="BJ33" s="185">
        <v>1906</v>
      </c>
      <c r="BK33" s="184"/>
      <c r="BL33" s="185"/>
      <c r="BM33" s="184"/>
      <c r="BN33" s="185"/>
      <c r="BO33" s="184">
        <f>5388+600+7560-1737</f>
        <v>11811</v>
      </c>
      <c r="BP33" s="185">
        <f>14840</f>
        <v>14840</v>
      </c>
      <c r="BQ33" s="184"/>
      <c r="BR33" s="185"/>
      <c r="BS33" s="184"/>
      <c r="BT33" s="185"/>
      <c r="BU33" s="184"/>
      <c r="BV33" s="185"/>
      <c r="BW33" s="184"/>
      <c r="BX33" s="185"/>
      <c r="BY33" s="184"/>
      <c r="BZ33" s="185"/>
      <c r="CA33" s="184"/>
      <c r="CB33" s="185"/>
      <c r="CC33" s="184"/>
      <c r="CD33" s="185"/>
      <c r="CE33" s="184"/>
      <c r="CF33" s="185"/>
      <c r="CG33" s="184"/>
      <c r="CH33" s="185"/>
      <c r="CI33" s="184">
        <v>78608</v>
      </c>
      <c r="CJ33" s="185">
        <v>0</v>
      </c>
      <c r="CK33" s="184"/>
      <c r="CL33" s="185"/>
      <c r="CM33" s="184"/>
      <c r="CN33" s="185"/>
      <c r="CO33" s="184"/>
      <c r="CP33" s="185"/>
      <c r="CQ33" s="184"/>
      <c r="CR33" s="185"/>
      <c r="CS33" s="184"/>
      <c r="CT33" s="185"/>
      <c r="CU33" s="184"/>
      <c r="CV33" s="185"/>
      <c r="CW33" s="184"/>
      <c r="CX33" s="185"/>
      <c r="CY33" s="184"/>
      <c r="CZ33" s="185"/>
      <c r="DA33" s="184"/>
      <c r="DB33" s="185"/>
      <c r="DC33" s="184"/>
      <c r="DD33" s="185"/>
      <c r="DE33" s="184"/>
      <c r="DF33" s="185"/>
      <c r="DG33" s="184"/>
      <c r="DH33" s="185">
        <v>4100</v>
      </c>
      <c r="DI33" s="184"/>
      <c r="DJ33" s="185"/>
      <c r="DK33" s="184"/>
      <c r="DL33" s="185"/>
      <c r="DM33" s="184">
        <v>0</v>
      </c>
      <c r="DN33" s="185">
        <v>0</v>
      </c>
      <c r="DO33" s="184">
        <v>400</v>
      </c>
      <c r="DP33" s="185">
        <v>200</v>
      </c>
      <c r="DQ33" s="184"/>
      <c r="DR33" s="185"/>
      <c r="DS33" s="184"/>
      <c r="DT33" s="185"/>
      <c r="DU33" s="184"/>
      <c r="DV33" s="185"/>
    </row>
    <row r="34" spans="1:126" x14ac:dyDescent="0.2">
      <c r="A34" s="190" t="s">
        <v>145</v>
      </c>
      <c r="B34" s="190" t="s">
        <v>892</v>
      </c>
      <c r="C34" s="191">
        <f>SUM(C27:C33)</f>
        <v>235396</v>
      </c>
      <c r="D34" s="192">
        <f>SUM(D27:D33)</f>
        <v>188593</v>
      </c>
      <c r="E34" s="191">
        <f t="shared" ref="E34:AE34" si="149">SUM(E27:E33)</f>
        <v>116806</v>
      </c>
      <c r="F34" s="192">
        <f t="shared" si="149"/>
        <v>133428</v>
      </c>
      <c r="G34" s="191">
        <f t="shared" si="149"/>
        <v>118590</v>
      </c>
      <c r="H34" s="192">
        <f>SUM(H27:H33)</f>
        <v>55165</v>
      </c>
      <c r="I34" s="191"/>
      <c r="J34" s="192"/>
      <c r="K34" s="191">
        <f t="shared" si="149"/>
        <v>8150</v>
      </c>
      <c r="L34" s="192">
        <f t="shared" si="149"/>
        <v>7100</v>
      </c>
      <c r="M34" s="191">
        <f t="shared" si="149"/>
        <v>2000</v>
      </c>
      <c r="N34" s="192">
        <f t="shared" si="149"/>
        <v>2000</v>
      </c>
      <c r="O34" s="191">
        <f t="shared" si="149"/>
        <v>19240</v>
      </c>
      <c r="P34" s="192">
        <f t="shared" si="149"/>
        <v>17936</v>
      </c>
      <c r="Q34" s="191">
        <f t="shared" si="149"/>
        <v>190</v>
      </c>
      <c r="R34" s="192">
        <f t="shared" si="149"/>
        <v>245</v>
      </c>
      <c r="S34" s="191">
        <f t="shared" si="149"/>
        <v>0</v>
      </c>
      <c r="T34" s="192">
        <f t="shared" ref="T34" si="150">SUM(T27:T33)</f>
        <v>0</v>
      </c>
      <c r="U34" s="191">
        <f t="shared" si="149"/>
        <v>0</v>
      </c>
      <c r="V34" s="192">
        <f t="shared" ref="V34" si="151">SUM(V27:V33)</f>
        <v>0</v>
      </c>
      <c r="W34" s="191">
        <f t="shared" si="149"/>
        <v>1900</v>
      </c>
      <c r="X34" s="192">
        <f t="shared" si="149"/>
        <v>1900</v>
      </c>
      <c r="Y34" s="191">
        <f t="shared" si="149"/>
        <v>788</v>
      </c>
      <c r="Z34" s="192">
        <f t="shared" si="149"/>
        <v>788</v>
      </c>
      <c r="AA34" s="191">
        <f t="shared" si="149"/>
        <v>3862</v>
      </c>
      <c r="AB34" s="192">
        <f t="shared" ref="AB34" si="152">SUM(AB27:AB33)</f>
        <v>2362</v>
      </c>
      <c r="AC34" s="191">
        <f t="shared" si="149"/>
        <v>12</v>
      </c>
      <c r="AD34" s="192">
        <f t="shared" ref="AD34" si="153">SUM(AD27:AD33)</f>
        <v>12</v>
      </c>
      <c r="AE34" s="191">
        <f t="shared" si="149"/>
        <v>80664</v>
      </c>
      <c r="AF34" s="192">
        <f t="shared" ref="AF34" si="154">SUM(AF27:AF33)</f>
        <v>101085</v>
      </c>
      <c r="AG34" s="191"/>
      <c r="AH34" s="192"/>
      <c r="AI34" s="191">
        <f t="shared" ref="AI34:DS34" si="155">SUM(AI27:AI33)</f>
        <v>0</v>
      </c>
      <c r="AJ34" s="192">
        <f t="shared" ref="AJ34" si="156">SUM(AJ27:AJ33)</f>
        <v>0</v>
      </c>
      <c r="AK34" s="191">
        <f t="shared" si="155"/>
        <v>3744</v>
      </c>
      <c r="AL34" s="192">
        <f t="shared" ref="AL34" si="157">SUM(AL27:AL33)</f>
        <v>3744</v>
      </c>
      <c r="AM34" s="191">
        <f t="shared" si="155"/>
        <v>0</v>
      </c>
      <c r="AN34" s="192"/>
      <c r="AO34" s="191">
        <f t="shared" si="155"/>
        <v>3150</v>
      </c>
      <c r="AP34" s="192">
        <f t="shared" ref="AP34" si="158">SUM(AP27:AP33)</f>
        <v>6347</v>
      </c>
      <c r="AQ34" s="191">
        <f t="shared" si="155"/>
        <v>1000</v>
      </c>
      <c r="AR34" s="192">
        <f t="shared" ref="AR34" si="159">SUM(AR27:AR33)</f>
        <v>1000</v>
      </c>
      <c r="AS34" s="191">
        <f t="shared" si="155"/>
        <v>0</v>
      </c>
      <c r="AT34" s="192">
        <f t="shared" ref="AT34" si="160">SUM(AT27:AT33)</f>
        <v>0</v>
      </c>
      <c r="AU34" s="191">
        <f t="shared" si="155"/>
        <v>0</v>
      </c>
      <c r="AV34" s="192">
        <f t="shared" ref="AV34" si="161">SUM(AV27:AV33)</f>
        <v>0</v>
      </c>
      <c r="AW34" s="191">
        <f t="shared" si="155"/>
        <v>2811</v>
      </c>
      <c r="AX34" s="192">
        <f t="shared" ref="AX34" si="162">SUM(AX27:AX33)</f>
        <v>2811</v>
      </c>
      <c r="AY34" s="191">
        <f t="shared" si="155"/>
        <v>1595</v>
      </c>
      <c r="AZ34" s="192">
        <f t="shared" ref="AZ34" si="163">SUM(AZ27:AZ33)</f>
        <v>1595</v>
      </c>
      <c r="BA34" s="191">
        <f t="shared" si="155"/>
        <v>4724</v>
      </c>
      <c r="BB34" s="192">
        <f t="shared" ref="BB34" si="164">SUM(BB27:BB33)</f>
        <v>6000</v>
      </c>
      <c r="BC34" s="191">
        <f t="shared" si="155"/>
        <v>875</v>
      </c>
      <c r="BD34" s="192">
        <f t="shared" ref="BD34" si="165">SUM(BD27:BD33)</f>
        <v>1750</v>
      </c>
      <c r="BE34" s="191">
        <f t="shared" si="155"/>
        <v>720</v>
      </c>
      <c r="BF34" s="192">
        <f t="shared" ref="BF34" si="166">SUM(BF27:BF33)</f>
        <v>1440</v>
      </c>
      <c r="BG34" s="191">
        <f t="shared" si="155"/>
        <v>2400</v>
      </c>
      <c r="BH34" s="192">
        <f t="shared" ref="BH34" si="167">SUM(BH27:BH33)</f>
        <v>2400</v>
      </c>
      <c r="BI34" s="191">
        <f t="shared" si="155"/>
        <v>1906</v>
      </c>
      <c r="BJ34" s="192">
        <f t="shared" ref="BJ34" si="168">SUM(BJ27:BJ33)</f>
        <v>1906</v>
      </c>
      <c r="BK34" s="191">
        <f t="shared" si="155"/>
        <v>1636</v>
      </c>
      <c r="BL34" s="192">
        <f t="shared" ref="BL34" si="169">SUM(BL27:BL33)</f>
        <v>0</v>
      </c>
      <c r="BM34" s="191">
        <f t="shared" si="155"/>
        <v>1200</v>
      </c>
      <c r="BN34" s="192">
        <f t="shared" ref="BN34" si="170">SUM(BN27:BN33)</f>
        <v>1500</v>
      </c>
      <c r="BO34" s="191">
        <f t="shared" si="155"/>
        <v>11811</v>
      </c>
      <c r="BP34" s="192">
        <f t="shared" ref="BP34" si="171">SUM(BP27:BP33)</f>
        <v>14840</v>
      </c>
      <c r="BQ34" s="191">
        <f t="shared" si="155"/>
        <v>0</v>
      </c>
      <c r="BR34" s="192">
        <f t="shared" ref="BR34" si="172">SUM(BR27:BR33)</f>
        <v>0</v>
      </c>
      <c r="BS34" s="191">
        <f t="shared" si="155"/>
        <v>0</v>
      </c>
      <c r="BT34" s="192">
        <f t="shared" ref="BT34" si="173">SUM(BT27:BT33)</f>
        <v>0</v>
      </c>
      <c r="BU34" s="191">
        <f t="shared" si="155"/>
        <v>0</v>
      </c>
      <c r="BV34" s="192">
        <f t="shared" ref="BV34" si="174">SUM(BV27:BV33)</f>
        <v>0</v>
      </c>
      <c r="BW34" s="191">
        <f t="shared" si="155"/>
        <v>0</v>
      </c>
      <c r="BX34" s="192">
        <f t="shared" ref="BX34" si="175">SUM(BX27:BX33)</f>
        <v>0</v>
      </c>
      <c r="BY34" s="191">
        <f t="shared" si="155"/>
        <v>0</v>
      </c>
      <c r="BZ34" s="192">
        <f t="shared" ref="BZ34" si="176">SUM(BZ27:BZ33)</f>
        <v>0</v>
      </c>
      <c r="CA34" s="191">
        <f t="shared" si="155"/>
        <v>0</v>
      </c>
      <c r="CB34" s="192">
        <f t="shared" ref="CB34" si="177">SUM(CB27:CB33)</f>
        <v>0</v>
      </c>
      <c r="CC34" s="191">
        <f t="shared" si="155"/>
        <v>0</v>
      </c>
      <c r="CD34" s="192">
        <f t="shared" ref="CD34" si="178">SUM(CD27:CD33)</f>
        <v>0</v>
      </c>
      <c r="CE34" s="191">
        <f>SUM(CE27:CE33)</f>
        <v>0</v>
      </c>
      <c r="CF34" s="192">
        <f>SUM(CF27:CF33)</f>
        <v>0</v>
      </c>
      <c r="CG34" s="191">
        <f t="shared" si="155"/>
        <v>0</v>
      </c>
      <c r="CH34" s="192">
        <f t="shared" ref="CH34" si="179">SUM(CH27:CH33)</f>
        <v>0</v>
      </c>
      <c r="CI34" s="191">
        <f t="shared" si="155"/>
        <v>78608</v>
      </c>
      <c r="CJ34" s="192">
        <f t="shared" ref="CJ34" si="180">SUM(CJ27:CJ33)</f>
        <v>0</v>
      </c>
      <c r="CK34" s="191">
        <f t="shared" si="155"/>
        <v>0</v>
      </c>
      <c r="CL34" s="192">
        <f t="shared" ref="CL34" si="181">SUM(CL27:CL33)</f>
        <v>0</v>
      </c>
      <c r="CM34" s="191">
        <f t="shared" si="155"/>
        <v>0</v>
      </c>
      <c r="CN34" s="192">
        <f t="shared" ref="CN34" si="182">SUM(CN27:CN33)</f>
        <v>0</v>
      </c>
      <c r="CO34" s="191">
        <f t="shared" si="155"/>
        <v>0</v>
      </c>
      <c r="CP34" s="192">
        <f t="shared" ref="CP34" si="183">SUM(CP27:CP33)</f>
        <v>0</v>
      </c>
      <c r="CQ34" s="191">
        <f t="shared" si="155"/>
        <v>0</v>
      </c>
      <c r="CR34" s="192">
        <f t="shared" ref="CR34" si="184">SUM(CR27:CR33)</f>
        <v>0</v>
      </c>
      <c r="CS34" s="191">
        <f t="shared" si="155"/>
        <v>0</v>
      </c>
      <c r="CT34" s="192">
        <f t="shared" ref="CT34" si="185">SUM(CT27:CT33)</f>
        <v>512</v>
      </c>
      <c r="CU34" s="191">
        <f t="shared" si="155"/>
        <v>0</v>
      </c>
      <c r="CV34" s="192">
        <f t="shared" ref="CV34" si="186">SUM(CV27:CV33)</f>
        <v>0</v>
      </c>
      <c r="CW34" s="191">
        <f t="shared" si="155"/>
        <v>0</v>
      </c>
      <c r="CX34" s="192">
        <f t="shared" ref="CX34" si="187">SUM(CX27:CX33)</f>
        <v>0</v>
      </c>
      <c r="CY34" s="191">
        <f t="shared" si="155"/>
        <v>0</v>
      </c>
      <c r="CZ34" s="192"/>
      <c r="DA34" s="191">
        <f t="shared" si="155"/>
        <v>0</v>
      </c>
      <c r="DB34" s="192"/>
      <c r="DC34" s="191">
        <f t="shared" si="155"/>
        <v>1710</v>
      </c>
      <c r="DD34" s="192">
        <f t="shared" ref="DD34" si="188">SUM(DD27:DD33)</f>
        <v>2470</v>
      </c>
      <c r="DE34" s="191">
        <f t="shared" si="155"/>
        <v>0</v>
      </c>
      <c r="DF34" s="192">
        <f t="shared" ref="DF34" si="189">SUM(DF27:DF33)</f>
        <v>0</v>
      </c>
      <c r="DG34" s="191">
        <f t="shared" si="155"/>
        <v>0</v>
      </c>
      <c r="DH34" s="192">
        <f t="shared" ref="DH34" si="190">SUM(DH27:DH33)</f>
        <v>6500</v>
      </c>
      <c r="DI34" s="191">
        <f t="shared" si="155"/>
        <v>0</v>
      </c>
      <c r="DJ34" s="192">
        <f t="shared" ref="DJ34" si="191">SUM(DJ27:DJ33)</f>
        <v>0</v>
      </c>
      <c r="DK34" s="191">
        <f t="shared" si="155"/>
        <v>0</v>
      </c>
      <c r="DL34" s="192">
        <f t="shared" ref="DL34" si="192">SUM(DL27:DL33)</f>
        <v>0</v>
      </c>
      <c r="DM34" s="191">
        <f t="shared" si="155"/>
        <v>0</v>
      </c>
      <c r="DN34" s="192">
        <f t="shared" ref="DN34" si="193">SUM(DN27:DN33)</f>
        <v>0</v>
      </c>
      <c r="DO34" s="191">
        <f t="shared" si="155"/>
        <v>700</v>
      </c>
      <c r="DP34" s="192">
        <f t="shared" ref="DP34" si="194">SUM(DP27:DP33)</f>
        <v>350</v>
      </c>
      <c r="DQ34" s="191">
        <f t="shared" si="155"/>
        <v>0</v>
      </c>
      <c r="DR34" s="192"/>
      <c r="DS34" s="191">
        <f t="shared" si="155"/>
        <v>0</v>
      </c>
      <c r="DT34" s="192">
        <f t="shared" ref="DT34" si="195">SUM(DT27:DT33)</f>
        <v>0</v>
      </c>
      <c r="DU34" s="191"/>
      <c r="DV34" s="192"/>
    </row>
    <row r="35" spans="1:126" x14ac:dyDescent="0.2">
      <c r="A35" s="183" t="s">
        <v>148</v>
      </c>
      <c r="B35" s="183" t="s">
        <v>893</v>
      </c>
      <c r="C35" s="184">
        <f>E35+G35+I35</f>
        <v>1540</v>
      </c>
      <c r="D35" s="185">
        <f t="shared" si="51"/>
        <v>3530</v>
      </c>
      <c r="E35" s="184">
        <f>K35+M35+O34:O35+Q35+S35+U35+W35+Y35+AA35+AC35+AE35+AI35</f>
        <v>1310</v>
      </c>
      <c r="F35" s="185">
        <f t="shared" si="52"/>
        <v>1800</v>
      </c>
      <c r="G35" s="184">
        <f t="shared" si="3"/>
        <v>230</v>
      </c>
      <c r="H35" s="185">
        <f t="shared" si="3"/>
        <v>1730</v>
      </c>
      <c r="I35" s="184"/>
      <c r="J35" s="185"/>
      <c r="K35" s="184"/>
      <c r="L35" s="185"/>
      <c r="M35" s="184"/>
      <c r="N35" s="185"/>
      <c r="O35" s="184"/>
      <c r="P35" s="185"/>
      <c r="Q35" s="184">
        <v>500</v>
      </c>
      <c r="R35" s="185">
        <v>450</v>
      </c>
      <c r="S35" s="184"/>
      <c r="T35" s="185"/>
      <c r="U35" s="184"/>
      <c r="V35" s="185"/>
      <c r="W35" s="184"/>
      <c r="X35" s="185"/>
      <c r="Y35" s="184"/>
      <c r="Z35" s="185"/>
      <c r="AA35" s="184"/>
      <c r="AB35" s="185"/>
      <c r="AC35" s="184"/>
      <c r="AD35" s="185"/>
      <c r="AE35" s="184">
        <v>810</v>
      </c>
      <c r="AF35" s="185">
        <v>1350</v>
      </c>
      <c r="AG35" s="184"/>
      <c r="AH35" s="185"/>
      <c r="AI35" s="184"/>
      <c r="AJ35" s="185"/>
      <c r="AK35" s="184"/>
      <c r="AL35" s="185"/>
      <c r="AM35" s="184"/>
      <c r="AN35" s="185"/>
      <c r="AO35" s="184"/>
      <c r="AP35" s="185"/>
      <c r="AQ35" s="184">
        <v>230</v>
      </c>
      <c r="AR35" s="185">
        <v>230</v>
      </c>
      <c r="AS35" s="184"/>
      <c r="AT35" s="185"/>
      <c r="AU35" s="184"/>
      <c r="AV35" s="185"/>
      <c r="AW35" s="184"/>
      <c r="AX35" s="185"/>
      <c r="AY35" s="184"/>
      <c r="AZ35" s="185"/>
      <c r="BA35" s="184"/>
      <c r="BB35" s="185"/>
      <c r="BC35" s="184"/>
      <c r="BD35" s="185"/>
      <c r="BE35" s="184"/>
      <c r="BF35" s="185"/>
      <c r="BG35" s="184"/>
      <c r="BH35" s="185"/>
      <c r="BI35" s="184"/>
      <c r="BJ35" s="185"/>
      <c r="BK35" s="184"/>
      <c r="BL35" s="185"/>
      <c r="BM35" s="184"/>
      <c r="BN35" s="185"/>
      <c r="BO35" s="184"/>
      <c r="BP35" s="185"/>
      <c r="BQ35" s="184"/>
      <c r="BR35" s="185"/>
      <c r="BS35" s="184"/>
      <c r="BT35" s="185"/>
      <c r="BU35" s="184"/>
      <c r="BV35" s="185"/>
      <c r="BW35" s="184"/>
      <c r="BX35" s="185"/>
      <c r="BY35" s="184"/>
      <c r="BZ35" s="185"/>
      <c r="CA35" s="184"/>
      <c r="CB35" s="185"/>
      <c r="CC35" s="184"/>
      <c r="CD35" s="185"/>
      <c r="CE35" s="184"/>
      <c r="CF35" s="185"/>
      <c r="CG35" s="184"/>
      <c r="CH35" s="185"/>
      <c r="CI35" s="184"/>
      <c r="CJ35" s="185"/>
      <c r="CK35" s="184"/>
      <c r="CL35" s="185"/>
      <c r="CM35" s="184"/>
      <c r="CN35" s="185"/>
      <c r="CO35" s="184"/>
      <c r="CP35" s="185"/>
      <c r="CQ35" s="184"/>
      <c r="CR35" s="185"/>
      <c r="CS35" s="184"/>
      <c r="CT35" s="185"/>
      <c r="CU35" s="184"/>
      <c r="CV35" s="185"/>
      <c r="CW35" s="184"/>
      <c r="CX35" s="185"/>
      <c r="CY35" s="184"/>
      <c r="CZ35" s="185"/>
      <c r="DA35" s="184"/>
      <c r="DB35" s="185"/>
      <c r="DC35" s="184"/>
      <c r="DD35" s="185"/>
      <c r="DE35" s="184"/>
      <c r="DF35" s="185"/>
      <c r="DG35" s="184"/>
      <c r="DH35" s="185">
        <v>1500</v>
      </c>
      <c r="DI35" s="184"/>
      <c r="DJ35" s="185"/>
      <c r="DK35" s="184"/>
      <c r="DL35" s="185"/>
      <c r="DM35" s="184"/>
      <c r="DN35" s="185"/>
      <c r="DO35" s="184"/>
      <c r="DP35" s="185"/>
      <c r="DQ35" s="184"/>
      <c r="DR35" s="185"/>
      <c r="DS35" s="184"/>
      <c r="DT35" s="185"/>
      <c r="DU35" s="184"/>
      <c r="DV35" s="185"/>
    </row>
    <row r="36" spans="1:126" x14ac:dyDescent="0.2">
      <c r="A36" s="183" t="s">
        <v>153</v>
      </c>
      <c r="B36" s="183" t="s">
        <v>894</v>
      </c>
      <c r="C36" s="184">
        <f>E36+G36+I36</f>
        <v>160</v>
      </c>
      <c r="D36" s="185">
        <f t="shared" si="51"/>
        <v>660</v>
      </c>
      <c r="E36" s="184">
        <f>K36+M36+O35:O36+Q36+S36+U36+W36+Y36+AA36+AC36+AE36+AI36</f>
        <v>160</v>
      </c>
      <c r="F36" s="185">
        <f t="shared" si="52"/>
        <v>160</v>
      </c>
      <c r="G36" s="184">
        <f t="shared" si="3"/>
        <v>0</v>
      </c>
      <c r="H36" s="185">
        <f t="shared" si="3"/>
        <v>500</v>
      </c>
      <c r="I36" s="184"/>
      <c r="J36" s="185"/>
      <c r="K36" s="184"/>
      <c r="L36" s="185"/>
      <c r="M36" s="184"/>
      <c r="N36" s="185"/>
      <c r="O36" s="184"/>
      <c r="P36" s="185"/>
      <c r="Q36" s="184"/>
      <c r="R36" s="185"/>
      <c r="S36" s="184"/>
      <c r="T36" s="185"/>
      <c r="U36" s="184"/>
      <c r="V36" s="185"/>
      <c r="W36" s="184"/>
      <c r="X36" s="185"/>
      <c r="Y36" s="184"/>
      <c r="Z36" s="185"/>
      <c r="AA36" s="184"/>
      <c r="AB36" s="185"/>
      <c r="AC36" s="184"/>
      <c r="AD36" s="185"/>
      <c r="AE36" s="184">
        <v>160</v>
      </c>
      <c r="AF36" s="185">
        <v>160</v>
      </c>
      <c r="AG36" s="184"/>
      <c r="AH36" s="185"/>
      <c r="AI36" s="184"/>
      <c r="AJ36" s="185"/>
      <c r="AK36" s="184"/>
      <c r="AL36" s="185"/>
      <c r="AM36" s="184"/>
      <c r="AN36" s="185"/>
      <c r="AO36" s="184"/>
      <c r="AP36" s="185"/>
      <c r="AQ36" s="184"/>
      <c r="AR36" s="185"/>
      <c r="AS36" s="184"/>
      <c r="AT36" s="185"/>
      <c r="AU36" s="184"/>
      <c r="AV36" s="185"/>
      <c r="AW36" s="184"/>
      <c r="AX36" s="185"/>
      <c r="AY36" s="184"/>
      <c r="AZ36" s="185"/>
      <c r="BA36" s="184"/>
      <c r="BB36" s="185"/>
      <c r="BC36" s="184"/>
      <c r="BD36" s="185"/>
      <c r="BE36" s="184"/>
      <c r="BF36" s="185"/>
      <c r="BG36" s="184"/>
      <c r="BH36" s="185"/>
      <c r="BI36" s="184"/>
      <c r="BJ36" s="185"/>
      <c r="BK36" s="184"/>
      <c r="BL36" s="185"/>
      <c r="BM36" s="184"/>
      <c r="BN36" s="185"/>
      <c r="BO36" s="184"/>
      <c r="BP36" s="185"/>
      <c r="BQ36" s="184"/>
      <c r="BR36" s="185"/>
      <c r="BS36" s="184"/>
      <c r="BT36" s="185"/>
      <c r="BU36" s="184"/>
      <c r="BV36" s="185"/>
      <c r="BW36" s="184"/>
      <c r="BX36" s="185"/>
      <c r="BY36" s="184"/>
      <c r="BZ36" s="185"/>
      <c r="CA36" s="184"/>
      <c r="CB36" s="185"/>
      <c r="CC36" s="184"/>
      <c r="CD36" s="185"/>
      <c r="CE36" s="184"/>
      <c r="CF36" s="185"/>
      <c r="CG36" s="184"/>
      <c r="CH36" s="185"/>
      <c r="CI36" s="184"/>
      <c r="CJ36" s="185"/>
      <c r="CK36" s="184"/>
      <c r="CL36" s="185"/>
      <c r="CM36" s="184"/>
      <c r="CN36" s="185"/>
      <c r="CO36" s="184"/>
      <c r="CP36" s="185"/>
      <c r="CQ36" s="184"/>
      <c r="CR36" s="185"/>
      <c r="CS36" s="184"/>
      <c r="CT36" s="185"/>
      <c r="CU36" s="184"/>
      <c r="CV36" s="185"/>
      <c r="CW36" s="184"/>
      <c r="CX36" s="185"/>
      <c r="CY36" s="184"/>
      <c r="CZ36" s="185"/>
      <c r="DA36" s="184"/>
      <c r="DB36" s="185"/>
      <c r="DC36" s="184"/>
      <c r="DD36" s="185"/>
      <c r="DE36" s="184"/>
      <c r="DF36" s="185"/>
      <c r="DG36" s="184"/>
      <c r="DH36" s="185">
        <v>500</v>
      </c>
      <c r="DI36" s="184"/>
      <c r="DJ36" s="185"/>
      <c r="DK36" s="184"/>
      <c r="DL36" s="185"/>
      <c r="DM36" s="184"/>
      <c r="DN36" s="185"/>
      <c r="DO36" s="184"/>
      <c r="DP36" s="185"/>
      <c r="DQ36" s="184"/>
      <c r="DR36" s="185"/>
      <c r="DS36" s="184"/>
      <c r="DT36" s="185"/>
      <c r="DU36" s="184"/>
      <c r="DV36" s="185"/>
    </row>
    <row r="37" spans="1:126" x14ac:dyDescent="0.2">
      <c r="A37" s="190" t="s">
        <v>156</v>
      </c>
      <c r="B37" s="190" t="s">
        <v>895</v>
      </c>
      <c r="C37" s="191">
        <f t="shared" ref="C37:H37" si="196">SUM(C35:C36)</f>
        <v>1700</v>
      </c>
      <c r="D37" s="192">
        <f t="shared" si="196"/>
        <v>4190</v>
      </c>
      <c r="E37" s="191">
        <f t="shared" si="196"/>
        <v>1470</v>
      </c>
      <c r="F37" s="192">
        <f t="shared" si="196"/>
        <v>1960</v>
      </c>
      <c r="G37" s="191">
        <f t="shared" si="196"/>
        <v>230</v>
      </c>
      <c r="H37" s="192">
        <f t="shared" si="196"/>
        <v>2230</v>
      </c>
      <c r="I37" s="191"/>
      <c r="J37" s="192"/>
      <c r="K37" s="191">
        <f t="shared" ref="K37:AO37" si="197">SUM(K35:K36)</f>
        <v>0</v>
      </c>
      <c r="L37" s="192">
        <f t="shared" si="197"/>
        <v>0</v>
      </c>
      <c r="M37" s="191">
        <f t="shared" si="197"/>
        <v>0</v>
      </c>
      <c r="N37" s="192">
        <f t="shared" si="197"/>
        <v>0</v>
      </c>
      <c r="O37" s="191">
        <f t="shared" si="197"/>
        <v>0</v>
      </c>
      <c r="P37" s="192">
        <f t="shared" si="197"/>
        <v>0</v>
      </c>
      <c r="Q37" s="191">
        <f t="shared" si="197"/>
        <v>500</v>
      </c>
      <c r="R37" s="192">
        <f t="shared" si="197"/>
        <v>450</v>
      </c>
      <c r="S37" s="191">
        <f t="shared" si="197"/>
        <v>0</v>
      </c>
      <c r="T37" s="192">
        <f t="shared" ref="T37" si="198">SUM(T35:T36)</f>
        <v>0</v>
      </c>
      <c r="U37" s="191">
        <f t="shared" si="197"/>
        <v>0</v>
      </c>
      <c r="V37" s="192">
        <f t="shared" ref="V37" si="199">SUM(V35:V36)</f>
        <v>0</v>
      </c>
      <c r="W37" s="191">
        <f t="shared" si="197"/>
        <v>0</v>
      </c>
      <c r="X37" s="192">
        <f t="shared" si="197"/>
        <v>0</v>
      </c>
      <c r="Y37" s="191">
        <f t="shared" si="197"/>
        <v>0</v>
      </c>
      <c r="Z37" s="192">
        <f t="shared" si="197"/>
        <v>0</v>
      </c>
      <c r="AA37" s="191">
        <f t="shared" si="197"/>
        <v>0</v>
      </c>
      <c r="AB37" s="192">
        <f t="shared" ref="AB37" si="200">SUM(AB35:AB36)</f>
        <v>0</v>
      </c>
      <c r="AC37" s="191">
        <f t="shared" si="197"/>
        <v>0</v>
      </c>
      <c r="AD37" s="192">
        <f t="shared" ref="AD37" si="201">SUM(AD35:AD36)</f>
        <v>0</v>
      </c>
      <c r="AE37" s="191">
        <f t="shared" si="197"/>
        <v>970</v>
      </c>
      <c r="AF37" s="192">
        <f t="shared" ref="AF37" si="202">SUM(AF35:AF36)</f>
        <v>1510</v>
      </c>
      <c r="AG37" s="191"/>
      <c r="AH37" s="192"/>
      <c r="AI37" s="191">
        <f>SUM(AI35:AI36)</f>
        <v>0</v>
      </c>
      <c r="AJ37" s="192">
        <f>SUM(AJ35:AJ36)</f>
        <v>0</v>
      </c>
      <c r="AK37" s="191">
        <f t="shared" si="197"/>
        <v>0</v>
      </c>
      <c r="AL37" s="192">
        <f t="shared" ref="AL37" si="203">SUM(AL35:AL36)</f>
        <v>0</v>
      </c>
      <c r="AM37" s="191">
        <f t="shared" si="197"/>
        <v>0</v>
      </c>
      <c r="AN37" s="192"/>
      <c r="AO37" s="191">
        <f t="shared" si="197"/>
        <v>0</v>
      </c>
      <c r="AP37" s="192">
        <f t="shared" ref="AP37" si="204">SUM(AP35:AP36)</f>
        <v>0</v>
      </c>
      <c r="AQ37" s="191">
        <f t="shared" ref="AQ37:DS37" si="205">SUM(AQ35:AQ36)</f>
        <v>230</v>
      </c>
      <c r="AR37" s="192">
        <f t="shared" ref="AR37" si="206">SUM(AR35:AR36)</f>
        <v>230</v>
      </c>
      <c r="AS37" s="191">
        <f t="shared" si="205"/>
        <v>0</v>
      </c>
      <c r="AT37" s="192">
        <f t="shared" ref="AT37" si="207">SUM(AT35:AT36)</f>
        <v>0</v>
      </c>
      <c r="AU37" s="191">
        <f t="shared" si="205"/>
        <v>0</v>
      </c>
      <c r="AV37" s="192">
        <f t="shared" ref="AV37" si="208">SUM(AV35:AV36)</f>
        <v>0</v>
      </c>
      <c r="AW37" s="191">
        <f t="shared" si="205"/>
        <v>0</v>
      </c>
      <c r="AX37" s="192">
        <f t="shared" ref="AX37" si="209">SUM(AX35:AX36)</f>
        <v>0</v>
      </c>
      <c r="AY37" s="191">
        <f t="shared" si="205"/>
        <v>0</v>
      </c>
      <c r="AZ37" s="192">
        <f t="shared" ref="AZ37" si="210">SUM(AZ35:AZ36)</f>
        <v>0</v>
      </c>
      <c r="BA37" s="191">
        <f t="shared" si="205"/>
        <v>0</v>
      </c>
      <c r="BB37" s="192">
        <f t="shared" ref="BB37" si="211">SUM(BB35:BB36)</f>
        <v>0</v>
      </c>
      <c r="BC37" s="191">
        <f t="shared" si="205"/>
        <v>0</v>
      </c>
      <c r="BD37" s="192">
        <f t="shared" ref="BD37" si="212">SUM(BD35:BD36)</f>
        <v>0</v>
      </c>
      <c r="BE37" s="191">
        <f t="shared" si="205"/>
        <v>0</v>
      </c>
      <c r="BF37" s="192">
        <f t="shared" ref="BF37" si="213">SUM(BF35:BF36)</f>
        <v>0</v>
      </c>
      <c r="BG37" s="191">
        <f t="shared" si="205"/>
        <v>0</v>
      </c>
      <c r="BH37" s="192">
        <f t="shared" ref="BH37" si="214">SUM(BH35:BH36)</f>
        <v>0</v>
      </c>
      <c r="BI37" s="191">
        <f t="shared" si="205"/>
        <v>0</v>
      </c>
      <c r="BJ37" s="192">
        <f t="shared" ref="BJ37" si="215">SUM(BJ35:BJ36)</f>
        <v>0</v>
      </c>
      <c r="BK37" s="191">
        <f t="shared" si="205"/>
        <v>0</v>
      </c>
      <c r="BL37" s="192">
        <f t="shared" ref="BL37" si="216">SUM(BL35:BL36)</f>
        <v>0</v>
      </c>
      <c r="BM37" s="191">
        <f t="shared" si="205"/>
        <v>0</v>
      </c>
      <c r="BN37" s="192">
        <f t="shared" ref="BN37" si="217">SUM(BN35:BN36)</f>
        <v>0</v>
      </c>
      <c r="BO37" s="191">
        <f t="shared" si="205"/>
        <v>0</v>
      </c>
      <c r="BP37" s="192">
        <f t="shared" ref="BP37" si="218">SUM(BP35:BP36)</f>
        <v>0</v>
      </c>
      <c r="BQ37" s="191">
        <f t="shared" si="205"/>
        <v>0</v>
      </c>
      <c r="BR37" s="192">
        <f t="shared" ref="BR37" si="219">SUM(BR35:BR36)</f>
        <v>0</v>
      </c>
      <c r="BS37" s="191">
        <f t="shared" si="205"/>
        <v>0</v>
      </c>
      <c r="BT37" s="192">
        <f t="shared" ref="BT37" si="220">SUM(BT35:BT36)</f>
        <v>0</v>
      </c>
      <c r="BU37" s="191">
        <f t="shared" si="205"/>
        <v>0</v>
      </c>
      <c r="BV37" s="192">
        <f t="shared" ref="BV37" si="221">SUM(BV35:BV36)</f>
        <v>0</v>
      </c>
      <c r="BW37" s="191">
        <f t="shared" si="205"/>
        <v>0</v>
      </c>
      <c r="BX37" s="192">
        <f t="shared" ref="BX37" si="222">SUM(BX35:BX36)</f>
        <v>0</v>
      </c>
      <c r="BY37" s="191">
        <f t="shared" si="205"/>
        <v>0</v>
      </c>
      <c r="BZ37" s="192">
        <f t="shared" ref="BZ37" si="223">SUM(BZ35:BZ36)</f>
        <v>0</v>
      </c>
      <c r="CA37" s="191">
        <f t="shared" si="205"/>
        <v>0</v>
      </c>
      <c r="CB37" s="192">
        <f t="shared" ref="CB37" si="224">SUM(CB35:CB36)</f>
        <v>0</v>
      </c>
      <c r="CC37" s="191">
        <f t="shared" si="205"/>
        <v>0</v>
      </c>
      <c r="CD37" s="192">
        <f t="shared" ref="CD37" si="225">SUM(CD35:CD36)</f>
        <v>0</v>
      </c>
      <c r="CE37" s="191">
        <f>SUM(CE35:CE36)</f>
        <v>0</v>
      </c>
      <c r="CF37" s="192">
        <f>SUM(CF35:CF36)</f>
        <v>0</v>
      </c>
      <c r="CG37" s="191">
        <f t="shared" si="205"/>
        <v>0</v>
      </c>
      <c r="CH37" s="192">
        <f t="shared" ref="CH37" si="226">SUM(CH35:CH36)</f>
        <v>0</v>
      </c>
      <c r="CI37" s="191">
        <f t="shared" si="205"/>
        <v>0</v>
      </c>
      <c r="CJ37" s="192">
        <f t="shared" ref="CJ37" si="227">SUM(CJ35:CJ36)</f>
        <v>0</v>
      </c>
      <c r="CK37" s="191">
        <f t="shared" si="205"/>
        <v>0</v>
      </c>
      <c r="CL37" s="192">
        <f t="shared" ref="CL37" si="228">SUM(CL35:CL36)</f>
        <v>0</v>
      </c>
      <c r="CM37" s="191">
        <f t="shared" si="205"/>
        <v>0</v>
      </c>
      <c r="CN37" s="192">
        <f t="shared" ref="CN37" si="229">SUM(CN35:CN36)</f>
        <v>0</v>
      </c>
      <c r="CO37" s="191">
        <f t="shared" si="205"/>
        <v>0</v>
      </c>
      <c r="CP37" s="192">
        <f t="shared" ref="CP37" si="230">SUM(CP35:CP36)</f>
        <v>0</v>
      </c>
      <c r="CQ37" s="191">
        <f t="shared" si="205"/>
        <v>0</v>
      </c>
      <c r="CR37" s="192">
        <f t="shared" ref="CR37" si="231">SUM(CR35:CR36)</f>
        <v>0</v>
      </c>
      <c r="CS37" s="191">
        <f t="shared" si="205"/>
        <v>0</v>
      </c>
      <c r="CT37" s="192">
        <f t="shared" ref="CT37" si="232">SUM(CT35:CT36)</f>
        <v>0</v>
      </c>
      <c r="CU37" s="191">
        <f t="shared" si="205"/>
        <v>0</v>
      </c>
      <c r="CV37" s="192">
        <f t="shared" ref="CV37" si="233">SUM(CV35:CV36)</f>
        <v>0</v>
      </c>
      <c r="CW37" s="191">
        <f t="shared" si="205"/>
        <v>0</v>
      </c>
      <c r="CX37" s="192">
        <f t="shared" ref="CX37" si="234">SUM(CX35:CX36)</f>
        <v>0</v>
      </c>
      <c r="CY37" s="191">
        <f t="shared" si="205"/>
        <v>0</v>
      </c>
      <c r="CZ37" s="192"/>
      <c r="DA37" s="191">
        <f t="shared" si="205"/>
        <v>0</v>
      </c>
      <c r="DB37" s="192"/>
      <c r="DC37" s="191">
        <f t="shared" si="205"/>
        <v>0</v>
      </c>
      <c r="DD37" s="192">
        <f t="shared" ref="DD37" si="235">SUM(DD35:DD36)</f>
        <v>0</v>
      </c>
      <c r="DE37" s="191">
        <f t="shared" si="205"/>
        <v>0</v>
      </c>
      <c r="DF37" s="192">
        <f t="shared" ref="DF37" si="236">SUM(DF35:DF36)</f>
        <v>0</v>
      </c>
      <c r="DG37" s="191">
        <f t="shared" si="205"/>
        <v>0</v>
      </c>
      <c r="DH37" s="192">
        <f t="shared" ref="DH37" si="237">SUM(DH35:DH36)</f>
        <v>2000</v>
      </c>
      <c r="DI37" s="191">
        <f t="shared" si="205"/>
        <v>0</v>
      </c>
      <c r="DJ37" s="192">
        <f t="shared" ref="DJ37" si="238">SUM(DJ35:DJ36)</f>
        <v>0</v>
      </c>
      <c r="DK37" s="191">
        <f t="shared" si="205"/>
        <v>0</v>
      </c>
      <c r="DL37" s="192">
        <f t="shared" ref="DL37" si="239">SUM(DL35:DL36)</f>
        <v>0</v>
      </c>
      <c r="DM37" s="191">
        <f t="shared" si="205"/>
        <v>0</v>
      </c>
      <c r="DN37" s="192">
        <f t="shared" ref="DN37" si="240">SUM(DN35:DN36)</f>
        <v>0</v>
      </c>
      <c r="DO37" s="191">
        <f t="shared" si="205"/>
        <v>0</v>
      </c>
      <c r="DP37" s="192">
        <f t="shared" ref="DP37" si="241">SUM(DP35:DP36)</f>
        <v>0</v>
      </c>
      <c r="DQ37" s="191">
        <f t="shared" si="205"/>
        <v>0</v>
      </c>
      <c r="DR37" s="192"/>
      <c r="DS37" s="191">
        <f t="shared" si="205"/>
        <v>0</v>
      </c>
      <c r="DT37" s="192">
        <f t="shared" ref="DT37" si="242">SUM(DT35:DT36)</f>
        <v>0</v>
      </c>
      <c r="DU37" s="191"/>
      <c r="DV37" s="192"/>
    </row>
    <row r="38" spans="1:126" x14ac:dyDescent="0.2">
      <c r="A38" s="183" t="s">
        <v>159</v>
      </c>
      <c r="B38" s="183" t="s">
        <v>896</v>
      </c>
      <c r="C38" s="184">
        <f>E38+G38+I38</f>
        <v>59828</v>
      </c>
      <c r="D38" s="185">
        <f t="shared" si="51"/>
        <v>47758</v>
      </c>
      <c r="E38" s="184">
        <f>K38+M38+O37:O38+Q38+S38+U38+W38+Y38+AA38+AC38+AE38+AI38</f>
        <v>31584</v>
      </c>
      <c r="F38" s="185">
        <f t="shared" si="52"/>
        <v>36890</v>
      </c>
      <c r="G38" s="184">
        <f t="shared" si="3"/>
        <v>28244</v>
      </c>
      <c r="H38" s="185">
        <f t="shared" si="3"/>
        <v>10868</v>
      </c>
      <c r="I38" s="184"/>
      <c r="J38" s="185"/>
      <c r="K38" s="184">
        <f>ROUND((K23+K26+K34+K36)*0.27,0)</f>
        <v>2255</v>
      </c>
      <c r="L38" s="185">
        <f>ROUND((L23+L26+L34+L36)*0.27,0)</f>
        <v>1949</v>
      </c>
      <c r="M38" s="184">
        <f>ROUND((M23+M26+M34+M36)*0.27,0)</f>
        <v>540</v>
      </c>
      <c r="N38" s="185">
        <f>ROUND((N23+N26+N34+N36)*0.27,0)</f>
        <v>540</v>
      </c>
      <c r="O38" s="184">
        <f>ROUND((O23+O26+O34+O36-O32)*0.27,0)</f>
        <v>702</v>
      </c>
      <c r="P38" s="185">
        <f>ROUND((P23+P26+P34+P36-P32)*0.27,0)</f>
        <v>582</v>
      </c>
      <c r="Q38" s="184">
        <f>ROUND((Q23+Q26+Q34+Q36)*0.27,0)</f>
        <v>185</v>
      </c>
      <c r="R38" s="185">
        <f>ROUND((R23+R26+R34+R36)*0.27,0)</f>
        <v>346</v>
      </c>
      <c r="S38" s="184"/>
      <c r="T38" s="185"/>
      <c r="U38" s="184"/>
      <c r="V38" s="185"/>
      <c r="W38" s="184">
        <f>ROUND((W23+W26+W34+W36)*0.27,0)</f>
        <v>513</v>
      </c>
      <c r="X38" s="185">
        <f>ROUND((X23+X26+X34+X36)*0.27,0)</f>
        <v>513</v>
      </c>
      <c r="Y38" s="184">
        <v>212</v>
      </c>
      <c r="Z38" s="185">
        <f>212</f>
        <v>212</v>
      </c>
      <c r="AA38" s="184">
        <f t="shared" ref="AA38:AF38" si="243">ROUND((AA23+AA26+AA34+AA36)*0.27,0)</f>
        <v>1043</v>
      </c>
      <c r="AB38" s="185">
        <f t="shared" si="243"/>
        <v>638</v>
      </c>
      <c r="AC38" s="184">
        <f t="shared" si="243"/>
        <v>79</v>
      </c>
      <c r="AD38" s="185">
        <f t="shared" si="243"/>
        <v>79</v>
      </c>
      <c r="AE38" s="184">
        <f t="shared" si="243"/>
        <v>26055</v>
      </c>
      <c r="AF38" s="185">
        <f t="shared" si="243"/>
        <v>32031</v>
      </c>
      <c r="AG38" s="184"/>
      <c r="AH38" s="185"/>
      <c r="AI38" s="184"/>
      <c r="AJ38" s="185"/>
      <c r="AK38" s="184"/>
      <c r="AL38" s="185"/>
      <c r="AM38" s="184"/>
      <c r="AN38" s="185"/>
      <c r="AO38" s="184">
        <v>850</v>
      </c>
      <c r="AP38" s="185">
        <v>1714</v>
      </c>
      <c r="AQ38" s="184">
        <f>ROUND((AQ23+AQ26+AQ34+AQ36)*0.27,0)</f>
        <v>270</v>
      </c>
      <c r="AR38" s="185">
        <f>ROUND((AR23+AR26+AR34+AR36)*0.27,0)</f>
        <v>270</v>
      </c>
      <c r="AS38" s="184"/>
      <c r="AT38" s="185"/>
      <c r="AU38" s="184"/>
      <c r="AV38" s="185"/>
      <c r="AW38" s="184"/>
      <c r="AX38" s="185"/>
      <c r="AY38" s="184"/>
      <c r="AZ38" s="185"/>
      <c r="BA38" s="184">
        <v>1276</v>
      </c>
      <c r="BB38" s="185">
        <f>ROUND((BB23+BB26+BB34+BB36)*0.27,0)</f>
        <v>1620</v>
      </c>
      <c r="BC38" s="184"/>
      <c r="BD38" s="185"/>
      <c r="BE38" s="184">
        <f>ROUND((BE23+BE26+BE34+BE36)*0.27,0)</f>
        <v>194</v>
      </c>
      <c r="BF38" s="185">
        <f>ROUND((BF23+BF26+BF34+BF36)*0.27,0)</f>
        <v>389</v>
      </c>
      <c r="BG38" s="184"/>
      <c r="BH38" s="185"/>
      <c r="BI38" s="184">
        <f>ROUND((BI23+BI26+BI34+BI36)*0.27,0)</f>
        <v>515</v>
      </c>
      <c r="BJ38" s="185">
        <f>ROUND((BJ23+BJ26+BJ34+BJ36)*0.27,0)</f>
        <v>515</v>
      </c>
      <c r="BK38" s="184">
        <v>442</v>
      </c>
      <c r="BL38" s="185">
        <f>ROUND((BL23+BL26+BL34+BL36)*0.27,0)</f>
        <v>0</v>
      </c>
      <c r="BM38" s="184"/>
      <c r="BN38" s="185"/>
      <c r="BO38" s="184">
        <f>ROUND((BO23+BO26+BO34+BO36)*0.27,0)</f>
        <v>3189</v>
      </c>
      <c r="BP38" s="185">
        <f>ROUND((BP23+BP26+BP34+BP36)*0.27,0)</f>
        <v>4007</v>
      </c>
      <c r="BQ38" s="184"/>
      <c r="BR38" s="185"/>
      <c r="BS38" s="184"/>
      <c r="BT38" s="185"/>
      <c r="BU38" s="184"/>
      <c r="BV38" s="185"/>
      <c r="BW38" s="184"/>
      <c r="BX38" s="185"/>
      <c r="BY38" s="184"/>
      <c r="BZ38" s="185"/>
      <c r="CA38" s="184"/>
      <c r="CB38" s="185"/>
      <c r="CC38" s="184"/>
      <c r="CD38" s="185"/>
      <c r="CE38" s="184"/>
      <c r="CF38" s="185"/>
      <c r="CG38" s="184"/>
      <c r="CH38" s="185"/>
      <c r="CI38" s="184">
        <f>ROUND((CI23+CI26+CI34+CI36)*0.27,0)</f>
        <v>21224</v>
      </c>
      <c r="CJ38" s="185">
        <f>ROUND((CJ23+CJ26+CJ34+CJ36)*0.27,0)</f>
        <v>0</v>
      </c>
      <c r="CK38" s="184"/>
      <c r="CL38" s="185"/>
      <c r="CM38" s="184"/>
      <c r="CN38" s="185"/>
      <c r="CO38" s="184"/>
      <c r="CP38" s="185"/>
      <c r="CQ38" s="184"/>
      <c r="CR38" s="185"/>
      <c r="CS38" s="184"/>
      <c r="CT38" s="185">
        <f>ROUND((CT23+CT26+CT34+CT36)*0.27,0)</f>
        <v>138</v>
      </c>
      <c r="CU38" s="184"/>
      <c r="CV38" s="185"/>
      <c r="CW38" s="184"/>
      <c r="CX38" s="185"/>
      <c r="CY38" s="184"/>
      <c r="CZ38" s="185"/>
      <c r="DA38" s="184"/>
      <c r="DB38" s="185"/>
      <c r="DC38" s="184"/>
      <c r="DD38" s="185"/>
      <c r="DE38" s="184"/>
      <c r="DF38" s="185"/>
      <c r="DG38" s="184"/>
      <c r="DH38" s="185">
        <f>ROUND((DH23+DH26+DH34+DH36)*0.27,0)</f>
        <v>2120</v>
      </c>
      <c r="DI38" s="184"/>
      <c r="DJ38" s="185"/>
      <c r="DK38" s="184"/>
      <c r="DL38" s="185"/>
      <c r="DM38" s="184">
        <v>95</v>
      </c>
      <c r="DN38" s="185">
        <v>0</v>
      </c>
      <c r="DO38" s="184">
        <f>ROUND((DO23+DO26+DO34+DO36)*0.27,0)</f>
        <v>189</v>
      </c>
      <c r="DP38" s="185">
        <f>ROUND((DP23+DP26+DP34+DP36)*0.27,0)</f>
        <v>95</v>
      </c>
      <c r="DQ38" s="184"/>
      <c r="DR38" s="185"/>
      <c r="DS38" s="184"/>
      <c r="DT38" s="185"/>
      <c r="DU38" s="184"/>
      <c r="DV38" s="185"/>
    </row>
    <row r="39" spans="1:126" x14ac:dyDescent="0.2">
      <c r="A39" s="183" t="s">
        <v>164</v>
      </c>
      <c r="B39" s="183" t="s">
        <v>897</v>
      </c>
      <c r="C39" s="184">
        <f>E39+G39+I39</f>
        <v>5000</v>
      </c>
      <c r="D39" s="185">
        <f t="shared" si="51"/>
        <v>5000</v>
      </c>
      <c r="E39" s="184">
        <f>K39+M39+O38:O39+Q39+S39+U39+W39+Y39+AA39+AC39+AE39+AI39</f>
        <v>5000</v>
      </c>
      <c r="F39" s="185">
        <f t="shared" si="52"/>
        <v>5000</v>
      </c>
      <c r="G39" s="184">
        <f t="shared" si="3"/>
        <v>0</v>
      </c>
      <c r="H39" s="185">
        <f t="shared" si="3"/>
        <v>0</v>
      </c>
      <c r="I39" s="184"/>
      <c r="J39" s="185"/>
      <c r="K39" s="184"/>
      <c r="L39" s="185"/>
      <c r="M39" s="184"/>
      <c r="N39" s="185"/>
      <c r="O39" s="184"/>
      <c r="P39" s="185"/>
      <c r="Q39" s="184"/>
      <c r="R39" s="185"/>
      <c r="S39" s="184"/>
      <c r="T39" s="185"/>
      <c r="U39" s="184"/>
      <c r="V39" s="185"/>
      <c r="W39" s="184"/>
      <c r="X39" s="185"/>
      <c r="Y39" s="184"/>
      <c r="Z39" s="185"/>
      <c r="AA39" s="184"/>
      <c r="AB39" s="185"/>
      <c r="AC39" s="184"/>
      <c r="AD39" s="185"/>
      <c r="AE39" s="184">
        <v>5000</v>
      </c>
      <c r="AF39" s="185">
        <v>5000</v>
      </c>
      <c r="AG39" s="184"/>
      <c r="AH39" s="185"/>
      <c r="AI39" s="184"/>
      <c r="AJ39" s="185"/>
      <c r="AK39" s="184"/>
      <c r="AL39" s="185"/>
      <c r="AM39" s="184"/>
      <c r="AN39" s="185"/>
      <c r="AO39" s="184"/>
      <c r="AP39" s="185"/>
      <c r="AQ39" s="184"/>
      <c r="AR39" s="185"/>
      <c r="AS39" s="184"/>
      <c r="AT39" s="185"/>
      <c r="AU39" s="184"/>
      <c r="AV39" s="185"/>
      <c r="AW39" s="184"/>
      <c r="AX39" s="185"/>
      <c r="AY39" s="184"/>
      <c r="AZ39" s="185"/>
      <c r="BA39" s="184"/>
      <c r="BB39" s="185"/>
      <c r="BC39" s="184"/>
      <c r="BD39" s="185"/>
      <c r="BE39" s="184"/>
      <c r="BF39" s="185"/>
      <c r="BG39" s="184"/>
      <c r="BH39" s="185"/>
      <c r="BI39" s="184"/>
      <c r="BJ39" s="185"/>
      <c r="BK39" s="184"/>
      <c r="BL39" s="185"/>
      <c r="BM39" s="184"/>
      <c r="BN39" s="185"/>
      <c r="BO39" s="184"/>
      <c r="BP39" s="185"/>
      <c r="BQ39" s="184"/>
      <c r="BR39" s="185"/>
      <c r="BS39" s="184"/>
      <c r="BT39" s="185"/>
      <c r="BU39" s="184"/>
      <c r="BV39" s="185"/>
      <c r="BW39" s="184"/>
      <c r="BX39" s="185"/>
      <c r="BY39" s="184"/>
      <c r="BZ39" s="185"/>
      <c r="CA39" s="184"/>
      <c r="CB39" s="185"/>
      <c r="CC39" s="184"/>
      <c r="CD39" s="185"/>
      <c r="CE39" s="184"/>
      <c r="CF39" s="185"/>
      <c r="CG39" s="184"/>
      <c r="CH39" s="185"/>
      <c r="CI39" s="184"/>
      <c r="CJ39" s="185"/>
      <c r="CK39" s="184"/>
      <c r="CL39" s="185"/>
      <c r="CM39" s="184"/>
      <c r="CN39" s="185"/>
      <c r="CO39" s="184"/>
      <c r="CP39" s="185"/>
      <c r="CQ39" s="184"/>
      <c r="CR39" s="185"/>
      <c r="CS39" s="184"/>
      <c r="CT39" s="185"/>
      <c r="CU39" s="184"/>
      <c r="CV39" s="185"/>
      <c r="CW39" s="184"/>
      <c r="CX39" s="185"/>
      <c r="CY39" s="184"/>
      <c r="CZ39" s="185"/>
      <c r="DA39" s="184"/>
      <c r="DB39" s="185"/>
      <c r="DC39" s="184"/>
      <c r="DD39" s="185"/>
      <c r="DE39" s="184"/>
      <c r="DF39" s="185"/>
      <c r="DG39" s="184"/>
      <c r="DH39" s="185"/>
      <c r="DI39" s="184"/>
      <c r="DJ39" s="185"/>
      <c r="DK39" s="184"/>
      <c r="DL39" s="185"/>
      <c r="DM39" s="184"/>
      <c r="DN39" s="185"/>
      <c r="DO39" s="184"/>
      <c r="DP39" s="185"/>
      <c r="DQ39" s="184"/>
      <c r="DR39" s="185"/>
      <c r="DS39" s="184"/>
      <c r="DT39" s="185"/>
      <c r="DU39" s="184"/>
      <c r="DV39" s="185"/>
    </row>
    <row r="40" spans="1:126" x14ac:dyDescent="0.2">
      <c r="A40" s="183" t="s">
        <v>170</v>
      </c>
      <c r="B40" s="183" t="s">
        <v>172</v>
      </c>
      <c r="C40" s="184">
        <f>E40+G40+I40</f>
        <v>3600</v>
      </c>
      <c r="D40" s="185">
        <f t="shared" si="51"/>
        <v>3500</v>
      </c>
      <c r="E40" s="184">
        <f>K40+M40+O39:O40+Q40+S40+U40+W40+Y40+AA40+AC40+AE40+AI40</f>
        <v>3600</v>
      </c>
      <c r="F40" s="185">
        <f t="shared" si="52"/>
        <v>3500</v>
      </c>
      <c r="G40" s="184">
        <f t="shared" si="3"/>
        <v>0</v>
      </c>
      <c r="H40" s="185">
        <f t="shared" si="3"/>
        <v>0</v>
      </c>
      <c r="I40" s="184"/>
      <c r="J40" s="185"/>
      <c r="K40" s="184"/>
      <c r="L40" s="185"/>
      <c r="M40" s="184"/>
      <c r="N40" s="185"/>
      <c r="O40" s="184"/>
      <c r="P40" s="185"/>
      <c r="Q40" s="184"/>
      <c r="R40" s="185"/>
      <c r="S40" s="184"/>
      <c r="T40" s="185"/>
      <c r="U40" s="184"/>
      <c r="V40" s="185"/>
      <c r="W40" s="184"/>
      <c r="X40" s="185"/>
      <c r="Y40" s="184"/>
      <c r="Z40" s="185"/>
      <c r="AA40" s="184"/>
      <c r="AB40" s="185"/>
      <c r="AC40" s="184"/>
      <c r="AD40" s="185"/>
      <c r="AE40" s="184">
        <v>3600</v>
      </c>
      <c r="AF40" s="185">
        <v>3500</v>
      </c>
      <c r="AG40" s="184"/>
      <c r="AH40" s="185"/>
      <c r="AI40" s="184"/>
      <c r="AJ40" s="185"/>
      <c r="AK40" s="184"/>
      <c r="AL40" s="185"/>
      <c r="AM40" s="184"/>
      <c r="AN40" s="185"/>
      <c r="AO40" s="184"/>
      <c r="AP40" s="185"/>
      <c r="AQ40" s="184"/>
      <c r="AR40" s="185"/>
      <c r="AS40" s="184"/>
      <c r="AT40" s="185"/>
      <c r="AU40" s="184"/>
      <c r="AV40" s="185"/>
      <c r="AW40" s="184"/>
      <c r="AX40" s="185"/>
      <c r="AY40" s="184"/>
      <c r="AZ40" s="185"/>
      <c r="BA40" s="184"/>
      <c r="BB40" s="185"/>
      <c r="BC40" s="184"/>
      <c r="BD40" s="185"/>
      <c r="BE40" s="184"/>
      <c r="BF40" s="185"/>
      <c r="BG40" s="184"/>
      <c r="BH40" s="185"/>
      <c r="BI40" s="184"/>
      <c r="BJ40" s="185"/>
      <c r="BK40" s="184"/>
      <c r="BL40" s="185"/>
      <c r="BM40" s="184"/>
      <c r="BN40" s="185"/>
      <c r="BO40" s="184"/>
      <c r="BP40" s="185"/>
      <c r="BQ40" s="184"/>
      <c r="BR40" s="185"/>
      <c r="BS40" s="184"/>
      <c r="BT40" s="185"/>
      <c r="BU40" s="184"/>
      <c r="BV40" s="185"/>
      <c r="BW40" s="184"/>
      <c r="BX40" s="185"/>
      <c r="BY40" s="184"/>
      <c r="BZ40" s="185"/>
      <c r="CA40" s="184"/>
      <c r="CB40" s="185"/>
      <c r="CC40" s="184"/>
      <c r="CD40" s="185"/>
      <c r="CE40" s="184"/>
      <c r="CF40" s="185"/>
      <c r="CG40" s="184"/>
      <c r="CH40" s="185"/>
      <c r="CI40" s="184"/>
      <c r="CJ40" s="185"/>
      <c r="CK40" s="184"/>
      <c r="CL40" s="185"/>
      <c r="CM40" s="184"/>
      <c r="CN40" s="185"/>
      <c r="CO40" s="184"/>
      <c r="CP40" s="185"/>
      <c r="CQ40" s="184"/>
      <c r="CR40" s="185"/>
      <c r="CS40" s="184"/>
      <c r="CT40" s="185"/>
      <c r="CU40" s="184"/>
      <c r="CV40" s="185"/>
      <c r="CW40" s="184"/>
      <c r="CX40" s="185"/>
      <c r="CY40" s="184"/>
      <c r="CZ40" s="185"/>
      <c r="DA40" s="184"/>
      <c r="DB40" s="185"/>
      <c r="DC40" s="184"/>
      <c r="DD40" s="185"/>
      <c r="DE40" s="184"/>
      <c r="DF40" s="185"/>
      <c r="DG40" s="184"/>
      <c r="DH40" s="185"/>
      <c r="DI40" s="184"/>
      <c r="DJ40" s="185"/>
      <c r="DK40" s="184"/>
      <c r="DL40" s="185"/>
      <c r="DM40" s="184"/>
      <c r="DN40" s="185"/>
      <c r="DO40" s="184"/>
      <c r="DP40" s="185"/>
      <c r="DQ40" s="184"/>
      <c r="DR40" s="185"/>
      <c r="DS40" s="184"/>
      <c r="DT40" s="185"/>
      <c r="DU40" s="184"/>
      <c r="DV40" s="185"/>
    </row>
    <row r="41" spans="1:126" x14ac:dyDescent="0.2">
      <c r="A41" s="183" t="s">
        <v>177</v>
      </c>
      <c r="B41" s="183" t="s">
        <v>179</v>
      </c>
      <c r="C41" s="184">
        <f>E41+G41+I41</f>
        <v>0</v>
      </c>
      <c r="D41" s="185">
        <f t="shared" si="51"/>
        <v>0</v>
      </c>
      <c r="E41" s="184">
        <f>K41+M41+O40:O41+Q41+S41+U41+W41+Y41+AA41+AC41+AE41+AI41</f>
        <v>0</v>
      </c>
      <c r="F41" s="185">
        <f t="shared" si="52"/>
        <v>0</v>
      </c>
      <c r="G41" s="184">
        <f t="shared" si="3"/>
        <v>0</v>
      </c>
      <c r="H41" s="185">
        <f t="shared" si="3"/>
        <v>0</v>
      </c>
      <c r="I41" s="184"/>
      <c r="J41" s="185"/>
      <c r="K41" s="184"/>
      <c r="L41" s="185"/>
      <c r="M41" s="184"/>
      <c r="N41" s="185"/>
      <c r="O41" s="184"/>
      <c r="P41" s="185"/>
      <c r="Q41" s="184"/>
      <c r="R41" s="185"/>
      <c r="S41" s="184"/>
      <c r="T41" s="185"/>
      <c r="U41" s="184"/>
      <c r="V41" s="185"/>
      <c r="W41" s="184"/>
      <c r="X41" s="185"/>
      <c r="Y41" s="184"/>
      <c r="Z41" s="185"/>
      <c r="AA41" s="184"/>
      <c r="AB41" s="185"/>
      <c r="AC41" s="184"/>
      <c r="AD41" s="185"/>
      <c r="AE41" s="184">
        <v>0</v>
      </c>
      <c r="AF41" s="185">
        <v>0</v>
      </c>
      <c r="AG41" s="184"/>
      <c r="AH41" s="185"/>
      <c r="AI41" s="184"/>
      <c r="AJ41" s="185"/>
      <c r="AK41" s="184"/>
      <c r="AL41" s="185"/>
      <c r="AM41" s="184"/>
      <c r="AN41" s="185"/>
      <c r="AO41" s="184"/>
      <c r="AP41" s="185"/>
      <c r="AQ41" s="184"/>
      <c r="AR41" s="185"/>
      <c r="AS41" s="184"/>
      <c r="AT41" s="185"/>
      <c r="AU41" s="184"/>
      <c r="AV41" s="185"/>
      <c r="AW41" s="184"/>
      <c r="AX41" s="185"/>
      <c r="AY41" s="184"/>
      <c r="AZ41" s="185"/>
      <c r="BA41" s="184"/>
      <c r="BB41" s="185"/>
      <c r="BC41" s="184"/>
      <c r="BD41" s="185"/>
      <c r="BE41" s="184"/>
      <c r="BF41" s="185"/>
      <c r="BG41" s="184"/>
      <c r="BH41" s="185"/>
      <c r="BI41" s="184"/>
      <c r="BJ41" s="185"/>
      <c r="BK41" s="184"/>
      <c r="BL41" s="185"/>
      <c r="BM41" s="184"/>
      <c r="BN41" s="185"/>
      <c r="BO41" s="184"/>
      <c r="BP41" s="185"/>
      <c r="BQ41" s="184"/>
      <c r="BR41" s="185"/>
      <c r="BS41" s="184"/>
      <c r="BT41" s="185"/>
      <c r="BU41" s="184"/>
      <c r="BV41" s="185"/>
      <c r="BW41" s="184"/>
      <c r="BX41" s="185"/>
      <c r="BY41" s="184"/>
      <c r="BZ41" s="185"/>
      <c r="CA41" s="184"/>
      <c r="CB41" s="185"/>
      <c r="CC41" s="184"/>
      <c r="CD41" s="185"/>
      <c r="CE41" s="184"/>
      <c r="CF41" s="185"/>
      <c r="CG41" s="184"/>
      <c r="CH41" s="185"/>
      <c r="CI41" s="184"/>
      <c r="CJ41" s="185"/>
      <c r="CK41" s="184"/>
      <c r="CL41" s="185"/>
      <c r="CM41" s="184"/>
      <c r="CN41" s="185"/>
      <c r="CO41" s="184"/>
      <c r="CP41" s="185"/>
      <c r="CQ41" s="184"/>
      <c r="CR41" s="185"/>
      <c r="CS41" s="184"/>
      <c r="CT41" s="185"/>
      <c r="CU41" s="184"/>
      <c r="CV41" s="185"/>
      <c r="CW41" s="184"/>
      <c r="CX41" s="185"/>
      <c r="CY41" s="184"/>
      <c r="CZ41" s="185"/>
      <c r="DA41" s="184"/>
      <c r="DB41" s="185"/>
      <c r="DC41" s="184"/>
      <c r="DD41" s="185"/>
      <c r="DE41" s="184"/>
      <c r="DF41" s="185"/>
      <c r="DG41" s="184"/>
      <c r="DH41" s="185"/>
      <c r="DI41" s="184"/>
      <c r="DJ41" s="185"/>
      <c r="DK41" s="184"/>
      <c r="DL41" s="185"/>
      <c r="DM41" s="184"/>
      <c r="DN41" s="185"/>
      <c r="DO41" s="184"/>
      <c r="DP41" s="185"/>
      <c r="DQ41" s="184"/>
      <c r="DR41" s="185"/>
      <c r="DS41" s="184"/>
      <c r="DT41" s="185"/>
      <c r="DU41" s="184"/>
      <c r="DV41" s="185"/>
    </row>
    <row r="42" spans="1:126" x14ac:dyDescent="0.2">
      <c r="A42" s="183" t="s">
        <v>182</v>
      </c>
      <c r="B42" s="183" t="s">
        <v>184</v>
      </c>
      <c r="C42" s="184">
        <f>E42+G42+I42</f>
        <v>27222</v>
      </c>
      <c r="D42" s="185">
        <f t="shared" si="51"/>
        <v>44410</v>
      </c>
      <c r="E42" s="184">
        <f>K42+M42+O41:O42+Q42+S42+U42+W42+Y42+AA42+AC42+AE42+AI42</f>
        <v>23824</v>
      </c>
      <c r="F42" s="185">
        <f t="shared" si="52"/>
        <v>37955</v>
      </c>
      <c r="G42" s="184">
        <f t="shared" si="3"/>
        <v>3398</v>
      </c>
      <c r="H42" s="185">
        <f t="shared" si="3"/>
        <v>6455</v>
      </c>
      <c r="I42" s="184"/>
      <c r="J42" s="185"/>
      <c r="K42" s="184">
        <v>1800</v>
      </c>
      <c r="L42" s="185">
        <v>831</v>
      </c>
      <c r="M42" s="184"/>
      <c r="N42" s="185"/>
      <c r="O42" s="184"/>
      <c r="P42" s="185"/>
      <c r="Q42" s="184"/>
      <c r="R42" s="185"/>
      <c r="S42" s="184"/>
      <c r="T42" s="185">
        <v>1000</v>
      </c>
      <c r="U42" s="184"/>
      <c r="V42" s="185">
        <v>100</v>
      </c>
      <c r="W42" s="184"/>
      <c r="X42" s="185">
        <v>300</v>
      </c>
      <c r="Y42" s="184"/>
      <c r="Z42" s="185"/>
      <c r="AA42" s="184">
        <v>210</v>
      </c>
      <c r="AB42" s="185">
        <v>210</v>
      </c>
      <c r="AC42" s="184">
        <v>29</v>
      </c>
      <c r="AD42" s="185">
        <v>29</v>
      </c>
      <c r="AE42" s="184">
        <v>21785</v>
      </c>
      <c r="AF42" s="185">
        <v>35485</v>
      </c>
      <c r="AG42" s="184"/>
      <c r="AH42" s="185"/>
      <c r="AI42" s="184"/>
      <c r="AJ42" s="185"/>
      <c r="AK42" s="184"/>
      <c r="AL42" s="185"/>
      <c r="AM42" s="184"/>
      <c r="AN42" s="185"/>
      <c r="AO42" s="184"/>
      <c r="AP42" s="185"/>
      <c r="AQ42" s="184">
        <v>0</v>
      </c>
      <c r="AR42" s="185">
        <v>500</v>
      </c>
      <c r="AS42" s="184"/>
      <c r="AT42" s="185"/>
      <c r="AU42" s="184"/>
      <c r="AV42" s="185"/>
      <c r="AW42" s="184"/>
      <c r="AX42" s="185"/>
      <c r="AY42" s="184"/>
      <c r="AZ42" s="185"/>
      <c r="BA42" s="184"/>
      <c r="BB42" s="185"/>
      <c r="BC42" s="184"/>
      <c r="BD42" s="185"/>
      <c r="BE42" s="184"/>
      <c r="BF42" s="185"/>
      <c r="BG42" s="184"/>
      <c r="BH42" s="185"/>
      <c r="BI42" s="184"/>
      <c r="BJ42" s="185"/>
      <c r="BK42" s="184">
        <v>58</v>
      </c>
      <c r="BL42" s="185">
        <v>0</v>
      </c>
      <c r="BM42" s="184"/>
      <c r="BN42" s="185"/>
      <c r="BO42" s="184"/>
      <c r="BP42" s="185">
        <v>0</v>
      </c>
      <c r="BQ42" s="184"/>
      <c r="BR42" s="185"/>
      <c r="BS42" s="184"/>
      <c r="BT42" s="185"/>
      <c r="BU42" s="184"/>
      <c r="BV42" s="185"/>
      <c r="BW42" s="184"/>
      <c r="BX42" s="185"/>
      <c r="BY42" s="184"/>
      <c r="BZ42" s="185"/>
      <c r="CA42" s="184"/>
      <c r="CB42" s="185"/>
      <c r="CC42" s="184"/>
      <c r="CD42" s="185"/>
      <c r="CE42" s="184"/>
      <c r="CF42" s="185"/>
      <c r="CG42" s="184"/>
      <c r="CH42" s="185"/>
      <c r="CI42" s="184"/>
      <c r="CJ42" s="185"/>
      <c r="CK42" s="184"/>
      <c r="CL42" s="185"/>
      <c r="CM42" s="184"/>
      <c r="CN42" s="185"/>
      <c r="CO42" s="184"/>
      <c r="CP42" s="185"/>
      <c r="CQ42" s="184"/>
      <c r="CR42" s="185"/>
      <c r="CS42" s="184"/>
      <c r="CT42" s="185"/>
      <c r="CU42" s="184"/>
      <c r="CV42" s="185"/>
      <c r="CW42" s="184"/>
      <c r="CX42" s="185"/>
      <c r="CY42" s="184"/>
      <c r="CZ42" s="185"/>
      <c r="DA42" s="184"/>
      <c r="DB42" s="185"/>
      <c r="DC42" s="184"/>
      <c r="DD42" s="185"/>
      <c r="DE42" s="184"/>
      <c r="DF42" s="185"/>
      <c r="DG42" s="184">
        <v>3229</v>
      </c>
      <c r="DH42" s="185">
        <f>5000+400</f>
        <v>5400</v>
      </c>
      <c r="DI42" s="184"/>
      <c r="DJ42" s="185"/>
      <c r="DK42" s="184"/>
      <c r="DL42" s="185"/>
      <c r="DM42" s="184"/>
      <c r="DN42" s="185"/>
      <c r="DO42" s="184">
        <v>111</v>
      </c>
      <c r="DP42" s="185">
        <v>555</v>
      </c>
      <c r="DQ42" s="184"/>
      <c r="DR42" s="185"/>
      <c r="DS42" s="184"/>
      <c r="DT42" s="185"/>
      <c r="DU42" s="184"/>
      <c r="DV42" s="185"/>
    </row>
    <row r="43" spans="1:126" x14ac:dyDescent="0.2">
      <c r="A43" s="190" t="s">
        <v>189</v>
      </c>
      <c r="B43" s="190" t="s">
        <v>191</v>
      </c>
      <c r="C43" s="191">
        <f t="shared" ref="C43:H43" si="244">SUM(C38:C42)</f>
        <v>95650</v>
      </c>
      <c r="D43" s="192">
        <f t="shared" si="244"/>
        <v>100668</v>
      </c>
      <c r="E43" s="191">
        <f t="shared" si="244"/>
        <v>64008</v>
      </c>
      <c r="F43" s="192">
        <f t="shared" si="244"/>
        <v>83345</v>
      </c>
      <c r="G43" s="191">
        <f t="shared" si="244"/>
        <v>31642</v>
      </c>
      <c r="H43" s="192">
        <f t="shared" si="244"/>
        <v>17323</v>
      </c>
      <c r="I43" s="191"/>
      <c r="J43" s="192"/>
      <c r="K43" s="191">
        <f t="shared" ref="K43:AO43" si="245">SUM(K38:K42)</f>
        <v>4055</v>
      </c>
      <c r="L43" s="192">
        <f t="shared" si="245"/>
        <v>2780</v>
      </c>
      <c r="M43" s="191">
        <f t="shared" si="245"/>
        <v>540</v>
      </c>
      <c r="N43" s="192">
        <f t="shared" si="245"/>
        <v>540</v>
      </c>
      <c r="O43" s="191">
        <f t="shared" si="245"/>
        <v>702</v>
      </c>
      <c r="P43" s="192">
        <f t="shared" si="245"/>
        <v>582</v>
      </c>
      <c r="Q43" s="191">
        <f t="shared" si="245"/>
        <v>185</v>
      </c>
      <c r="R43" s="192">
        <f t="shared" si="245"/>
        <v>346</v>
      </c>
      <c r="S43" s="191">
        <f t="shared" si="245"/>
        <v>0</v>
      </c>
      <c r="T43" s="192">
        <f t="shared" ref="T43" si="246">SUM(T38:T42)</f>
        <v>1000</v>
      </c>
      <c r="U43" s="191">
        <f t="shared" si="245"/>
        <v>0</v>
      </c>
      <c r="V43" s="192">
        <f t="shared" ref="V43" si="247">SUM(V38:V42)</f>
        <v>100</v>
      </c>
      <c r="W43" s="191">
        <f t="shared" si="245"/>
        <v>513</v>
      </c>
      <c r="X43" s="192">
        <f t="shared" si="245"/>
        <v>813</v>
      </c>
      <c r="Y43" s="191">
        <f t="shared" si="245"/>
        <v>212</v>
      </c>
      <c r="Z43" s="192">
        <f t="shared" si="245"/>
        <v>212</v>
      </c>
      <c r="AA43" s="191">
        <f t="shared" si="245"/>
        <v>1253</v>
      </c>
      <c r="AB43" s="192">
        <f t="shared" ref="AB43" si="248">SUM(AB38:AB42)</f>
        <v>848</v>
      </c>
      <c r="AC43" s="191">
        <f t="shared" si="245"/>
        <v>108</v>
      </c>
      <c r="AD43" s="192">
        <f t="shared" ref="AD43" si="249">SUM(AD38:AD42)</f>
        <v>108</v>
      </c>
      <c r="AE43" s="191">
        <f t="shared" si="245"/>
        <v>56440</v>
      </c>
      <c r="AF43" s="192">
        <f t="shared" ref="AF43" si="250">SUM(AF38:AF42)</f>
        <v>76016</v>
      </c>
      <c r="AG43" s="191"/>
      <c r="AH43" s="192"/>
      <c r="AI43" s="191">
        <f>SUM(AI38:AI42)</f>
        <v>0</v>
      </c>
      <c r="AJ43" s="192">
        <f>SUM(AJ38:AJ42)</f>
        <v>0</v>
      </c>
      <c r="AK43" s="191">
        <f t="shared" si="245"/>
        <v>0</v>
      </c>
      <c r="AL43" s="192">
        <f t="shared" ref="AL43" si="251">SUM(AL38:AL42)</f>
        <v>0</v>
      </c>
      <c r="AM43" s="191">
        <f t="shared" si="245"/>
        <v>0</v>
      </c>
      <c r="AN43" s="192"/>
      <c r="AO43" s="191">
        <f t="shared" si="245"/>
        <v>850</v>
      </c>
      <c r="AP43" s="192">
        <f t="shared" ref="AP43" si="252">SUM(AP38:AP42)</f>
        <v>1714</v>
      </c>
      <c r="AQ43" s="191">
        <f t="shared" ref="AQ43:DS43" si="253">SUM(AQ38:AQ42)</f>
        <v>270</v>
      </c>
      <c r="AR43" s="192">
        <f t="shared" ref="AR43" si="254">SUM(AR38:AR42)</f>
        <v>770</v>
      </c>
      <c r="AS43" s="191">
        <f t="shared" si="253"/>
        <v>0</v>
      </c>
      <c r="AT43" s="192">
        <f t="shared" ref="AT43" si="255">SUM(AT38:AT42)</f>
        <v>0</v>
      </c>
      <c r="AU43" s="191">
        <f t="shared" si="253"/>
        <v>0</v>
      </c>
      <c r="AV43" s="192">
        <f t="shared" ref="AV43" si="256">SUM(AV38:AV42)</f>
        <v>0</v>
      </c>
      <c r="AW43" s="191">
        <f t="shared" si="253"/>
        <v>0</v>
      </c>
      <c r="AX43" s="192">
        <f t="shared" ref="AX43" si="257">SUM(AX38:AX42)</f>
        <v>0</v>
      </c>
      <c r="AY43" s="191">
        <f t="shared" si="253"/>
        <v>0</v>
      </c>
      <c r="AZ43" s="192">
        <f t="shared" ref="AZ43" si="258">SUM(AZ38:AZ42)</f>
        <v>0</v>
      </c>
      <c r="BA43" s="191">
        <f t="shared" si="253"/>
        <v>1276</v>
      </c>
      <c r="BB43" s="192">
        <f t="shared" ref="BB43" si="259">SUM(BB38:BB42)</f>
        <v>1620</v>
      </c>
      <c r="BC43" s="191">
        <f t="shared" si="253"/>
        <v>0</v>
      </c>
      <c r="BD43" s="192">
        <f t="shared" ref="BD43" si="260">SUM(BD38:BD42)</f>
        <v>0</v>
      </c>
      <c r="BE43" s="191">
        <f t="shared" si="253"/>
        <v>194</v>
      </c>
      <c r="BF43" s="192">
        <f t="shared" ref="BF43" si="261">SUM(BF38:BF42)</f>
        <v>389</v>
      </c>
      <c r="BG43" s="191">
        <f t="shared" si="253"/>
        <v>0</v>
      </c>
      <c r="BH43" s="192">
        <f t="shared" ref="BH43" si="262">SUM(BH38:BH42)</f>
        <v>0</v>
      </c>
      <c r="BI43" s="191">
        <f t="shared" si="253"/>
        <v>515</v>
      </c>
      <c r="BJ43" s="192">
        <f t="shared" ref="BJ43" si="263">SUM(BJ38:BJ42)</f>
        <v>515</v>
      </c>
      <c r="BK43" s="191">
        <f t="shared" si="253"/>
        <v>500</v>
      </c>
      <c r="BL43" s="192">
        <f t="shared" ref="BL43" si="264">SUM(BL38:BL42)</f>
        <v>0</v>
      </c>
      <c r="BM43" s="191">
        <f t="shared" si="253"/>
        <v>0</v>
      </c>
      <c r="BN43" s="192">
        <f t="shared" ref="BN43" si="265">SUM(BN38:BN42)</f>
        <v>0</v>
      </c>
      <c r="BO43" s="191">
        <f t="shared" si="253"/>
        <v>3189</v>
      </c>
      <c r="BP43" s="192">
        <f t="shared" ref="BP43" si="266">SUM(BP38:BP42)</f>
        <v>4007</v>
      </c>
      <c r="BQ43" s="191">
        <f t="shared" si="253"/>
        <v>0</v>
      </c>
      <c r="BR43" s="192">
        <f t="shared" ref="BR43" si="267">SUM(BR38:BR42)</f>
        <v>0</v>
      </c>
      <c r="BS43" s="191">
        <f t="shared" si="253"/>
        <v>0</v>
      </c>
      <c r="BT43" s="192">
        <f t="shared" ref="BT43" si="268">SUM(BT38:BT42)</f>
        <v>0</v>
      </c>
      <c r="BU43" s="191">
        <f t="shared" si="253"/>
        <v>0</v>
      </c>
      <c r="BV43" s="192">
        <f t="shared" ref="BV43" si="269">SUM(BV38:BV42)</f>
        <v>0</v>
      </c>
      <c r="BW43" s="191">
        <f t="shared" si="253"/>
        <v>0</v>
      </c>
      <c r="BX43" s="192">
        <f t="shared" ref="BX43" si="270">SUM(BX38:BX42)</f>
        <v>0</v>
      </c>
      <c r="BY43" s="191">
        <f t="shared" si="253"/>
        <v>0</v>
      </c>
      <c r="BZ43" s="192">
        <f t="shared" ref="BZ43" si="271">SUM(BZ38:BZ42)</f>
        <v>0</v>
      </c>
      <c r="CA43" s="191">
        <f t="shared" si="253"/>
        <v>0</v>
      </c>
      <c r="CB43" s="192">
        <f t="shared" ref="CB43" si="272">SUM(CB38:CB42)</f>
        <v>0</v>
      </c>
      <c r="CC43" s="191">
        <f t="shared" si="253"/>
        <v>0</v>
      </c>
      <c r="CD43" s="192">
        <f t="shared" ref="CD43" si="273">SUM(CD38:CD42)</f>
        <v>0</v>
      </c>
      <c r="CE43" s="191">
        <f>SUM(CE38:CE42)</f>
        <v>0</v>
      </c>
      <c r="CF43" s="192">
        <f>SUM(CF38:CF42)</f>
        <v>0</v>
      </c>
      <c r="CG43" s="191">
        <f t="shared" si="253"/>
        <v>0</v>
      </c>
      <c r="CH43" s="192">
        <f t="shared" ref="CH43" si="274">SUM(CH38:CH42)</f>
        <v>0</v>
      </c>
      <c r="CI43" s="191">
        <f t="shared" si="253"/>
        <v>21224</v>
      </c>
      <c r="CJ43" s="192">
        <f t="shared" ref="CJ43" si="275">SUM(CJ38:CJ42)</f>
        <v>0</v>
      </c>
      <c r="CK43" s="191">
        <f t="shared" si="253"/>
        <v>0</v>
      </c>
      <c r="CL43" s="192">
        <f t="shared" ref="CL43" si="276">SUM(CL38:CL42)</f>
        <v>0</v>
      </c>
      <c r="CM43" s="191">
        <f t="shared" si="253"/>
        <v>0</v>
      </c>
      <c r="CN43" s="192">
        <f t="shared" ref="CN43" si="277">SUM(CN38:CN42)</f>
        <v>0</v>
      </c>
      <c r="CO43" s="191">
        <f t="shared" si="253"/>
        <v>0</v>
      </c>
      <c r="CP43" s="192">
        <f t="shared" ref="CP43" si="278">SUM(CP38:CP42)</f>
        <v>0</v>
      </c>
      <c r="CQ43" s="191">
        <f t="shared" si="253"/>
        <v>0</v>
      </c>
      <c r="CR43" s="192">
        <f t="shared" ref="CR43" si="279">SUM(CR38:CR42)</f>
        <v>0</v>
      </c>
      <c r="CS43" s="191">
        <f t="shared" si="253"/>
        <v>0</v>
      </c>
      <c r="CT43" s="192">
        <f t="shared" ref="CT43" si="280">SUM(CT38:CT42)</f>
        <v>138</v>
      </c>
      <c r="CU43" s="191">
        <f t="shared" si="253"/>
        <v>0</v>
      </c>
      <c r="CV43" s="192">
        <f t="shared" ref="CV43" si="281">SUM(CV38:CV42)</f>
        <v>0</v>
      </c>
      <c r="CW43" s="191">
        <f t="shared" si="253"/>
        <v>0</v>
      </c>
      <c r="CX43" s="192">
        <f t="shared" ref="CX43" si="282">SUM(CX38:CX42)</f>
        <v>0</v>
      </c>
      <c r="CY43" s="191">
        <f t="shared" si="253"/>
        <v>0</v>
      </c>
      <c r="CZ43" s="192"/>
      <c r="DA43" s="191">
        <f t="shared" si="253"/>
        <v>0</v>
      </c>
      <c r="DB43" s="192"/>
      <c r="DC43" s="191">
        <f t="shared" si="253"/>
        <v>0</v>
      </c>
      <c r="DD43" s="192">
        <f t="shared" ref="DD43" si="283">SUM(DD38:DD42)</f>
        <v>0</v>
      </c>
      <c r="DE43" s="191">
        <f t="shared" si="253"/>
        <v>0</v>
      </c>
      <c r="DF43" s="192">
        <f t="shared" ref="DF43" si="284">SUM(DF38:DF42)</f>
        <v>0</v>
      </c>
      <c r="DG43" s="191">
        <f t="shared" si="253"/>
        <v>3229</v>
      </c>
      <c r="DH43" s="192">
        <f t="shared" ref="DH43" si="285">SUM(DH38:DH42)</f>
        <v>7520</v>
      </c>
      <c r="DI43" s="191">
        <f t="shared" si="253"/>
        <v>0</v>
      </c>
      <c r="DJ43" s="192">
        <f t="shared" ref="DJ43" si="286">SUM(DJ38:DJ42)</f>
        <v>0</v>
      </c>
      <c r="DK43" s="191">
        <f t="shared" si="253"/>
        <v>0</v>
      </c>
      <c r="DL43" s="192">
        <f t="shared" ref="DL43" si="287">SUM(DL38:DL42)</f>
        <v>0</v>
      </c>
      <c r="DM43" s="191">
        <f t="shared" si="253"/>
        <v>95</v>
      </c>
      <c r="DN43" s="192">
        <f t="shared" ref="DN43" si="288">SUM(DN38:DN42)</f>
        <v>0</v>
      </c>
      <c r="DO43" s="191">
        <f t="shared" si="253"/>
        <v>300</v>
      </c>
      <c r="DP43" s="192">
        <f t="shared" ref="DP43" si="289">SUM(DP38:DP42)</f>
        <v>650</v>
      </c>
      <c r="DQ43" s="191">
        <f t="shared" si="253"/>
        <v>0</v>
      </c>
      <c r="DR43" s="192"/>
      <c r="DS43" s="191">
        <f t="shared" si="253"/>
        <v>0</v>
      </c>
      <c r="DT43" s="192">
        <f t="shared" ref="DT43" si="290">SUM(DT38:DT42)</f>
        <v>0</v>
      </c>
      <c r="DU43" s="191"/>
      <c r="DV43" s="192"/>
    </row>
    <row r="44" spans="1:126" x14ac:dyDescent="0.2">
      <c r="A44" s="186" t="s">
        <v>192</v>
      </c>
      <c r="B44" s="186" t="s">
        <v>898</v>
      </c>
      <c r="C44" s="187">
        <f t="shared" ref="C44:H44" si="291">C23+C26+C34+C37+C43</f>
        <v>351300</v>
      </c>
      <c r="D44" s="188">
        <f t="shared" si="291"/>
        <v>318125</v>
      </c>
      <c r="E44" s="187">
        <f t="shared" si="291"/>
        <v>198933</v>
      </c>
      <c r="F44" s="188">
        <f t="shared" si="291"/>
        <v>237557</v>
      </c>
      <c r="G44" s="187">
        <f t="shared" si="291"/>
        <v>152367</v>
      </c>
      <c r="H44" s="188">
        <f t="shared" si="291"/>
        <v>80568</v>
      </c>
      <c r="I44" s="187"/>
      <c r="J44" s="188">
        <f t="shared" ref="J44:AO44" si="292">J23+J26+J34+J37+J43</f>
        <v>0</v>
      </c>
      <c r="K44" s="187">
        <f t="shared" si="292"/>
        <v>12405</v>
      </c>
      <c r="L44" s="188">
        <f t="shared" si="292"/>
        <v>10000</v>
      </c>
      <c r="M44" s="187">
        <f t="shared" si="292"/>
        <v>2540</v>
      </c>
      <c r="N44" s="188">
        <f t="shared" si="292"/>
        <v>2540</v>
      </c>
      <c r="O44" s="187">
        <f t="shared" si="292"/>
        <v>19942</v>
      </c>
      <c r="P44" s="188">
        <f t="shared" si="292"/>
        <v>18518</v>
      </c>
      <c r="Q44" s="187">
        <f t="shared" si="292"/>
        <v>1369</v>
      </c>
      <c r="R44" s="188">
        <f t="shared" si="292"/>
        <v>2077</v>
      </c>
      <c r="S44" s="187">
        <f t="shared" si="292"/>
        <v>0</v>
      </c>
      <c r="T44" s="188">
        <f t="shared" ref="T44" si="293">T23+T26+T34+T37+T43</f>
        <v>1000</v>
      </c>
      <c r="U44" s="187">
        <f t="shared" si="292"/>
        <v>0</v>
      </c>
      <c r="V44" s="188">
        <f t="shared" ref="V44" si="294">V23+V26+V34+V37+V43</f>
        <v>100</v>
      </c>
      <c r="W44" s="187">
        <f t="shared" si="292"/>
        <v>2413</v>
      </c>
      <c r="X44" s="188">
        <f t="shared" si="292"/>
        <v>2713</v>
      </c>
      <c r="Y44" s="187">
        <f t="shared" si="292"/>
        <v>1000</v>
      </c>
      <c r="Z44" s="188">
        <f t="shared" si="292"/>
        <v>1000</v>
      </c>
      <c r="AA44" s="187">
        <f t="shared" si="292"/>
        <v>5115</v>
      </c>
      <c r="AB44" s="188">
        <f t="shared" ref="AB44" si="295">AB23+AB26+AB34+AB37+AB43</f>
        <v>3210</v>
      </c>
      <c r="AC44" s="187">
        <f t="shared" si="292"/>
        <v>400</v>
      </c>
      <c r="AD44" s="188">
        <f t="shared" ref="AD44" si="296">AD23+AD26+AD34+AD37+AD43</f>
        <v>400</v>
      </c>
      <c r="AE44" s="187">
        <f t="shared" si="292"/>
        <v>153749</v>
      </c>
      <c r="AF44" s="188">
        <f t="shared" ref="AF44:AH44" si="297">AF23+AF26+AF34+AF37+AF43</f>
        <v>195999</v>
      </c>
      <c r="AG44" s="187"/>
      <c r="AH44" s="188">
        <f t="shared" si="297"/>
        <v>0</v>
      </c>
      <c r="AI44" s="187">
        <f>AI23+AI26+AI34+AI37+AI43</f>
        <v>0</v>
      </c>
      <c r="AJ44" s="188">
        <f>AJ23+AJ26+AJ34+AJ37+AJ43</f>
        <v>0</v>
      </c>
      <c r="AK44" s="187">
        <f t="shared" si="292"/>
        <v>3744</v>
      </c>
      <c r="AL44" s="188">
        <f t="shared" ref="AL44" si="298">AL23+AL26+AL34+AL37+AL43</f>
        <v>3744</v>
      </c>
      <c r="AM44" s="187">
        <f t="shared" si="292"/>
        <v>0</v>
      </c>
      <c r="AN44" s="188"/>
      <c r="AO44" s="187">
        <f t="shared" si="292"/>
        <v>4000</v>
      </c>
      <c r="AP44" s="188">
        <f t="shared" ref="AP44" si="299">AP23+AP26+AP34+AP37+AP43</f>
        <v>8061</v>
      </c>
      <c r="AQ44" s="187">
        <f t="shared" ref="AQ44:DS44" si="300">AQ23+AQ26+AQ34+AQ37+AQ43</f>
        <v>1500</v>
      </c>
      <c r="AR44" s="188">
        <f t="shared" ref="AR44" si="301">AR23+AR26+AR34+AR37+AR43</f>
        <v>2000</v>
      </c>
      <c r="AS44" s="187">
        <f t="shared" si="300"/>
        <v>0</v>
      </c>
      <c r="AT44" s="188">
        <f t="shared" ref="AT44" si="302">AT23+AT26+AT34+AT37+AT43</f>
        <v>0</v>
      </c>
      <c r="AU44" s="187">
        <f t="shared" si="300"/>
        <v>0</v>
      </c>
      <c r="AV44" s="188">
        <f t="shared" ref="AV44" si="303">AV23+AV26+AV34+AV37+AV43</f>
        <v>0</v>
      </c>
      <c r="AW44" s="187">
        <f t="shared" si="300"/>
        <v>2811</v>
      </c>
      <c r="AX44" s="188">
        <f t="shared" ref="AX44" si="304">AX23+AX26+AX34+AX37+AX43</f>
        <v>2811</v>
      </c>
      <c r="AY44" s="187">
        <f t="shared" si="300"/>
        <v>1595</v>
      </c>
      <c r="AZ44" s="188">
        <f t="shared" ref="AZ44" si="305">AZ23+AZ26+AZ34+AZ37+AZ43</f>
        <v>1595</v>
      </c>
      <c r="BA44" s="187">
        <f t="shared" si="300"/>
        <v>6000</v>
      </c>
      <c r="BB44" s="188">
        <f t="shared" ref="BB44" si="306">BB23+BB26+BB34+BB37+BB43</f>
        <v>7620</v>
      </c>
      <c r="BC44" s="187">
        <f t="shared" si="300"/>
        <v>875</v>
      </c>
      <c r="BD44" s="188">
        <f t="shared" ref="BD44" si="307">BD23+BD26+BD34+BD37+BD43</f>
        <v>1750</v>
      </c>
      <c r="BE44" s="187">
        <f t="shared" si="300"/>
        <v>914</v>
      </c>
      <c r="BF44" s="188">
        <f t="shared" ref="BF44" si="308">BF23+BF26+BF34+BF37+BF43</f>
        <v>1829</v>
      </c>
      <c r="BG44" s="187">
        <f t="shared" si="300"/>
        <v>2400</v>
      </c>
      <c r="BH44" s="188">
        <f t="shared" ref="BH44" si="309">BH23+BH26+BH34+BH37+BH43</f>
        <v>2400</v>
      </c>
      <c r="BI44" s="187">
        <f t="shared" si="300"/>
        <v>2421</v>
      </c>
      <c r="BJ44" s="188">
        <f t="shared" ref="BJ44" si="310">BJ23+BJ26+BJ34+BJ37+BJ43</f>
        <v>2421</v>
      </c>
      <c r="BK44" s="187">
        <f t="shared" si="300"/>
        <v>2136</v>
      </c>
      <c r="BL44" s="188">
        <f t="shared" ref="BL44" si="311">BL23+BL26+BL34+BL37+BL43</f>
        <v>0</v>
      </c>
      <c r="BM44" s="187">
        <f t="shared" si="300"/>
        <v>1200</v>
      </c>
      <c r="BN44" s="188">
        <f t="shared" ref="BN44" si="312">BN23+BN26+BN34+BN37+BN43</f>
        <v>1500</v>
      </c>
      <c r="BO44" s="187">
        <f t="shared" si="300"/>
        <v>15000</v>
      </c>
      <c r="BP44" s="188">
        <f t="shared" ref="BP44" si="313">BP23+BP26+BP34+BP37+BP43</f>
        <v>18847</v>
      </c>
      <c r="BQ44" s="187">
        <f t="shared" si="300"/>
        <v>0</v>
      </c>
      <c r="BR44" s="188">
        <f t="shared" ref="BR44" si="314">BR23+BR26+BR34+BR37+BR43</f>
        <v>0</v>
      </c>
      <c r="BS44" s="187">
        <f t="shared" si="300"/>
        <v>0</v>
      </c>
      <c r="BT44" s="188">
        <f t="shared" ref="BT44" si="315">BT23+BT26+BT34+BT37+BT43</f>
        <v>0</v>
      </c>
      <c r="BU44" s="187">
        <f t="shared" si="300"/>
        <v>0</v>
      </c>
      <c r="BV44" s="188">
        <f t="shared" ref="BV44" si="316">BV23+BV26+BV34+BV37+BV43</f>
        <v>0</v>
      </c>
      <c r="BW44" s="187">
        <f t="shared" si="300"/>
        <v>0</v>
      </c>
      <c r="BX44" s="188">
        <f t="shared" ref="BX44" si="317">BX23+BX26+BX34+BX37+BX43</f>
        <v>0</v>
      </c>
      <c r="BY44" s="187">
        <f t="shared" si="300"/>
        <v>0</v>
      </c>
      <c r="BZ44" s="188">
        <f t="shared" ref="BZ44" si="318">BZ23+BZ26+BZ34+BZ37+BZ43</f>
        <v>0</v>
      </c>
      <c r="CA44" s="187">
        <f t="shared" si="300"/>
        <v>0</v>
      </c>
      <c r="CB44" s="188">
        <f t="shared" ref="CB44" si="319">CB23+CB26+CB34+CB37+CB43</f>
        <v>0</v>
      </c>
      <c r="CC44" s="187">
        <f t="shared" si="300"/>
        <v>0</v>
      </c>
      <c r="CD44" s="188">
        <f t="shared" ref="CD44" si="320">CD23+CD26+CD34+CD37+CD43</f>
        <v>0</v>
      </c>
      <c r="CE44" s="187">
        <f>CE23+CE26+CE34+CE37+CE43</f>
        <v>0</v>
      </c>
      <c r="CF44" s="188">
        <f>CF23+CF26+CF34+CF37+CF43</f>
        <v>0</v>
      </c>
      <c r="CG44" s="187">
        <f t="shared" si="300"/>
        <v>0</v>
      </c>
      <c r="CH44" s="188">
        <f t="shared" ref="CH44" si="321">CH23+CH26+CH34+CH37+CH43</f>
        <v>0</v>
      </c>
      <c r="CI44" s="187">
        <f t="shared" si="300"/>
        <v>99832</v>
      </c>
      <c r="CJ44" s="188">
        <f t="shared" ref="CJ44" si="322">CJ23+CJ26+CJ34+CJ37+CJ43</f>
        <v>0</v>
      </c>
      <c r="CK44" s="187">
        <f t="shared" si="300"/>
        <v>0</v>
      </c>
      <c r="CL44" s="188">
        <f t="shared" ref="CL44" si="323">CL23+CL26+CL34+CL37+CL43</f>
        <v>0</v>
      </c>
      <c r="CM44" s="187">
        <f t="shared" si="300"/>
        <v>0</v>
      </c>
      <c r="CN44" s="188">
        <f t="shared" ref="CN44" si="324">CN23+CN26+CN34+CN37+CN43</f>
        <v>0</v>
      </c>
      <c r="CO44" s="187">
        <f t="shared" si="300"/>
        <v>0</v>
      </c>
      <c r="CP44" s="188">
        <f t="shared" ref="CP44" si="325">CP23+CP26+CP34+CP37+CP43</f>
        <v>0</v>
      </c>
      <c r="CQ44" s="187">
        <f t="shared" si="300"/>
        <v>0</v>
      </c>
      <c r="CR44" s="188">
        <f t="shared" ref="CR44" si="326">CR23+CR26+CR34+CR37+CR43</f>
        <v>0</v>
      </c>
      <c r="CS44" s="187">
        <f t="shared" si="300"/>
        <v>0</v>
      </c>
      <c r="CT44" s="188">
        <f t="shared" ref="CT44" si="327">CT23+CT26+CT34+CT37+CT43</f>
        <v>650</v>
      </c>
      <c r="CU44" s="187">
        <f t="shared" si="300"/>
        <v>0</v>
      </c>
      <c r="CV44" s="188">
        <f t="shared" ref="CV44" si="328">CV23+CV26+CV34+CV37+CV43</f>
        <v>0</v>
      </c>
      <c r="CW44" s="187">
        <f t="shared" si="300"/>
        <v>0</v>
      </c>
      <c r="CX44" s="188">
        <f t="shared" ref="CX44" si="329">CX23+CX26+CX34+CX37+CX43</f>
        <v>0</v>
      </c>
      <c r="CY44" s="187">
        <f t="shared" si="300"/>
        <v>0</v>
      </c>
      <c r="CZ44" s="188"/>
      <c r="DA44" s="187">
        <f t="shared" si="300"/>
        <v>0</v>
      </c>
      <c r="DB44" s="188"/>
      <c r="DC44" s="187">
        <f t="shared" si="300"/>
        <v>1710</v>
      </c>
      <c r="DD44" s="188">
        <f t="shared" ref="DD44" si="330">DD23+DD26+DD34+DD37+DD43</f>
        <v>2470</v>
      </c>
      <c r="DE44" s="187">
        <f t="shared" si="300"/>
        <v>0</v>
      </c>
      <c r="DF44" s="188">
        <f t="shared" ref="DF44" si="331">DF23+DF26+DF34+DF37+DF43</f>
        <v>0</v>
      </c>
      <c r="DG44" s="187">
        <f t="shared" si="300"/>
        <v>3229</v>
      </c>
      <c r="DH44" s="188">
        <f t="shared" ref="DH44" si="332">DH23+DH26+DH34+DH37+DH43</f>
        <v>16870</v>
      </c>
      <c r="DI44" s="187">
        <f t="shared" si="300"/>
        <v>0</v>
      </c>
      <c r="DJ44" s="188">
        <f t="shared" ref="DJ44" si="333">DJ23+DJ26+DJ34+DJ37+DJ43</f>
        <v>0</v>
      </c>
      <c r="DK44" s="187">
        <f t="shared" si="300"/>
        <v>0</v>
      </c>
      <c r="DL44" s="188">
        <f t="shared" ref="DL44" si="334">DL23+DL26+DL34+DL37+DL43</f>
        <v>0</v>
      </c>
      <c r="DM44" s="187">
        <f t="shared" si="300"/>
        <v>2000</v>
      </c>
      <c r="DN44" s="188">
        <f t="shared" ref="DN44" si="335">DN23+DN26+DN34+DN37+DN43</f>
        <v>5000</v>
      </c>
      <c r="DO44" s="187">
        <f t="shared" si="300"/>
        <v>1000</v>
      </c>
      <c r="DP44" s="188">
        <f t="shared" ref="DP44" si="336">DP23+DP26+DP34+DP37+DP43</f>
        <v>1000</v>
      </c>
      <c r="DQ44" s="187">
        <f t="shared" si="300"/>
        <v>0</v>
      </c>
      <c r="DR44" s="188"/>
      <c r="DS44" s="187">
        <f t="shared" si="300"/>
        <v>0</v>
      </c>
      <c r="DT44" s="188">
        <f t="shared" ref="DT44" si="337">DT23+DT26+DT34+DT37+DT43</f>
        <v>0</v>
      </c>
      <c r="DU44" s="187"/>
      <c r="DV44" s="188"/>
    </row>
    <row r="45" spans="1:126" x14ac:dyDescent="0.2">
      <c r="A45" s="183" t="s">
        <v>625</v>
      </c>
      <c r="B45" s="183" t="s">
        <v>641</v>
      </c>
      <c r="C45" s="184">
        <f>SUM(I45:DS45)</f>
        <v>0</v>
      </c>
      <c r="D45" s="185">
        <f t="shared" ref="D45:D105" si="338">F45+H45+J45</f>
        <v>0</v>
      </c>
      <c r="E45" s="184">
        <f t="shared" ref="E45:E52" si="339">K45+M45+O44:O45+Q45+S45+U45+W45+Y45+AA45+AC45+AE45+AI45</f>
        <v>0</v>
      </c>
      <c r="F45" s="185">
        <f t="shared" ref="F45:F52" si="340">L45+N45+P44:P45+R45+T45+V45+X45+Z45+AB45+AD45+AF45+AJ45+AH45</f>
        <v>0</v>
      </c>
      <c r="G45" s="184">
        <f t="shared" ref="G45:H52" si="341">AK45+AM45+AO45+AQ45+AS45+AU45+AW45+AY45+BA45+BC45+BE45+BG45+BI45+BK45+BM45+BO45+BQ45+BS45+BU45+BW45+BY45+CA45+CC45+CE45+CG45+CI45+CK45+CM45+CO45+CQ45+CS45+CU45+CW45+DA45+CY45+DC45+DE45+DG45+DI45+DK45+DM45+DO45+DQ45+DS45+DU45</f>
        <v>0</v>
      </c>
      <c r="H45" s="185">
        <f t="shared" si="341"/>
        <v>0</v>
      </c>
      <c r="I45" s="184"/>
      <c r="J45" s="185"/>
      <c r="K45" s="184"/>
      <c r="L45" s="185"/>
      <c r="M45" s="184"/>
      <c r="N45" s="185"/>
      <c r="O45" s="184"/>
      <c r="P45" s="185"/>
      <c r="Q45" s="184"/>
      <c r="R45" s="185"/>
      <c r="S45" s="184"/>
      <c r="T45" s="185"/>
      <c r="U45" s="184"/>
      <c r="V45" s="185"/>
      <c r="W45" s="184"/>
      <c r="X45" s="185"/>
      <c r="Y45" s="184"/>
      <c r="Z45" s="185"/>
      <c r="AA45" s="184"/>
      <c r="AB45" s="185"/>
      <c r="AC45" s="184"/>
      <c r="AD45" s="185"/>
      <c r="AE45" s="184"/>
      <c r="AF45" s="185"/>
      <c r="AG45" s="184"/>
      <c r="AH45" s="185"/>
      <c r="AI45" s="184"/>
      <c r="AJ45" s="185"/>
      <c r="AK45" s="184"/>
      <c r="AL45" s="185"/>
      <c r="AM45" s="184"/>
      <c r="AN45" s="185"/>
      <c r="AO45" s="184"/>
      <c r="AP45" s="185"/>
      <c r="AQ45" s="184"/>
      <c r="AR45" s="185"/>
      <c r="AS45" s="184"/>
      <c r="AT45" s="185"/>
      <c r="AU45" s="184"/>
      <c r="AV45" s="185"/>
      <c r="AW45" s="184"/>
      <c r="AX45" s="185"/>
      <c r="AY45" s="184"/>
      <c r="AZ45" s="185"/>
      <c r="BA45" s="184"/>
      <c r="BB45" s="185"/>
      <c r="BC45" s="184"/>
      <c r="BD45" s="185"/>
      <c r="BE45" s="184"/>
      <c r="BF45" s="185"/>
      <c r="BG45" s="184"/>
      <c r="BH45" s="185"/>
      <c r="BI45" s="184"/>
      <c r="BJ45" s="185"/>
      <c r="BK45" s="184"/>
      <c r="BL45" s="185"/>
      <c r="BM45" s="184"/>
      <c r="BN45" s="185"/>
      <c r="BO45" s="184"/>
      <c r="BP45" s="185"/>
      <c r="BQ45" s="184"/>
      <c r="BR45" s="185"/>
      <c r="BS45" s="184"/>
      <c r="BT45" s="185"/>
      <c r="BU45" s="184"/>
      <c r="BV45" s="185"/>
      <c r="BW45" s="184"/>
      <c r="BX45" s="185"/>
      <c r="BY45" s="184"/>
      <c r="BZ45" s="185"/>
      <c r="CA45" s="184"/>
      <c r="CB45" s="185"/>
      <c r="CC45" s="184"/>
      <c r="CD45" s="185"/>
      <c r="CE45" s="184"/>
      <c r="CF45" s="185"/>
      <c r="CG45" s="184"/>
      <c r="CH45" s="185"/>
      <c r="CI45" s="184"/>
      <c r="CJ45" s="185"/>
      <c r="CK45" s="184"/>
      <c r="CL45" s="185"/>
      <c r="CM45" s="184"/>
      <c r="CN45" s="185"/>
      <c r="CO45" s="184"/>
      <c r="CP45" s="185"/>
      <c r="CQ45" s="184"/>
      <c r="CR45" s="185"/>
      <c r="CS45" s="184"/>
      <c r="CT45" s="185"/>
      <c r="CU45" s="184"/>
      <c r="CV45" s="185"/>
      <c r="CW45" s="184"/>
      <c r="CX45" s="185"/>
      <c r="CY45" s="184"/>
      <c r="CZ45" s="185"/>
      <c r="DA45" s="184"/>
      <c r="DB45" s="185"/>
      <c r="DC45" s="184"/>
      <c r="DD45" s="185"/>
      <c r="DE45" s="184"/>
      <c r="DF45" s="185"/>
      <c r="DG45" s="184"/>
      <c r="DH45" s="185"/>
      <c r="DI45" s="184"/>
      <c r="DJ45" s="185"/>
      <c r="DK45" s="184"/>
      <c r="DL45" s="185"/>
      <c r="DM45" s="184"/>
      <c r="DN45" s="185"/>
      <c r="DO45" s="184"/>
      <c r="DP45" s="185"/>
      <c r="DQ45" s="184"/>
      <c r="DR45" s="185"/>
      <c r="DS45" s="184"/>
      <c r="DT45" s="185"/>
      <c r="DU45" s="184"/>
      <c r="DV45" s="185"/>
    </row>
    <row r="46" spans="1:126" x14ac:dyDescent="0.2">
      <c r="A46" s="183" t="s">
        <v>626</v>
      </c>
      <c r="B46" s="183" t="s">
        <v>642</v>
      </c>
      <c r="C46" s="184">
        <f t="shared" ref="C46:C105" si="342">SUM(I46:DS46)</f>
        <v>2500</v>
      </c>
      <c r="D46" s="185">
        <f t="shared" si="338"/>
        <v>2500</v>
      </c>
      <c r="E46" s="184">
        <f t="shared" si="339"/>
        <v>0</v>
      </c>
      <c r="F46" s="185">
        <f t="shared" si="340"/>
        <v>0</v>
      </c>
      <c r="G46" s="184">
        <f t="shared" si="341"/>
        <v>0</v>
      </c>
      <c r="H46" s="185">
        <f t="shared" si="341"/>
        <v>2500</v>
      </c>
      <c r="I46" s="184"/>
      <c r="J46" s="185"/>
      <c r="K46" s="184"/>
      <c r="L46" s="185"/>
      <c r="M46" s="184"/>
      <c r="N46" s="185"/>
      <c r="O46" s="184"/>
      <c r="P46" s="185"/>
      <c r="Q46" s="184"/>
      <c r="R46" s="185"/>
      <c r="S46" s="184"/>
      <c r="T46" s="185"/>
      <c r="U46" s="184"/>
      <c r="V46" s="185"/>
      <c r="W46" s="184"/>
      <c r="X46" s="185"/>
      <c r="Y46" s="184"/>
      <c r="Z46" s="185"/>
      <c r="AA46" s="184"/>
      <c r="AB46" s="185"/>
      <c r="AC46" s="184"/>
      <c r="AD46" s="185"/>
      <c r="AE46" s="184"/>
      <c r="AF46" s="185"/>
      <c r="AG46" s="184"/>
      <c r="AH46" s="185"/>
      <c r="AI46" s="184"/>
      <c r="AJ46" s="185"/>
      <c r="AK46" s="184"/>
      <c r="AL46" s="185"/>
      <c r="AM46" s="184"/>
      <c r="AN46" s="185"/>
      <c r="AO46" s="184"/>
      <c r="AP46" s="185"/>
      <c r="AQ46" s="184"/>
      <c r="AR46" s="185"/>
      <c r="AS46" s="184"/>
      <c r="AT46" s="185"/>
      <c r="AU46" s="184"/>
      <c r="AV46" s="185"/>
      <c r="AW46" s="184"/>
      <c r="AX46" s="185"/>
      <c r="AY46" s="184"/>
      <c r="AZ46" s="185"/>
      <c r="BA46" s="184"/>
      <c r="BB46" s="185"/>
      <c r="BC46" s="184"/>
      <c r="BD46" s="185"/>
      <c r="BE46" s="184"/>
      <c r="BF46" s="185"/>
      <c r="BG46" s="184"/>
      <c r="BH46" s="185"/>
      <c r="BI46" s="184"/>
      <c r="BJ46" s="185"/>
      <c r="BK46" s="184"/>
      <c r="BL46" s="185"/>
      <c r="BM46" s="184"/>
      <c r="BN46" s="185"/>
      <c r="BO46" s="184"/>
      <c r="BP46" s="185"/>
      <c r="BQ46" s="184"/>
      <c r="BR46" s="185"/>
      <c r="BS46" s="184"/>
      <c r="BT46" s="185"/>
      <c r="BU46" s="184"/>
      <c r="BV46" s="185"/>
      <c r="BW46" s="184"/>
      <c r="BX46" s="185"/>
      <c r="BY46" s="184"/>
      <c r="BZ46" s="185"/>
      <c r="CA46" s="184"/>
      <c r="CB46" s="185"/>
      <c r="CC46" s="184"/>
      <c r="CD46" s="185"/>
      <c r="CE46" s="184"/>
      <c r="CF46" s="185"/>
      <c r="CG46" s="184"/>
      <c r="CH46" s="185"/>
      <c r="CI46" s="184"/>
      <c r="CJ46" s="185"/>
      <c r="CK46" s="184"/>
      <c r="CL46" s="185"/>
      <c r="CM46" s="184"/>
      <c r="CN46" s="185"/>
      <c r="CO46" s="184"/>
      <c r="CP46" s="185"/>
      <c r="CQ46" s="184"/>
      <c r="CR46" s="185"/>
      <c r="CS46" s="184"/>
      <c r="CT46" s="185"/>
      <c r="CU46" s="184"/>
      <c r="CV46" s="185"/>
      <c r="CW46" s="184"/>
      <c r="CX46" s="185"/>
      <c r="CY46" s="184"/>
      <c r="CZ46" s="185"/>
      <c r="DA46" s="184"/>
      <c r="DB46" s="185"/>
      <c r="DC46" s="184"/>
      <c r="DD46" s="185"/>
      <c r="DE46" s="184"/>
      <c r="DF46" s="185">
        <v>2500</v>
      </c>
      <c r="DG46" s="184"/>
      <c r="DH46" s="185"/>
      <c r="DI46" s="184"/>
      <c r="DJ46" s="185"/>
      <c r="DK46" s="184"/>
      <c r="DL46" s="185"/>
      <c r="DM46" s="184"/>
      <c r="DN46" s="185"/>
      <c r="DO46" s="184"/>
      <c r="DP46" s="185"/>
      <c r="DQ46" s="184"/>
      <c r="DR46" s="185"/>
      <c r="DS46" s="184"/>
      <c r="DT46" s="185"/>
      <c r="DU46" s="184"/>
      <c r="DV46" s="185"/>
    </row>
    <row r="47" spans="1:126" x14ac:dyDescent="0.2">
      <c r="A47" s="183" t="s">
        <v>627</v>
      </c>
      <c r="B47" s="183" t="s">
        <v>643</v>
      </c>
      <c r="C47" s="184">
        <f t="shared" si="342"/>
        <v>0</v>
      </c>
      <c r="D47" s="185">
        <f t="shared" si="338"/>
        <v>0</v>
      </c>
      <c r="E47" s="184">
        <f t="shared" si="339"/>
        <v>0</v>
      </c>
      <c r="F47" s="185">
        <f t="shared" si="340"/>
        <v>0</v>
      </c>
      <c r="G47" s="184">
        <f t="shared" si="341"/>
        <v>0</v>
      </c>
      <c r="H47" s="185">
        <f t="shared" si="341"/>
        <v>0</v>
      </c>
      <c r="I47" s="184"/>
      <c r="J47" s="185"/>
      <c r="K47" s="184"/>
      <c r="L47" s="185"/>
      <c r="M47" s="184"/>
      <c r="N47" s="185"/>
      <c r="O47" s="184"/>
      <c r="P47" s="185"/>
      <c r="Q47" s="184"/>
      <c r="R47" s="185"/>
      <c r="S47" s="184"/>
      <c r="T47" s="185"/>
      <c r="U47" s="184"/>
      <c r="V47" s="185"/>
      <c r="W47" s="184"/>
      <c r="X47" s="185"/>
      <c r="Y47" s="184"/>
      <c r="Z47" s="185"/>
      <c r="AA47" s="184"/>
      <c r="AB47" s="185"/>
      <c r="AC47" s="184"/>
      <c r="AD47" s="185"/>
      <c r="AE47" s="184"/>
      <c r="AF47" s="185"/>
      <c r="AG47" s="184"/>
      <c r="AH47" s="185"/>
      <c r="AI47" s="184"/>
      <c r="AJ47" s="185"/>
      <c r="AK47" s="184"/>
      <c r="AL47" s="185"/>
      <c r="AM47" s="184"/>
      <c r="AN47" s="185"/>
      <c r="AO47" s="184"/>
      <c r="AP47" s="185"/>
      <c r="AQ47" s="184"/>
      <c r="AR47" s="185"/>
      <c r="AS47" s="184"/>
      <c r="AT47" s="185"/>
      <c r="AU47" s="184"/>
      <c r="AV47" s="185"/>
      <c r="AW47" s="184"/>
      <c r="AX47" s="185"/>
      <c r="AY47" s="184"/>
      <c r="AZ47" s="185"/>
      <c r="BA47" s="184"/>
      <c r="BB47" s="185"/>
      <c r="BC47" s="184"/>
      <c r="BD47" s="185"/>
      <c r="BE47" s="184"/>
      <c r="BF47" s="185"/>
      <c r="BG47" s="184"/>
      <c r="BH47" s="185"/>
      <c r="BI47" s="184"/>
      <c r="BJ47" s="185"/>
      <c r="BK47" s="184"/>
      <c r="BL47" s="185"/>
      <c r="BM47" s="184"/>
      <c r="BN47" s="185"/>
      <c r="BO47" s="184"/>
      <c r="BP47" s="185"/>
      <c r="BQ47" s="184"/>
      <c r="BR47" s="185"/>
      <c r="BS47" s="184"/>
      <c r="BT47" s="185"/>
      <c r="BU47" s="184"/>
      <c r="BV47" s="185"/>
      <c r="BW47" s="184"/>
      <c r="BX47" s="185"/>
      <c r="BY47" s="184"/>
      <c r="BZ47" s="185"/>
      <c r="CA47" s="184"/>
      <c r="CB47" s="185"/>
      <c r="CC47" s="184"/>
      <c r="CD47" s="185"/>
      <c r="CE47" s="184"/>
      <c r="CF47" s="185"/>
      <c r="CG47" s="184"/>
      <c r="CH47" s="185"/>
      <c r="CI47" s="184"/>
      <c r="CJ47" s="185"/>
      <c r="CK47" s="184"/>
      <c r="CL47" s="185"/>
      <c r="CM47" s="184"/>
      <c r="CN47" s="185"/>
      <c r="CO47" s="184"/>
      <c r="CP47" s="185"/>
      <c r="CQ47" s="184"/>
      <c r="CR47" s="185"/>
      <c r="CS47" s="184"/>
      <c r="CT47" s="185"/>
      <c r="CU47" s="184"/>
      <c r="CV47" s="185"/>
      <c r="CW47" s="184"/>
      <c r="CX47" s="185"/>
      <c r="CY47" s="184"/>
      <c r="CZ47" s="185"/>
      <c r="DA47" s="184"/>
      <c r="DB47" s="185"/>
      <c r="DC47" s="184"/>
      <c r="DD47" s="185"/>
      <c r="DE47" s="184"/>
      <c r="DF47" s="185"/>
      <c r="DG47" s="184"/>
      <c r="DH47" s="185"/>
      <c r="DI47" s="184"/>
      <c r="DJ47" s="185"/>
      <c r="DK47" s="184"/>
      <c r="DL47" s="185"/>
      <c r="DM47" s="184"/>
      <c r="DN47" s="185"/>
      <c r="DO47" s="184"/>
      <c r="DP47" s="185"/>
      <c r="DQ47" s="184"/>
      <c r="DR47" s="185"/>
      <c r="DS47" s="184"/>
      <c r="DT47" s="185"/>
      <c r="DU47" s="184"/>
      <c r="DV47" s="185"/>
    </row>
    <row r="48" spans="1:126" x14ac:dyDescent="0.2">
      <c r="A48" s="183" t="s">
        <v>628</v>
      </c>
      <c r="B48" s="183" t="s">
        <v>899</v>
      </c>
      <c r="C48" s="184">
        <f t="shared" si="342"/>
        <v>12500</v>
      </c>
      <c r="D48" s="185">
        <f t="shared" si="338"/>
        <v>7500</v>
      </c>
      <c r="E48" s="184">
        <f t="shared" si="339"/>
        <v>0</v>
      </c>
      <c r="F48" s="185">
        <f t="shared" si="340"/>
        <v>0</v>
      </c>
      <c r="G48" s="184">
        <f t="shared" si="341"/>
        <v>5000</v>
      </c>
      <c r="H48" s="185">
        <f t="shared" si="341"/>
        <v>7500</v>
      </c>
      <c r="I48" s="184"/>
      <c r="J48" s="185"/>
      <c r="K48" s="184"/>
      <c r="L48" s="185"/>
      <c r="M48" s="184"/>
      <c r="N48" s="185"/>
      <c r="O48" s="184"/>
      <c r="P48" s="185"/>
      <c r="Q48" s="184"/>
      <c r="R48" s="185"/>
      <c r="S48" s="184"/>
      <c r="T48" s="185"/>
      <c r="U48" s="184"/>
      <c r="V48" s="185"/>
      <c r="W48" s="184"/>
      <c r="X48" s="185"/>
      <c r="Y48" s="184"/>
      <c r="Z48" s="185"/>
      <c r="AA48" s="184"/>
      <c r="AB48" s="185"/>
      <c r="AC48" s="184"/>
      <c r="AD48" s="185"/>
      <c r="AE48" s="184"/>
      <c r="AF48" s="185"/>
      <c r="AG48" s="184"/>
      <c r="AH48" s="185"/>
      <c r="AI48" s="184"/>
      <c r="AJ48" s="185"/>
      <c r="AK48" s="184"/>
      <c r="AL48" s="185"/>
      <c r="AM48" s="184"/>
      <c r="AN48" s="185"/>
      <c r="AO48" s="184"/>
      <c r="AP48" s="185"/>
      <c r="AQ48" s="184"/>
      <c r="AR48" s="185"/>
      <c r="AS48" s="184"/>
      <c r="AT48" s="185"/>
      <c r="AU48" s="184"/>
      <c r="AV48" s="185"/>
      <c r="AW48" s="184"/>
      <c r="AX48" s="185"/>
      <c r="AY48" s="184"/>
      <c r="AZ48" s="185"/>
      <c r="BA48" s="184"/>
      <c r="BB48" s="185"/>
      <c r="BC48" s="184"/>
      <c r="BD48" s="185"/>
      <c r="BE48" s="184"/>
      <c r="BF48" s="185"/>
      <c r="BG48" s="184"/>
      <c r="BH48" s="185"/>
      <c r="BI48" s="184"/>
      <c r="BJ48" s="185"/>
      <c r="BK48" s="184"/>
      <c r="BL48" s="185"/>
      <c r="BM48" s="184"/>
      <c r="BN48" s="185"/>
      <c r="BO48" s="184"/>
      <c r="BP48" s="185"/>
      <c r="BQ48" s="184"/>
      <c r="BR48" s="185"/>
      <c r="BS48" s="184"/>
      <c r="BT48" s="185"/>
      <c r="BU48" s="184"/>
      <c r="BV48" s="185"/>
      <c r="BW48" s="184"/>
      <c r="BX48" s="185"/>
      <c r="BY48" s="184"/>
      <c r="BZ48" s="185"/>
      <c r="CA48" s="184"/>
      <c r="CB48" s="185"/>
      <c r="CC48" s="184"/>
      <c r="CD48" s="185"/>
      <c r="CE48" s="184"/>
      <c r="CF48" s="185"/>
      <c r="CG48" s="184"/>
      <c r="CH48" s="185"/>
      <c r="CI48" s="184"/>
      <c r="CJ48" s="185"/>
      <c r="CK48" s="184"/>
      <c r="CL48" s="185"/>
      <c r="CM48" s="184"/>
      <c r="CN48" s="185"/>
      <c r="CO48" s="184"/>
      <c r="CP48" s="185"/>
      <c r="CQ48" s="184"/>
      <c r="CR48" s="185"/>
      <c r="CS48" s="184"/>
      <c r="CT48" s="185"/>
      <c r="CU48" s="184"/>
      <c r="CV48" s="185"/>
      <c r="CW48" s="184"/>
      <c r="CX48" s="185"/>
      <c r="CY48" s="184"/>
      <c r="CZ48" s="185"/>
      <c r="DA48" s="184"/>
      <c r="DB48" s="185"/>
      <c r="DC48" s="184"/>
      <c r="DD48" s="185"/>
      <c r="DE48" s="184">
        <v>5000</v>
      </c>
      <c r="DF48" s="185">
        <f>6000+1500</f>
        <v>7500</v>
      </c>
      <c r="DG48" s="184"/>
      <c r="DH48" s="185"/>
      <c r="DI48" s="184"/>
      <c r="DJ48" s="185"/>
      <c r="DK48" s="184"/>
      <c r="DL48" s="185"/>
      <c r="DM48" s="184"/>
      <c r="DN48" s="185"/>
      <c r="DO48" s="184"/>
      <c r="DP48" s="185"/>
      <c r="DQ48" s="184"/>
      <c r="DR48" s="185"/>
      <c r="DS48" s="184"/>
      <c r="DT48" s="185"/>
      <c r="DU48" s="184"/>
      <c r="DV48" s="185"/>
    </row>
    <row r="49" spans="1:126" x14ac:dyDescent="0.2">
      <c r="A49" s="183" t="s">
        <v>629</v>
      </c>
      <c r="B49" s="183" t="s">
        <v>900</v>
      </c>
      <c r="C49" s="184">
        <f t="shared" si="342"/>
        <v>0</v>
      </c>
      <c r="D49" s="185">
        <f t="shared" si="338"/>
        <v>0</v>
      </c>
      <c r="E49" s="184">
        <f t="shared" si="339"/>
        <v>0</v>
      </c>
      <c r="F49" s="185">
        <f t="shared" si="340"/>
        <v>0</v>
      </c>
      <c r="G49" s="184">
        <f t="shared" si="341"/>
        <v>0</v>
      </c>
      <c r="H49" s="185">
        <f t="shared" si="341"/>
        <v>0</v>
      </c>
      <c r="I49" s="184"/>
      <c r="J49" s="185"/>
      <c r="K49" s="184"/>
      <c r="L49" s="185"/>
      <c r="M49" s="184"/>
      <c r="N49" s="185"/>
      <c r="O49" s="184"/>
      <c r="P49" s="185"/>
      <c r="Q49" s="184"/>
      <c r="R49" s="185"/>
      <c r="S49" s="184"/>
      <c r="T49" s="185"/>
      <c r="U49" s="184"/>
      <c r="V49" s="185"/>
      <c r="W49" s="184"/>
      <c r="X49" s="185"/>
      <c r="Y49" s="184"/>
      <c r="Z49" s="185"/>
      <c r="AA49" s="184"/>
      <c r="AB49" s="185"/>
      <c r="AC49" s="184"/>
      <c r="AD49" s="185"/>
      <c r="AE49" s="184"/>
      <c r="AF49" s="185"/>
      <c r="AG49" s="184"/>
      <c r="AH49" s="185"/>
      <c r="AI49" s="184"/>
      <c r="AJ49" s="185"/>
      <c r="AK49" s="184"/>
      <c r="AL49" s="185"/>
      <c r="AM49" s="184"/>
      <c r="AN49" s="185"/>
      <c r="AO49" s="184"/>
      <c r="AP49" s="185"/>
      <c r="AQ49" s="184"/>
      <c r="AR49" s="185"/>
      <c r="AS49" s="184"/>
      <c r="AT49" s="185"/>
      <c r="AU49" s="184"/>
      <c r="AV49" s="185"/>
      <c r="AW49" s="184"/>
      <c r="AX49" s="185"/>
      <c r="AY49" s="184"/>
      <c r="AZ49" s="185"/>
      <c r="BA49" s="184"/>
      <c r="BB49" s="185"/>
      <c r="BC49" s="184"/>
      <c r="BD49" s="185"/>
      <c r="BE49" s="184"/>
      <c r="BF49" s="185"/>
      <c r="BG49" s="184"/>
      <c r="BH49" s="185"/>
      <c r="BI49" s="184"/>
      <c r="BJ49" s="185"/>
      <c r="BK49" s="184"/>
      <c r="BL49" s="185"/>
      <c r="BM49" s="184"/>
      <c r="BN49" s="185"/>
      <c r="BO49" s="184"/>
      <c r="BP49" s="185"/>
      <c r="BQ49" s="184"/>
      <c r="BR49" s="185"/>
      <c r="BS49" s="184"/>
      <c r="BT49" s="185"/>
      <c r="BU49" s="184"/>
      <c r="BV49" s="185"/>
      <c r="BW49" s="184"/>
      <c r="BX49" s="185"/>
      <c r="BY49" s="184"/>
      <c r="BZ49" s="185"/>
      <c r="CA49" s="184"/>
      <c r="CB49" s="185"/>
      <c r="CC49" s="184"/>
      <c r="CD49" s="185"/>
      <c r="CE49" s="184"/>
      <c r="CF49" s="185"/>
      <c r="CG49" s="184"/>
      <c r="CH49" s="185"/>
      <c r="CI49" s="184"/>
      <c r="CJ49" s="185"/>
      <c r="CK49" s="184"/>
      <c r="CL49" s="185"/>
      <c r="CM49" s="184"/>
      <c r="CN49" s="185"/>
      <c r="CO49" s="184"/>
      <c r="CP49" s="185"/>
      <c r="CQ49" s="184"/>
      <c r="CR49" s="185"/>
      <c r="CS49" s="184"/>
      <c r="CT49" s="185"/>
      <c r="CU49" s="184"/>
      <c r="CV49" s="185"/>
      <c r="CW49" s="184"/>
      <c r="CX49" s="185"/>
      <c r="CY49" s="184"/>
      <c r="CZ49" s="185"/>
      <c r="DA49" s="184"/>
      <c r="DB49" s="185"/>
      <c r="DC49" s="184"/>
      <c r="DD49" s="185"/>
      <c r="DE49" s="184"/>
      <c r="DF49" s="185"/>
      <c r="DG49" s="184"/>
      <c r="DH49" s="185"/>
      <c r="DI49" s="184"/>
      <c r="DJ49" s="185"/>
      <c r="DK49" s="184"/>
      <c r="DL49" s="185"/>
      <c r="DM49" s="184"/>
      <c r="DN49" s="185"/>
      <c r="DO49" s="184"/>
      <c r="DP49" s="185"/>
      <c r="DQ49" s="184"/>
      <c r="DR49" s="185"/>
      <c r="DS49" s="184"/>
      <c r="DT49" s="185"/>
      <c r="DU49" s="184"/>
      <c r="DV49" s="185"/>
    </row>
    <row r="50" spans="1:126" x14ac:dyDescent="0.2">
      <c r="A50" s="183" t="s">
        <v>630</v>
      </c>
      <c r="B50" s="183" t="s">
        <v>646</v>
      </c>
      <c r="C50" s="184">
        <f t="shared" si="342"/>
        <v>8840</v>
      </c>
      <c r="D50" s="185">
        <f t="shared" si="338"/>
        <v>8840</v>
      </c>
      <c r="E50" s="184">
        <f t="shared" si="339"/>
        <v>0</v>
      </c>
      <c r="F50" s="185">
        <f t="shared" si="340"/>
        <v>0</v>
      </c>
      <c r="G50" s="184">
        <f t="shared" si="341"/>
        <v>0</v>
      </c>
      <c r="H50" s="185">
        <f t="shared" si="341"/>
        <v>8840</v>
      </c>
      <c r="I50" s="184"/>
      <c r="J50" s="185"/>
      <c r="K50" s="184"/>
      <c r="L50" s="185"/>
      <c r="M50" s="184"/>
      <c r="N50" s="185"/>
      <c r="O50" s="184"/>
      <c r="P50" s="185"/>
      <c r="Q50" s="184"/>
      <c r="R50" s="185"/>
      <c r="S50" s="184"/>
      <c r="T50" s="185"/>
      <c r="U50" s="184"/>
      <c r="V50" s="185"/>
      <c r="W50" s="184"/>
      <c r="X50" s="185"/>
      <c r="Y50" s="184"/>
      <c r="Z50" s="185"/>
      <c r="AA50" s="184"/>
      <c r="AB50" s="185"/>
      <c r="AC50" s="184"/>
      <c r="AD50" s="185"/>
      <c r="AE50" s="184"/>
      <c r="AF50" s="185"/>
      <c r="AG50" s="184"/>
      <c r="AH50" s="185"/>
      <c r="AI50" s="184"/>
      <c r="AJ50" s="185"/>
      <c r="AK50" s="184"/>
      <c r="AL50" s="185"/>
      <c r="AM50" s="184"/>
      <c r="AN50" s="185"/>
      <c r="AO50" s="184"/>
      <c r="AP50" s="185"/>
      <c r="AQ50" s="184"/>
      <c r="AR50" s="185"/>
      <c r="AS50" s="184"/>
      <c r="AT50" s="185"/>
      <c r="AU50" s="184"/>
      <c r="AV50" s="185"/>
      <c r="AW50" s="184"/>
      <c r="AX50" s="185"/>
      <c r="AY50" s="184"/>
      <c r="AZ50" s="185"/>
      <c r="BA50" s="184"/>
      <c r="BB50" s="185"/>
      <c r="BC50" s="184"/>
      <c r="BD50" s="185"/>
      <c r="BE50" s="184"/>
      <c r="BF50" s="185"/>
      <c r="BG50" s="184"/>
      <c r="BH50" s="185"/>
      <c r="BI50" s="184"/>
      <c r="BJ50" s="185"/>
      <c r="BK50" s="184"/>
      <c r="BL50" s="185"/>
      <c r="BM50" s="184"/>
      <c r="BN50" s="185"/>
      <c r="BO50" s="184"/>
      <c r="BP50" s="185"/>
      <c r="BQ50" s="184"/>
      <c r="BR50" s="185"/>
      <c r="BS50" s="184"/>
      <c r="BT50" s="185"/>
      <c r="BU50" s="184"/>
      <c r="BV50" s="185"/>
      <c r="BW50" s="184"/>
      <c r="BX50" s="185"/>
      <c r="BY50" s="184"/>
      <c r="BZ50" s="185"/>
      <c r="CA50" s="184"/>
      <c r="CB50" s="185"/>
      <c r="CC50" s="184"/>
      <c r="CD50" s="185"/>
      <c r="CE50" s="184"/>
      <c r="CF50" s="185"/>
      <c r="CG50" s="184"/>
      <c r="CH50" s="185"/>
      <c r="CI50" s="184"/>
      <c r="CJ50" s="185"/>
      <c r="CK50" s="184"/>
      <c r="CL50" s="185"/>
      <c r="CM50" s="184"/>
      <c r="CN50" s="185"/>
      <c r="CO50" s="184"/>
      <c r="CP50" s="185"/>
      <c r="CQ50" s="184"/>
      <c r="CR50" s="185"/>
      <c r="CS50" s="184"/>
      <c r="CT50" s="185"/>
      <c r="CU50" s="184"/>
      <c r="CV50" s="185"/>
      <c r="CW50" s="184"/>
      <c r="CX50" s="185"/>
      <c r="CY50" s="184"/>
      <c r="CZ50" s="185"/>
      <c r="DA50" s="184"/>
      <c r="DB50" s="185"/>
      <c r="DC50" s="184"/>
      <c r="DD50" s="185"/>
      <c r="DE50" s="184"/>
      <c r="DF50" s="185">
        <f>6840+2000</f>
        <v>8840</v>
      </c>
      <c r="DG50" s="184"/>
      <c r="DH50" s="185"/>
      <c r="DI50" s="184"/>
      <c r="DJ50" s="185"/>
      <c r="DK50" s="184"/>
      <c r="DL50" s="185"/>
      <c r="DM50" s="184"/>
      <c r="DN50" s="185"/>
      <c r="DO50" s="184"/>
      <c r="DP50" s="185"/>
      <c r="DQ50" s="184"/>
      <c r="DR50" s="185"/>
      <c r="DS50" s="184"/>
      <c r="DT50" s="185"/>
      <c r="DU50" s="184"/>
      <c r="DV50" s="185"/>
    </row>
    <row r="51" spans="1:126" x14ac:dyDescent="0.2">
      <c r="A51" s="183" t="s">
        <v>631</v>
      </c>
      <c r="B51" s="183" t="s">
        <v>647</v>
      </c>
      <c r="C51" s="184">
        <f t="shared" si="342"/>
        <v>0</v>
      </c>
      <c r="D51" s="185">
        <f t="shared" si="338"/>
        <v>0</v>
      </c>
      <c r="E51" s="184">
        <f t="shared" si="339"/>
        <v>0</v>
      </c>
      <c r="F51" s="185">
        <f t="shared" si="340"/>
        <v>0</v>
      </c>
      <c r="G51" s="184">
        <f t="shared" si="341"/>
        <v>0</v>
      </c>
      <c r="H51" s="185">
        <f t="shared" si="341"/>
        <v>0</v>
      </c>
      <c r="I51" s="184"/>
      <c r="J51" s="185"/>
      <c r="K51" s="184"/>
      <c r="L51" s="185"/>
      <c r="M51" s="184"/>
      <c r="N51" s="185"/>
      <c r="O51" s="184"/>
      <c r="P51" s="185"/>
      <c r="Q51" s="184"/>
      <c r="R51" s="185"/>
      <c r="S51" s="184"/>
      <c r="T51" s="185"/>
      <c r="U51" s="184"/>
      <c r="V51" s="185"/>
      <c r="W51" s="184"/>
      <c r="X51" s="185"/>
      <c r="Y51" s="184"/>
      <c r="Z51" s="185"/>
      <c r="AA51" s="184"/>
      <c r="AB51" s="185"/>
      <c r="AC51" s="184"/>
      <c r="AD51" s="185"/>
      <c r="AE51" s="184"/>
      <c r="AF51" s="185"/>
      <c r="AG51" s="184"/>
      <c r="AH51" s="185"/>
      <c r="AI51" s="184"/>
      <c r="AJ51" s="185"/>
      <c r="AK51" s="184"/>
      <c r="AL51" s="185"/>
      <c r="AM51" s="184"/>
      <c r="AN51" s="185"/>
      <c r="AO51" s="184"/>
      <c r="AP51" s="185"/>
      <c r="AQ51" s="184"/>
      <c r="AR51" s="185"/>
      <c r="AS51" s="184"/>
      <c r="AT51" s="185"/>
      <c r="AU51" s="184"/>
      <c r="AV51" s="185"/>
      <c r="AW51" s="184"/>
      <c r="AX51" s="185"/>
      <c r="AY51" s="184"/>
      <c r="AZ51" s="185"/>
      <c r="BA51" s="184"/>
      <c r="BB51" s="185"/>
      <c r="BC51" s="184"/>
      <c r="BD51" s="185"/>
      <c r="BE51" s="184"/>
      <c r="BF51" s="185"/>
      <c r="BG51" s="184"/>
      <c r="BH51" s="185"/>
      <c r="BI51" s="184"/>
      <c r="BJ51" s="185"/>
      <c r="BK51" s="184"/>
      <c r="BL51" s="185"/>
      <c r="BM51" s="184"/>
      <c r="BN51" s="185"/>
      <c r="BO51" s="184"/>
      <c r="BP51" s="185"/>
      <c r="BQ51" s="184"/>
      <c r="BR51" s="185"/>
      <c r="BS51" s="184"/>
      <c r="BT51" s="185"/>
      <c r="BU51" s="184"/>
      <c r="BV51" s="185"/>
      <c r="BW51" s="184"/>
      <c r="BX51" s="185"/>
      <c r="BY51" s="184"/>
      <c r="BZ51" s="185"/>
      <c r="CA51" s="184"/>
      <c r="CB51" s="185"/>
      <c r="CC51" s="184"/>
      <c r="CD51" s="185"/>
      <c r="CE51" s="184"/>
      <c r="CF51" s="185"/>
      <c r="CG51" s="184"/>
      <c r="CH51" s="185"/>
      <c r="CI51" s="184"/>
      <c r="CJ51" s="185"/>
      <c r="CK51" s="184"/>
      <c r="CL51" s="185"/>
      <c r="CM51" s="184"/>
      <c r="CN51" s="185"/>
      <c r="CO51" s="184"/>
      <c r="CP51" s="185"/>
      <c r="CQ51" s="184"/>
      <c r="CR51" s="185"/>
      <c r="CS51" s="184"/>
      <c r="CT51" s="185"/>
      <c r="CU51" s="184"/>
      <c r="CV51" s="185"/>
      <c r="CW51" s="184"/>
      <c r="CX51" s="185"/>
      <c r="CY51" s="184"/>
      <c r="CZ51" s="185"/>
      <c r="DA51" s="184"/>
      <c r="DB51" s="185"/>
      <c r="DC51" s="184"/>
      <c r="DD51" s="185"/>
      <c r="DE51" s="184"/>
      <c r="DF51" s="185"/>
      <c r="DG51" s="184"/>
      <c r="DH51" s="185"/>
      <c r="DI51" s="184"/>
      <c r="DJ51" s="185"/>
      <c r="DK51" s="184"/>
      <c r="DL51" s="185"/>
      <c r="DM51" s="184"/>
      <c r="DN51" s="185"/>
      <c r="DO51" s="184"/>
      <c r="DP51" s="185"/>
      <c r="DQ51" s="184"/>
      <c r="DR51" s="185"/>
      <c r="DS51" s="184"/>
      <c r="DT51" s="185"/>
      <c r="DU51" s="184"/>
      <c r="DV51" s="185"/>
    </row>
    <row r="52" spans="1:126" x14ac:dyDescent="0.2">
      <c r="A52" s="183" t="s">
        <v>632</v>
      </c>
      <c r="B52" s="183" t="s">
        <v>648</v>
      </c>
      <c r="C52" s="184">
        <f t="shared" si="342"/>
        <v>72160</v>
      </c>
      <c r="D52" s="185">
        <f t="shared" si="338"/>
        <v>21160</v>
      </c>
      <c r="E52" s="184">
        <f t="shared" si="339"/>
        <v>24000</v>
      </c>
      <c r="F52" s="185">
        <f t="shared" si="340"/>
        <v>21160</v>
      </c>
      <c r="G52" s="184">
        <f t="shared" si="341"/>
        <v>27000</v>
      </c>
      <c r="H52" s="185">
        <f t="shared" si="341"/>
        <v>0</v>
      </c>
      <c r="I52" s="184"/>
      <c r="J52" s="185"/>
      <c r="K52" s="184"/>
      <c r="L52" s="185"/>
      <c r="M52" s="184"/>
      <c r="N52" s="185"/>
      <c r="O52" s="184"/>
      <c r="P52" s="185"/>
      <c r="Q52" s="184"/>
      <c r="R52" s="185"/>
      <c r="S52" s="184"/>
      <c r="T52" s="185"/>
      <c r="U52" s="184"/>
      <c r="V52" s="185"/>
      <c r="W52" s="184"/>
      <c r="X52" s="185"/>
      <c r="Y52" s="184"/>
      <c r="Z52" s="185"/>
      <c r="AA52" s="184"/>
      <c r="AB52" s="185"/>
      <c r="AC52" s="184"/>
      <c r="AD52" s="185"/>
      <c r="AE52" s="184"/>
      <c r="AF52" s="185"/>
      <c r="AG52" s="184"/>
      <c r="AH52" s="185"/>
      <c r="AI52" s="184">
        <f>23000+1000</f>
        <v>24000</v>
      </c>
      <c r="AJ52" s="185">
        <f>19560+1600</f>
        <v>21160</v>
      </c>
      <c r="AK52" s="184"/>
      <c r="AL52" s="185"/>
      <c r="AM52" s="184"/>
      <c r="AN52" s="185"/>
      <c r="AO52" s="184"/>
      <c r="AP52" s="185"/>
      <c r="AQ52" s="184"/>
      <c r="AR52" s="185"/>
      <c r="AS52" s="184"/>
      <c r="AT52" s="185"/>
      <c r="AU52" s="184"/>
      <c r="AV52" s="185"/>
      <c r="AW52" s="184"/>
      <c r="AX52" s="185"/>
      <c r="AY52" s="184"/>
      <c r="AZ52" s="185"/>
      <c r="BA52" s="184"/>
      <c r="BB52" s="185"/>
      <c r="BC52" s="184"/>
      <c r="BD52" s="185"/>
      <c r="BE52" s="184"/>
      <c r="BF52" s="185"/>
      <c r="BG52" s="184"/>
      <c r="BH52" s="185"/>
      <c r="BI52" s="184"/>
      <c r="BJ52" s="185"/>
      <c r="BK52" s="184"/>
      <c r="BL52" s="185"/>
      <c r="BM52" s="184"/>
      <c r="BN52" s="185"/>
      <c r="BO52" s="184"/>
      <c r="BP52" s="185"/>
      <c r="BQ52" s="184"/>
      <c r="BR52" s="185"/>
      <c r="BS52" s="184"/>
      <c r="BT52" s="185"/>
      <c r="BU52" s="184"/>
      <c r="BV52" s="185"/>
      <c r="BW52" s="184"/>
      <c r="BX52" s="185"/>
      <c r="BY52" s="184"/>
      <c r="BZ52" s="185"/>
      <c r="CA52" s="184"/>
      <c r="CB52" s="185"/>
      <c r="CC52" s="184"/>
      <c r="CD52" s="185"/>
      <c r="CE52" s="184"/>
      <c r="CF52" s="185"/>
      <c r="CG52" s="184"/>
      <c r="CH52" s="185"/>
      <c r="CI52" s="184"/>
      <c r="CJ52" s="185"/>
      <c r="CK52" s="184"/>
      <c r="CL52" s="185"/>
      <c r="CM52" s="184"/>
      <c r="CN52" s="185"/>
      <c r="CO52" s="184"/>
      <c r="CP52" s="185"/>
      <c r="CQ52" s="184"/>
      <c r="CR52" s="185"/>
      <c r="CS52" s="184"/>
      <c r="CT52" s="185"/>
      <c r="CU52" s="184"/>
      <c r="CV52" s="185"/>
      <c r="CW52" s="184"/>
      <c r="CX52" s="185"/>
      <c r="CY52" s="184"/>
      <c r="CZ52" s="185"/>
      <c r="DA52" s="184"/>
      <c r="DB52" s="185"/>
      <c r="DC52" s="184"/>
      <c r="DD52" s="185"/>
      <c r="DE52" s="184">
        <f>9000+4000+12000+2000</f>
        <v>27000</v>
      </c>
      <c r="DF52" s="185"/>
      <c r="DG52" s="184"/>
      <c r="DH52" s="185"/>
      <c r="DI52" s="184"/>
      <c r="DJ52" s="185"/>
      <c r="DK52" s="184"/>
      <c r="DL52" s="185"/>
      <c r="DM52" s="184"/>
      <c r="DN52" s="185"/>
      <c r="DO52" s="184"/>
      <c r="DP52" s="185"/>
      <c r="DQ52" s="184"/>
      <c r="DR52" s="185"/>
      <c r="DS52" s="184"/>
      <c r="DT52" s="185"/>
      <c r="DU52" s="184"/>
      <c r="DV52" s="185"/>
    </row>
    <row r="53" spans="1:126" x14ac:dyDescent="0.2">
      <c r="A53" s="186" t="s">
        <v>623</v>
      </c>
      <c r="B53" s="186" t="s">
        <v>337</v>
      </c>
      <c r="C53" s="187">
        <f t="shared" ref="C53:I53" si="343">SUM(C45:C52)</f>
        <v>96000</v>
      </c>
      <c r="D53" s="188">
        <f t="shared" si="343"/>
        <v>40000</v>
      </c>
      <c r="E53" s="187">
        <f t="shared" si="343"/>
        <v>24000</v>
      </c>
      <c r="F53" s="188">
        <f t="shared" si="343"/>
        <v>21160</v>
      </c>
      <c r="G53" s="187">
        <f t="shared" si="343"/>
        <v>32000</v>
      </c>
      <c r="H53" s="188">
        <f t="shared" si="343"/>
        <v>18840</v>
      </c>
      <c r="I53" s="187">
        <f t="shared" si="343"/>
        <v>0</v>
      </c>
      <c r="J53" s="188">
        <f t="shared" ref="J53:AO53" si="344">SUM(J45:J52)</f>
        <v>0</v>
      </c>
      <c r="K53" s="187">
        <f t="shared" si="344"/>
        <v>0</v>
      </c>
      <c r="L53" s="188">
        <f t="shared" si="344"/>
        <v>0</v>
      </c>
      <c r="M53" s="187">
        <f t="shared" si="344"/>
        <v>0</v>
      </c>
      <c r="N53" s="188">
        <f t="shared" si="344"/>
        <v>0</v>
      </c>
      <c r="O53" s="187">
        <f t="shared" si="344"/>
        <v>0</v>
      </c>
      <c r="P53" s="188">
        <f t="shared" si="344"/>
        <v>0</v>
      </c>
      <c r="Q53" s="187">
        <f t="shared" si="344"/>
        <v>0</v>
      </c>
      <c r="R53" s="188">
        <f t="shared" si="344"/>
        <v>0</v>
      </c>
      <c r="S53" s="187">
        <f t="shared" si="344"/>
        <v>0</v>
      </c>
      <c r="T53" s="188">
        <f t="shared" ref="T53" si="345">SUM(T45:T52)</f>
        <v>0</v>
      </c>
      <c r="U53" s="187">
        <f t="shared" si="344"/>
        <v>0</v>
      </c>
      <c r="V53" s="188">
        <f t="shared" ref="V53" si="346">SUM(V45:V52)</f>
        <v>0</v>
      </c>
      <c r="W53" s="187">
        <f t="shared" si="344"/>
        <v>0</v>
      </c>
      <c r="X53" s="188">
        <f t="shared" si="344"/>
        <v>0</v>
      </c>
      <c r="Y53" s="187">
        <f t="shared" si="344"/>
        <v>0</v>
      </c>
      <c r="Z53" s="188">
        <f t="shared" si="344"/>
        <v>0</v>
      </c>
      <c r="AA53" s="187">
        <f t="shared" si="344"/>
        <v>0</v>
      </c>
      <c r="AB53" s="188">
        <f t="shared" ref="AB53" si="347">SUM(AB45:AB52)</f>
        <v>0</v>
      </c>
      <c r="AC53" s="187">
        <f t="shared" si="344"/>
        <v>0</v>
      </c>
      <c r="AD53" s="188">
        <f t="shared" ref="AD53" si="348">SUM(AD45:AD52)</f>
        <v>0</v>
      </c>
      <c r="AE53" s="187">
        <f t="shared" si="344"/>
        <v>0</v>
      </c>
      <c r="AF53" s="188">
        <f t="shared" ref="AF53:AH53" si="349">SUM(AF45:AF52)</f>
        <v>0</v>
      </c>
      <c r="AG53" s="187"/>
      <c r="AH53" s="188">
        <f t="shared" si="349"/>
        <v>0</v>
      </c>
      <c r="AI53" s="187">
        <f>SUM(AI45:AI52)</f>
        <v>24000</v>
      </c>
      <c r="AJ53" s="188">
        <f>SUM(AJ45:AJ52)</f>
        <v>21160</v>
      </c>
      <c r="AK53" s="187">
        <f t="shared" si="344"/>
        <v>0</v>
      </c>
      <c r="AL53" s="188">
        <f t="shared" si="344"/>
        <v>0</v>
      </c>
      <c r="AM53" s="187">
        <f t="shared" si="344"/>
        <v>0</v>
      </c>
      <c r="AN53" s="188"/>
      <c r="AO53" s="187">
        <f t="shared" si="344"/>
        <v>0</v>
      </c>
      <c r="AP53" s="188">
        <f t="shared" ref="AP53" si="350">SUM(AP45:AP52)</f>
        <v>0</v>
      </c>
      <c r="AQ53" s="187">
        <f t="shared" ref="AQ53:DS53" si="351">SUM(AQ45:AQ52)</f>
        <v>0</v>
      </c>
      <c r="AR53" s="188">
        <f t="shared" ref="AR53" si="352">SUM(AR45:AR52)</f>
        <v>0</v>
      </c>
      <c r="AS53" s="187">
        <f t="shared" si="351"/>
        <v>0</v>
      </c>
      <c r="AT53" s="188">
        <f t="shared" ref="AT53" si="353">SUM(AT45:AT52)</f>
        <v>0</v>
      </c>
      <c r="AU53" s="187">
        <f t="shared" si="351"/>
        <v>0</v>
      </c>
      <c r="AV53" s="188">
        <f t="shared" ref="AV53" si="354">SUM(AV45:AV52)</f>
        <v>0</v>
      </c>
      <c r="AW53" s="187">
        <f t="shared" si="351"/>
        <v>0</v>
      </c>
      <c r="AX53" s="188">
        <f t="shared" ref="AX53" si="355">SUM(AX45:AX52)</f>
        <v>0</v>
      </c>
      <c r="AY53" s="187">
        <f t="shared" si="351"/>
        <v>0</v>
      </c>
      <c r="AZ53" s="188">
        <f t="shared" ref="AZ53" si="356">SUM(AZ45:AZ52)</f>
        <v>0</v>
      </c>
      <c r="BA53" s="187">
        <f t="shared" si="351"/>
        <v>0</v>
      </c>
      <c r="BB53" s="188">
        <f t="shared" ref="BB53" si="357">SUM(BB45:BB52)</f>
        <v>0</v>
      </c>
      <c r="BC53" s="187">
        <f t="shared" si="351"/>
        <v>0</v>
      </c>
      <c r="BD53" s="188">
        <f t="shared" ref="BD53" si="358">SUM(BD45:BD52)</f>
        <v>0</v>
      </c>
      <c r="BE53" s="187">
        <f t="shared" si="351"/>
        <v>0</v>
      </c>
      <c r="BF53" s="188">
        <f t="shared" ref="BF53" si="359">SUM(BF45:BF52)</f>
        <v>0</v>
      </c>
      <c r="BG53" s="187">
        <f t="shared" si="351"/>
        <v>0</v>
      </c>
      <c r="BH53" s="188">
        <f t="shared" ref="BH53" si="360">SUM(BH45:BH52)</f>
        <v>0</v>
      </c>
      <c r="BI53" s="187">
        <f t="shared" si="351"/>
        <v>0</v>
      </c>
      <c r="BJ53" s="188">
        <f t="shared" ref="BJ53" si="361">SUM(BJ45:BJ52)</f>
        <v>0</v>
      </c>
      <c r="BK53" s="187">
        <f t="shared" si="351"/>
        <v>0</v>
      </c>
      <c r="BL53" s="188">
        <f t="shared" ref="BL53" si="362">SUM(BL45:BL52)</f>
        <v>0</v>
      </c>
      <c r="BM53" s="187">
        <f t="shared" si="351"/>
        <v>0</v>
      </c>
      <c r="BN53" s="188">
        <f t="shared" ref="BN53" si="363">SUM(BN45:BN52)</f>
        <v>0</v>
      </c>
      <c r="BO53" s="187">
        <f t="shared" si="351"/>
        <v>0</v>
      </c>
      <c r="BP53" s="188">
        <f t="shared" ref="BP53" si="364">SUM(BP45:BP52)</f>
        <v>0</v>
      </c>
      <c r="BQ53" s="187">
        <f t="shared" si="351"/>
        <v>0</v>
      </c>
      <c r="BR53" s="188">
        <f t="shared" ref="BR53" si="365">SUM(BR45:BR52)</f>
        <v>0</v>
      </c>
      <c r="BS53" s="187">
        <f t="shared" si="351"/>
        <v>0</v>
      </c>
      <c r="BT53" s="188">
        <f t="shared" ref="BT53" si="366">SUM(BT45:BT52)</f>
        <v>0</v>
      </c>
      <c r="BU53" s="187">
        <f t="shared" si="351"/>
        <v>0</v>
      </c>
      <c r="BV53" s="188">
        <f t="shared" ref="BV53" si="367">SUM(BV45:BV52)</f>
        <v>0</v>
      </c>
      <c r="BW53" s="187">
        <f t="shared" si="351"/>
        <v>0</v>
      </c>
      <c r="BX53" s="188">
        <f t="shared" ref="BX53" si="368">SUM(BX45:BX52)</f>
        <v>0</v>
      </c>
      <c r="BY53" s="187">
        <f t="shared" si="351"/>
        <v>0</v>
      </c>
      <c r="BZ53" s="188">
        <f t="shared" ref="BZ53" si="369">SUM(BZ45:BZ52)</f>
        <v>0</v>
      </c>
      <c r="CA53" s="187">
        <f t="shared" si="351"/>
        <v>0</v>
      </c>
      <c r="CB53" s="188">
        <f t="shared" ref="CB53" si="370">SUM(CB45:CB52)</f>
        <v>0</v>
      </c>
      <c r="CC53" s="187">
        <f t="shared" si="351"/>
        <v>0</v>
      </c>
      <c r="CD53" s="188">
        <f t="shared" ref="CD53" si="371">SUM(CD45:CD52)</f>
        <v>0</v>
      </c>
      <c r="CE53" s="187">
        <f>SUM(CE45:CE52)</f>
        <v>0</v>
      </c>
      <c r="CF53" s="188">
        <f>SUM(CF45:CF52)</f>
        <v>0</v>
      </c>
      <c r="CG53" s="187">
        <f t="shared" si="351"/>
        <v>0</v>
      </c>
      <c r="CH53" s="188">
        <f t="shared" ref="CH53" si="372">SUM(CH45:CH52)</f>
        <v>0</v>
      </c>
      <c r="CI53" s="187">
        <f t="shared" si="351"/>
        <v>0</v>
      </c>
      <c r="CJ53" s="188">
        <f t="shared" ref="CJ53" si="373">SUM(CJ45:CJ52)</f>
        <v>0</v>
      </c>
      <c r="CK53" s="187">
        <f t="shared" si="351"/>
        <v>0</v>
      </c>
      <c r="CL53" s="188">
        <f t="shared" ref="CL53" si="374">SUM(CL45:CL52)</f>
        <v>0</v>
      </c>
      <c r="CM53" s="187">
        <f t="shared" si="351"/>
        <v>0</v>
      </c>
      <c r="CN53" s="188">
        <f t="shared" ref="CN53" si="375">SUM(CN45:CN52)</f>
        <v>0</v>
      </c>
      <c r="CO53" s="187">
        <f t="shared" si="351"/>
        <v>0</v>
      </c>
      <c r="CP53" s="188">
        <f t="shared" ref="CP53" si="376">SUM(CP45:CP52)</f>
        <v>0</v>
      </c>
      <c r="CQ53" s="187">
        <f t="shared" si="351"/>
        <v>0</v>
      </c>
      <c r="CR53" s="188">
        <f t="shared" ref="CR53" si="377">SUM(CR45:CR52)</f>
        <v>0</v>
      </c>
      <c r="CS53" s="187">
        <f t="shared" si="351"/>
        <v>0</v>
      </c>
      <c r="CT53" s="188">
        <f t="shared" ref="CT53" si="378">SUM(CT45:CT52)</f>
        <v>0</v>
      </c>
      <c r="CU53" s="187">
        <f t="shared" si="351"/>
        <v>0</v>
      </c>
      <c r="CV53" s="188">
        <f t="shared" ref="CV53" si="379">SUM(CV45:CV52)</f>
        <v>0</v>
      </c>
      <c r="CW53" s="187">
        <f t="shared" si="351"/>
        <v>0</v>
      </c>
      <c r="CX53" s="188">
        <f t="shared" ref="CX53" si="380">SUM(CX45:CX52)</f>
        <v>0</v>
      </c>
      <c r="CY53" s="187">
        <f t="shared" si="351"/>
        <v>0</v>
      </c>
      <c r="CZ53" s="188"/>
      <c r="DA53" s="187">
        <f t="shared" si="351"/>
        <v>0</v>
      </c>
      <c r="DB53" s="188"/>
      <c r="DC53" s="187">
        <f t="shared" si="351"/>
        <v>0</v>
      </c>
      <c r="DD53" s="188">
        <f t="shared" ref="DD53" si="381">SUM(DD45:DD52)</f>
        <v>0</v>
      </c>
      <c r="DE53" s="187">
        <f t="shared" si="351"/>
        <v>32000</v>
      </c>
      <c r="DF53" s="188">
        <f t="shared" ref="DF53" si="382">SUM(DF45:DF52)</f>
        <v>18840</v>
      </c>
      <c r="DG53" s="187">
        <f t="shared" si="351"/>
        <v>0</v>
      </c>
      <c r="DH53" s="188">
        <f t="shared" ref="DH53" si="383">SUM(DH45:DH52)</f>
        <v>0</v>
      </c>
      <c r="DI53" s="187">
        <f t="shared" si="351"/>
        <v>0</v>
      </c>
      <c r="DJ53" s="188">
        <f t="shared" ref="DJ53" si="384">SUM(DJ45:DJ52)</f>
        <v>0</v>
      </c>
      <c r="DK53" s="187">
        <f t="shared" si="351"/>
        <v>0</v>
      </c>
      <c r="DL53" s="188">
        <f t="shared" ref="DL53" si="385">SUM(DL45:DL52)</f>
        <v>0</v>
      </c>
      <c r="DM53" s="187">
        <f t="shared" si="351"/>
        <v>0</v>
      </c>
      <c r="DN53" s="188">
        <f t="shared" ref="DN53" si="386">SUM(DN45:DN52)</f>
        <v>0</v>
      </c>
      <c r="DO53" s="187">
        <f t="shared" si="351"/>
        <v>0</v>
      </c>
      <c r="DP53" s="188">
        <f t="shared" ref="DP53" si="387">SUM(DP45:DP52)</f>
        <v>0</v>
      </c>
      <c r="DQ53" s="187">
        <f t="shared" si="351"/>
        <v>0</v>
      </c>
      <c r="DR53" s="188"/>
      <c r="DS53" s="187">
        <f t="shared" si="351"/>
        <v>0</v>
      </c>
      <c r="DT53" s="188">
        <f t="shared" ref="DT53" si="388">SUM(DT45:DT52)</f>
        <v>0</v>
      </c>
      <c r="DU53" s="187"/>
      <c r="DV53" s="188"/>
    </row>
    <row r="54" spans="1:126" x14ac:dyDescent="0.2">
      <c r="A54" s="183" t="s">
        <v>901</v>
      </c>
      <c r="B54" s="183" t="s">
        <v>902</v>
      </c>
      <c r="C54" s="184">
        <f t="shared" si="342"/>
        <v>0</v>
      </c>
      <c r="D54" s="185">
        <f t="shared" si="338"/>
        <v>0</v>
      </c>
      <c r="E54" s="184">
        <f t="shared" ref="E54:E65" si="389">K54+M54+O53:O54+Q54+S54+U54+W54+Y54+AA54+AC54+AE54+AI54</f>
        <v>0</v>
      </c>
      <c r="F54" s="185">
        <f t="shared" ref="F54:F65" si="390">L54+N54+P53:P54+R54+T54+V54+X54+Z54+AB54+AD54+AF54+AJ54+AH54</f>
        <v>0</v>
      </c>
      <c r="G54" s="184">
        <f t="shared" ref="G54:H65" si="391">AK54+AM54+AO54+AQ54+AS54+AU54+AW54+AY54+BA54+BC54+BE54+BG54+BI54+BK54+BM54+BO54+BQ54+BS54+BU54+BW54+BY54+CA54+CC54+CE54+CG54+CI54+CK54+CM54+CO54+CQ54+CS54+CU54+CW54+DA54+CY54+DC54+DE54+DG54+DI54+DK54+DM54+DO54+DQ54+DS54+DU54</f>
        <v>0</v>
      </c>
      <c r="H54" s="185">
        <f t="shared" si="391"/>
        <v>0</v>
      </c>
      <c r="I54" s="184"/>
      <c r="J54" s="185"/>
      <c r="K54" s="184"/>
      <c r="L54" s="185"/>
      <c r="M54" s="184"/>
      <c r="N54" s="185"/>
      <c r="O54" s="184"/>
      <c r="P54" s="185"/>
      <c r="Q54" s="184"/>
      <c r="R54" s="185"/>
      <c r="S54" s="184"/>
      <c r="T54" s="185"/>
      <c r="U54" s="184"/>
      <c r="V54" s="185"/>
      <c r="W54" s="184"/>
      <c r="X54" s="185"/>
      <c r="Y54" s="184"/>
      <c r="Z54" s="185"/>
      <c r="AA54" s="184"/>
      <c r="AB54" s="185"/>
      <c r="AC54" s="184"/>
      <c r="AD54" s="185"/>
      <c r="AE54" s="184"/>
      <c r="AF54" s="185"/>
      <c r="AG54" s="184"/>
      <c r="AH54" s="185"/>
      <c r="AI54" s="184"/>
      <c r="AJ54" s="185"/>
      <c r="AK54" s="184"/>
      <c r="AL54" s="185"/>
      <c r="AM54" s="184"/>
      <c r="AN54" s="185"/>
      <c r="AO54" s="184"/>
      <c r="AP54" s="185"/>
      <c r="AQ54" s="184"/>
      <c r="AR54" s="185"/>
      <c r="AS54" s="184"/>
      <c r="AT54" s="185"/>
      <c r="AU54" s="184"/>
      <c r="AV54" s="185"/>
      <c r="AW54" s="184"/>
      <c r="AX54" s="185"/>
      <c r="AY54" s="184"/>
      <c r="AZ54" s="185"/>
      <c r="BA54" s="184"/>
      <c r="BB54" s="185"/>
      <c r="BC54" s="184"/>
      <c r="BD54" s="185"/>
      <c r="BE54" s="184"/>
      <c r="BF54" s="185"/>
      <c r="BG54" s="184"/>
      <c r="BH54" s="185"/>
      <c r="BI54" s="184"/>
      <c r="BJ54" s="185"/>
      <c r="BK54" s="184"/>
      <c r="BL54" s="185"/>
      <c r="BM54" s="184"/>
      <c r="BN54" s="185"/>
      <c r="BO54" s="184"/>
      <c r="BP54" s="185"/>
      <c r="BQ54" s="184"/>
      <c r="BR54" s="185"/>
      <c r="BS54" s="184"/>
      <c r="BT54" s="185"/>
      <c r="BU54" s="184"/>
      <c r="BV54" s="185"/>
      <c r="BW54" s="184"/>
      <c r="BX54" s="185"/>
      <c r="BY54" s="184"/>
      <c r="BZ54" s="185"/>
      <c r="CA54" s="184"/>
      <c r="CB54" s="185"/>
      <c r="CC54" s="184"/>
      <c r="CD54" s="185"/>
      <c r="CE54" s="184"/>
      <c r="CF54" s="185"/>
      <c r="CG54" s="184"/>
      <c r="CH54" s="185"/>
      <c r="CI54" s="184"/>
      <c r="CJ54" s="185"/>
      <c r="CK54" s="184"/>
      <c r="CL54" s="185"/>
      <c r="CM54" s="184"/>
      <c r="CN54" s="185"/>
      <c r="CO54" s="184"/>
      <c r="CP54" s="185"/>
      <c r="CQ54" s="184"/>
      <c r="CR54" s="185"/>
      <c r="CS54" s="184"/>
      <c r="CT54" s="185"/>
      <c r="CU54" s="184"/>
      <c r="CV54" s="185"/>
      <c r="CW54" s="184"/>
      <c r="CX54" s="185"/>
      <c r="CY54" s="184"/>
      <c r="CZ54" s="185"/>
      <c r="DA54" s="184"/>
      <c r="DB54" s="185"/>
      <c r="DC54" s="184"/>
      <c r="DD54" s="185"/>
      <c r="DE54" s="184"/>
      <c r="DF54" s="185"/>
      <c r="DG54" s="184"/>
      <c r="DH54" s="185"/>
      <c r="DI54" s="184"/>
      <c r="DJ54" s="185"/>
      <c r="DK54" s="184"/>
      <c r="DL54" s="185"/>
      <c r="DM54" s="184"/>
      <c r="DN54" s="185"/>
      <c r="DO54" s="184"/>
      <c r="DP54" s="185"/>
      <c r="DQ54" s="184"/>
      <c r="DR54" s="185"/>
      <c r="DS54" s="184"/>
      <c r="DT54" s="185"/>
      <c r="DU54" s="184"/>
      <c r="DV54" s="185"/>
    </row>
    <row r="55" spans="1:126" x14ac:dyDescent="0.2">
      <c r="A55" s="183" t="s">
        <v>903</v>
      </c>
      <c r="B55" s="183" t="s">
        <v>904</v>
      </c>
      <c r="C55" s="184">
        <f t="shared" si="342"/>
        <v>22677</v>
      </c>
      <c r="D55" s="185">
        <f t="shared" si="338"/>
        <v>10000</v>
      </c>
      <c r="E55" s="184">
        <f t="shared" si="389"/>
        <v>12677</v>
      </c>
      <c r="F55" s="185">
        <f t="shared" si="390"/>
        <v>10000</v>
      </c>
      <c r="G55" s="184">
        <f t="shared" si="391"/>
        <v>0</v>
      </c>
      <c r="H55" s="185">
        <f t="shared" si="391"/>
        <v>0</v>
      </c>
      <c r="I55" s="184"/>
      <c r="J55" s="185"/>
      <c r="K55" s="184"/>
      <c r="L55" s="185"/>
      <c r="M55" s="184"/>
      <c r="N55" s="185"/>
      <c r="O55" s="184"/>
      <c r="P55" s="185"/>
      <c r="Q55" s="184"/>
      <c r="R55" s="185"/>
      <c r="S55" s="184"/>
      <c r="T55" s="185"/>
      <c r="U55" s="184"/>
      <c r="V55" s="185"/>
      <c r="W55" s="184"/>
      <c r="X55" s="185"/>
      <c r="Y55" s="184"/>
      <c r="Z55" s="185"/>
      <c r="AA55" s="184"/>
      <c r="AB55" s="185"/>
      <c r="AC55" s="184"/>
      <c r="AD55" s="185"/>
      <c r="AE55" s="184">
        <v>12677</v>
      </c>
      <c r="AF55" s="185">
        <v>10000</v>
      </c>
      <c r="AG55" s="184"/>
      <c r="AH55" s="185">
        <v>0</v>
      </c>
      <c r="AI55" s="184"/>
      <c r="AJ55" s="185"/>
      <c r="AK55" s="184"/>
      <c r="AL55" s="185"/>
      <c r="AM55" s="184"/>
      <c r="AN55" s="185"/>
      <c r="AO55" s="184"/>
      <c r="AP55" s="185"/>
      <c r="AQ55" s="184"/>
      <c r="AR55" s="185"/>
      <c r="AS55" s="184"/>
      <c r="AT55" s="185"/>
      <c r="AU55" s="184"/>
      <c r="AV55" s="185"/>
      <c r="AW55" s="184"/>
      <c r="AX55" s="185"/>
      <c r="AY55" s="184"/>
      <c r="AZ55" s="185"/>
      <c r="BA55" s="184"/>
      <c r="BB55" s="185"/>
      <c r="BC55" s="184"/>
      <c r="BD55" s="185"/>
      <c r="BE55" s="184"/>
      <c r="BF55" s="185"/>
      <c r="BG55" s="184"/>
      <c r="BH55" s="185"/>
      <c r="BI55" s="184"/>
      <c r="BJ55" s="185"/>
      <c r="BK55" s="184"/>
      <c r="BL55" s="185"/>
      <c r="BM55" s="184"/>
      <c r="BN55" s="185"/>
      <c r="BO55" s="184"/>
      <c r="BP55" s="185"/>
      <c r="BQ55" s="184"/>
      <c r="BR55" s="185"/>
      <c r="BS55" s="184"/>
      <c r="BT55" s="185"/>
      <c r="BU55" s="184"/>
      <c r="BV55" s="185"/>
      <c r="BW55" s="184"/>
      <c r="BX55" s="185"/>
      <c r="BY55" s="184"/>
      <c r="BZ55" s="185"/>
      <c r="CA55" s="184"/>
      <c r="CB55" s="185"/>
      <c r="CC55" s="184"/>
      <c r="CD55" s="185"/>
      <c r="CE55" s="184"/>
      <c r="CF55" s="185"/>
      <c r="CG55" s="184"/>
      <c r="CH55" s="185"/>
      <c r="CI55" s="184"/>
      <c r="CJ55" s="185"/>
      <c r="CK55" s="184"/>
      <c r="CL55" s="185"/>
      <c r="CM55" s="184"/>
      <c r="CN55" s="185"/>
      <c r="CO55" s="184"/>
      <c r="CP55" s="185"/>
      <c r="CQ55" s="184"/>
      <c r="CR55" s="185"/>
      <c r="CS55" s="184"/>
      <c r="CT55" s="185"/>
      <c r="CU55" s="184"/>
      <c r="CV55" s="185"/>
      <c r="CW55" s="184"/>
      <c r="CX55" s="185"/>
      <c r="CY55" s="184"/>
      <c r="CZ55" s="185"/>
      <c r="DA55" s="184"/>
      <c r="DB55" s="185"/>
      <c r="DC55" s="184"/>
      <c r="DD55" s="185"/>
      <c r="DE55" s="184"/>
      <c r="DF55" s="185"/>
      <c r="DG55" s="184"/>
      <c r="DH55" s="185"/>
      <c r="DI55" s="184"/>
      <c r="DJ55" s="185"/>
      <c r="DK55" s="184"/>
      <c r="DL55" s="185"/>
      <c r="DM55" s="184"/>
      <c r="DN55" s="185"/>
      <c r="DO55" s="184"/>
      <c r="DP55" s="185"/>
      <c r="DQ55" s="184"/>
      <c r="DR55" s="185"/>
      <c r="DS55" s="184"/>
      <c r="DT55" s="185"/>
      <c r="DU55" s="184"/>
      <c r="DV55" s="185"/>
    </row>
    <row r="56" spans="1:126" x14ac:dyDescent="0.2">
      <c r="A56" s="183" t="s">
        <v>905</v>
      </c>
      <c r="B56" s="193" t="s">
        <v>906</v>
      </c>
      <c r="C56" s="184">
        <f t="shared" si="342"/>
        <v>0</v>
      </c>
      <c r="D56" s="185">
        <f t="shared" si="338"/>
        <v>0</v>
      </c>
      <c r="E56" s="184">
        <f t="shared" si="389"/>
        <v>0</v>
      </c>
      <c r="F56" s="185">
        <f t="shared" si="390"/>
        <v>0</v>
      </c>
      <c r="G56" s="184">
        <f t="shared" si="391"/>
        <v>0</v>
      </c>
      <c r="H56" s="185">
        <f t="shared" si="391"/>
        <v>0</v>
      </c>
      <c r="I56" s="184"/>
      <c r="J56" s="185"/>
      <c r="K56" s="184"/>
      <c r="L56" s="185"/>
      <c r="M56" s="184"/>
      <c r="N56" s="185"/>
      <c r="O56" s="184"/>
      <c r="P56" s="185"/>
      <c r="Q56" s="184"/>
      <c r="R56" s="185"/>
      <c r="S56" s="184"/>
      <c r="T56" s="185"/>
      <c r="U56" s="184"/>
      <c r="V56" s="185"/>
      <c r="W56" s="184"/>
      <c r="X56" s="185"/>
      <c r="Y56" s="184"/>
      <c r="Z56" s="185"/>
      <c r="AA56" s="184"/>
      <c r="AB56" s="185"/>
      <c r="AC56" s="184"/>
      <c r="AD56" s="185"/>
      <c r="AE56" s="184"/>
      <c r="AF56" s="185"/>
      <c r="AG56" s="184"/>
      <c r="AH56" s="185"/>
      <c r="AI56" s="184"/>
      <c r="AJ56" s="185"/>
      <c r="AK56" s="184"/>
      <c r="AL56" s="185"/>
      <c r="AM56" s="184"/>
      <c r="AN56" s="185"/>
      <c r="AO56" s="184"/>
      <c r="AP56" s="185"/>
      <c r="AQ56" s="184"/>
      <c r="AR56" s="185"/>
      <c r="AS56" s="184"/>
      <c r="AT56" s="185"/>
      <c r="AU56" s="184"/>
      <c r="AV56" s="185"/>
      <c r="AW56" s="184"/>
      <c r="AX56" s="185"/>
      <c r="AY56" s="184"/>
      <c r="AZ56" s="185"/>
      <c r="BA56" s="184"/>
      <c r="BB56" s="185"/>
      <c r="BC56" s="184"/>
      <c r="BD56" s="185"/>
      <c r="BE56" s="184"/>
      <c r="BF56" s="185"/>
      <c r="BG56" s="184"/>
      <c r="BH56" s="185"/>
      <c r="BI56" s="184"/>
      <c r="BJ56" s="185"/>
      <c r="BK56" s="184"/>
      <c r="BL56" s="185"/>
      <c r="BM56" s="184"/>
      <c r="BN56" s="185"/>
      <c r="BO56" s="184"/>
      <c r="BP56" s="185"/>
      <c r="BQ56" s="184"/>
      <c r="BR56" s="185"/>
      <c r="BS56" s="184"/>
      <c r="BT56" s="185"/>
      <c r="BU56" s="184"/>
      <c r="BV56" s="185"/>
      <c r="BW56" s="184"/>
      <c r="BX56" s="185"/>
      <c r="BY56" s="184"/>
      <c r="BZ56" s="185"/>
      <c r="CA56" s="184"/>
      <c r="CB56" s="185"/>
      <c r="CC56" s="184"/>
      <c r="CD56" s="185"/>
      <c r="CE56" s="184"/>
      <c r="CF56" s="185"/>
      <c r="CG56" s="184"/>
      <c r="CH56" s="185"/>
      <c r="CI56" s="184"/>
      <c r="CJ56" s="185"/>
      <c r="CK56" s="184"/>
      <c r="CL56" s="185"/>
      <c r="CM56" s="184"/>
      <c r="CN56" s="185"/>
      <c r="CO56" s="184"/>
      <c r="CP56" s="185"/>
      <c r="CQ56" s="184"/>
      <c r="CR56" s="185"/>
      <c r="CS56" s="184"/>
      <c r="CT56" s="185"/>
      <c r="CU56" s="184"/>
      <c r="CV56" s="185"/>
      <c r="CW56" s="184"/>
      <c r="CX56" s="185"/>
      <c r="CY56" s="184"/>
      <c r="CZ56" s="185"/>
      <c r="DA56" s="184"/>
      <c r="DB56" s="185"/>
      <c r="DC56" s="184"/>
      <c r="DD56" s="185"/>
      <c r="DE56" s="184"/>
      <c r="DF56" s="185"/>
      <c r="DG56" s="184"/>
      <c r="DH56" s="185"/>
      <c r="DI56" s="184"/>
      <c r="DJ56" s="185"/>
      <c r="DK56" s="184"/>
      <c r="DL56" s="185"/>
      <c r="DM56" s="184"/>
      <c r="DN56" s="185"/>
      <c r="DO56" s="184"/>
      <c r="DP56" s="185"/>
      <c r="DQ56" s="184"/>
      <c r="DR56" s="185"/>
      <c r="DS56" s="184"/>
      <c r="DT56" s="185"/>
      <c r="DU56" s="184"/>
      <c r="DV56" s="185"/>
    </row>
    <row r="57" spans="1:126" x14ac:dyDescent="0.2">
      <c r="A57" s="183" t="s">
        <v>907</v>
      </c>
      <c r="B57" s="193" t="s">
        <v>908</v>
      </c>
      <c r="C57" s="184">
        <f t="shared" si="342"/>
        <v>0</v>
      </c>
      <c r="D57" s="185">
        <f t="shared" si="338"/>
        <v>0</v>
      </c>
      <c r="E57" s="184">
        <f t="shared" si="389"/>
        <v>0</v>
      </c>
      <c r="F57" s="185">
        <f t="shared" si="390"/>
        <v>0</v>
      </c>
      <c r="G57" s="184">
        <f t="shared" si="391"/>
        <v>0</v>
      </c>
      <c r="H57" s="185">
        <f t="shared" si="391"/>
        <v>0</v>
      </c>
      <c r="I57" s="184"/>
      <c r="J57" s="185"/>
      <c r="K57" s="184"/>
      <c r="L57" s="185"/>
      <c r="M57" s="184"/>
      <c r="N57" s="185"/>
      <c r="O57" s="184"/>
      <c r="P57" s="185"/>
      <c r="Q57" s="184"/>
      <c r="R57" s="185"/>
      <c r="S57" s="184"/>
      <c r="T57" s="185"/>
      <c r="U57" s="184"/>
      <c r="V57" s="185"/>
      <c r="W57" s="184"/>
      <c r="X57" s="185"/>
      <c r="Y57" s="184"/>
      <c r="Z57" s="185"/>
      <c r="AA57" s="184"/>
      <c r="AB57" s="185"/>
      <c r="AC57" s="184"/>
      <c r="AD57" s="185"/>
      <c r="AE57" s="184"/>
      <c r="AF57" s="185"/>
      <c r="AG57" s="184"/>
      <c r="AH57" s="185"/>
      <c r="AI57" s="184"/>
      <c r="AJ57" s="185"/>
      <c r="AK57" s="184"/>
      <c r="AL57" s="185"/>
      <c r="AM57" s="184"/>
      <c r="AN57" s="185"/>
      <c r="AO57" s="184"/>
      <c r="AP57" s="185"/>
      <c r="AQ57" s="184"/>
      <c r="AR57" s="185"/>
      <c r="AS57" s="184"/>
      <c r="AT57" s="185"/>
      <c r="AU57" s="184"/>
      <c r="AV57" s="185"/>
      <c r="AW57" s="184"/>
      <c r="AX57" s="185"/>
      <c r="AY57" s="184"/>
      <c r="AZ57" s="185"/>
      <c r="BA57" s="184"/>
      <c r="BB57" s="185"/>
      <c r="BC57" s="184"/>
      <c r="BD57" s="185"/>
      <c r="BE57" s="184"/>
      <c r="BF57" s="185"/>
      <c r="BG57" s="184"/>
      <c r="BH57" s="185"/>
      <c r="BI57" s="184"/>
      <c r="BJ57" s="185"/>
      <c r="BK57" s="184"/>
      <c r="BL57" s="185"/>
      <c r="BM57" s="184"/>
      <c r="BN57" s="185"/>
      <c r="BO57" s="184"/>
      <c r="BP57" s="185"/>
      <c r="BQ57" s="184"/>
      <c r="BR57" s="185"/>
      <c r="BS57" s="184"/>
      <c r="BT57" s="185"/>
      <c r="BU57" s="184"/>
      <c r="BV57" s="185"/>
      <c r="BW57" s="184"/>
      <c r="BX57" s="185"/>
      <c r="BY57" s="184"/>
      <c r="BZ57" s="185"/>
      <c r="CA57" s="184"/>
      <c r="CB57" s="185"/>
      <c r="CC57" s="184"/>
      <c r="CD57" s="185"/>
      <c r="CE57" s="184"/>
      <c r="CF57" s="185"/>
      <c r="CG57" s="184"/>
      <c r="CH57" s="185"/>
      <c r="CI57" s="184"/>
      <c r="CJ57" s="185"/>
      <c r="CK57" s="184"/>
      <c r="CL57" s="185"/>
      <c r="CM57" s="184"/>
      <c r="CN57" s="185"/>
      <c r="CO57" s="184"/>
      <c r="CP57" s="185"/>
      <c r="CQ57" s="184"/>
      <c r="CR57" s="185"/>
      <c r="CS57" s="184"/>
      <c r="CT57" s="185"/>
      <c r="CU57" s="184"/>
      <c r="CV57" s="185"/>
      <c r="CW57" s="184"/>
      <c r="CX57" s="185"/>
      <c r="CY57" s="184"/>
      <c r="CZ57" s="185"/>
      <c r="DA57" s="184"/>
      <c r="DB57" s="185"/>
      <c r="DC57" s="184"/>
      <c r="DD57" s="185"/>
      <c r="DE57" s="184"/>
      <c r="DF57" s="185"/>
      <c r="DG57" s="184"/>
      <c r="DH57" s="185"/>
      <c r="DI57" s="184"/>
      <c r="DJ57" s="185"/>
      <c r="DK57" s="184"/>
      <c r="DL57" s="185"/>
      <c r="DM57" s="184"/>
      <c r="DN57" s="185"/>
      <c r="DO57" s="184"/>
      <c r="DP57" s="185"/>
      <c r="DQ57" s="184"/>
      <c r="DR57" s="185"/>
      <c r="DS57" s="184"/>
      <c r="DT57" s="185"/>
      <c r="DU57" s="184"/>
      <c r="DV57" s="185"/>
    </row>
    <row r="58" spans="1:126" x14ac:dyDescent="0.2">
      <c r="A58" s="183" t="s">
        <v>909</v>
      </c>
      <c r="B58" s="193" t="s">
        <v>910</v>
      </c>
      <c r="C58" s="184">
        <f t="shared" si="342"/>
        <v>0</v>
      </c>
      <c r="D58" s="185">
        <f t="shared" si="338"/>
        <v>0</v>
      </c>
      <c r="E58" s="184">
        <f t="shared" si="389"/>
        <v>0</v>
      </c>
      <c r="F58" s="185">
        <f t="shared" si="390"/>
        <v>0</v>
      </c>
      <c r="G58" s="184">
        <f t="shared" si="391"/>
        <v>0</v>
      </c>
      <c r="H58" s="185">
        <f t="shared" si="391"/>
        <v>0</v>
      </c>
      <c r="I58" s="184"/>
      <c r="J58" s="185"/>
      <c r="K58" s="184"/>
      <c r="L58" s="185"/>
      <c r="M58" s="184"/>
      <c r="N58" s="185"/>
      <c r="O58" s="184"/>
      <c r="P58" s="185"/>
      <c r="Q58" s="184"/>
      <c r="R58" s="185"/>
      <c r="S58" s="184"/>
      <c r="T58" s="185"/>
      <c r="U58" s="184"/>
      <c r="V58" s="185"/>
      <c r="W58" s="184"/>
      <c r="X58" s="185"/>
      <c r="Y58" s="184"/>
      <c r="Z58" s="185"/>
      <c r="AA58" s="184"/>
      <c r="AB58" s="185"/>
      <c r="AC58" s="184"/>
      <c r="AD58" s="185"/>
      <c r="AE58" s="184"/>
      <c r="AF58" s="185"/>
      <c r="AG58" s="184"/>
      <c r="AH58" s="185"/>
      <c r="AI58" s="184"/>
      <c r="AJ58" s="185"/>
      <c r="AK58" s="184"/>
      <c r="AL58" s="185"/>
      <c r="AM58" s="184"/>
      <c r="AN58" s="185"/>
      <c r="AO58" s="184"/>
      <c r="AP58" s="185"/>
      <c r="AQ58" s="184"/>
      <c r="AR58" s="185"/>
      <c r="AS58" s="184"/>
      <c r="AT58" s="185"/>
      <c r="AU58" s="184"/>
      <c r="AV58" s="185"/>
      <c r="AW58" s="184"/>
      <c r="AX58" s="185"/>
      <c r="AY58" s="184"/>
      <c r="AZ58" s="185"/>
      <c r="BA58" s="184"/>
      <c r="BB58" s="185"/>
      <c r="BC58" s="184"/>
      <c r="BD58" s="185"/>
      <c r="BE58" s="184"/>
      <c r="BF58" s="185"/>
      <c r="BG58" s="184"/>
      <c r="BH58" s="185"/>
      <c r="BI58" s="184"/>
      <c r="BJ58" s="185"/>
      <c r="BK58" s="184"/>
      <c r="BL58" s="185"/>
      <c r="BM58" s="184"/>
      <c r="BN58" s="185"/>
      <c r="BO58" s="184"/>
      <c r="BP58" s="185"/>
      <c r="BQ58" s="184"/>
      <c r="BR58" s="185"/>
      <c r="BS58" s="184"/>
      <c r="BT58" s="185"/>
      <c r="BU58" s="184"/>
      <c r="BV58" s="185"/>
      <c r="BW58" s="184"/>
      <c r="BX58" s="185"/>
      <c r="BY58" s="184"/>
      <c r="BZ58" s="185"/>
      <c r="CA58" s="184"/>
      <c r="CB58" s="185"/>
      <c r="CC58" s="184"/>
      <c r="CD58" s="185"/>
      <c r="CE58" s="184"/>
      <c r="CF58" s="185"/>
      <c r="CG58" s="184"/>
      <c r="CH58" s="185"/>
      <c r="CI58" s="184"/>
      <c r="CJ58" s="185"/>
      <c r="CK58" s="184"/>
      <c r="CL58" s="185"/>
      <c r="CM58" s="184"/>
      <c r="CN58" s="185"/>
      <c r="CO58" s="184"/>
      <c r="CP58" s="185"/>
      <c r="CQ58" s="184"/>
      <c r="CR58" s="185"/>
      <c r="CS58" s="184"/>
      <c r="CT58" s="185"/>
      <c r="CU58" s="184"/>
      <c r="CV58" s="185"/>
      <c r="CW58" s="184"/>
      <c r="CX58" s="185"/>
      <c r="CY58" s="184"/>
      <c r="CZ58" s="185"/>
      <c r="DA58" s="184"/>
      <c r="DB58" s="185"/>
      <c r="DC58" s="184"/>
      <c r="DD58" s="185"/>
      <c r="DE58" s="184"/>
      <c r="DF58" s="185"/>
      <c r="DG58" s="184"/>
      <c r="DH58" s="185"/>
      <c r="DI58" s="184"/>
      <c r="DJ58" s="185"/>
      <c r="DK58" s="184"/>
      <c r="DL58" s="185"/>
      <c r="DM58" s="184"/>
      <c r="DN58" s="185"/>
      <c r="DO58" s="184"/>
      <c r="DP58" s="185"/>
      <c r="DQ58" s="184"/>
      <c r="DR58" s="185"/>
      <c r="DS58" s="184"/>
      <c r="DT58" s="185"/>
      <c r="DU58" s="184"/>
      <c r="DV58" s="185"/>
    </row>
    <row r="59" spans="1:126" x14ac:dyDescent="0.2">
      <c r="A59" s="183" t="s">
        <v>911</v>
      </c>
      <c r="B59" s="193" t="s">
        <v>912</v>
      </c>
      <c r="C59" s="184">
        <f>SUM(I59:DU59)</f>
        <v>74810</v>
      </c>
      <c r="D59" s="185">
        <f t="shared" si="338"/>
        <v>35106</v>
      </c>
      <c r="E59" s="184">
        <f t="shared" si="389"/>
        <v>0</v>
      </c>
      <c r="F59" s="185">
        <f t="shared" si="390"/>
        <v>0</v>
      </c>
      <c r="G59" s="184">
        <f t="shared" si="391"/>
        <v>39904</v>
      </c>
      <c r="H59" s="185">
        <f t="shared" si="391"/>
        <v>35106</v>
      </c>
      <c r="I59" s="184"/>
      <c r="J59" s="185"/>
      <c r="K59" s="184"/>
      <c r="L59" s="185"/>
      <c r="M59" s="184"/>
      <c r="N59" s="185"/>
      <c r="O59" s="184"/>
      <c r="P59" s="185"/>
      <c r="Q59" s="184"/>
      <c r="R59" s="185"/>
      <c r="S59" s="184"/>
      <c r="T59" s="185"/>
      <c r="U59" s="184"/>
      <c r="V59" s="185"/>
      <c r="W59" s="184"/>
      <c r="X59" s="185"/>
      <c r="Y59" s="184"/>
      <c r="Z59" s="185"/>
      <c r="AA59" s="184"/>
      <c r="AB59" s="185"/>
      <c r="AC59" s="184"/>
      <c r="AD59" s="185"/>
      <c r="AE59" s="184"/>
      <c r="AF59" s="185"/>
      <c r="AG59" s="184"/>
      <c r="AH59" s="185"/>
      <c r="AI59" s="184"/>
      <c r="AJ59" s="185"/>
      <c r="AK59" s="184"/>
      <c r="AL59" s="185"/>
      <c r="AM59" s="184"/>
      <c r="AN59" s="185"/>
      <c r="AO59" s="184"/>
      <c r="AP59" s="185"/>
      <c r="AQ59" s="184"/>
      <c r="AR59" s="185"/>
      <c r="AS59" s="184">
        <v>1000</v>
      </c>
      <c r="AT59" s="185">
        <v>2000</v>
      </c>
      <c r="AU59" s="184"/>
      <c r="AV59" s="185"/>
      <c r="AW59" s="184"/>
      <c r="AX59" s="185"/>
      <c r="AY59" s="184"/>
      <c r="AZ59" s="185"/>
      <c r="BA59" s="184"/>
      <c r="BB59" s="185"/>
      <c r="BC59" s="184"/>
      <c r="BD59" s="185"/>
      <c r="BE59" s="184"/>
      <c r="BF59" s="185"/>
      <c r="BG59" s="184"/>
      <c r="BH59" s="185"/>
      <c r="BI59" s="184"/>
      <c r="BJ59" s="185"/>
      <c r="BK59" s="184"/>
      <c r="BL59" s="185"/>
      <c r="BM59" s="184"/>
      <c r="BN59" s="185"/>
      <c r="BO59" s="184"/>
      <c r="BP59" s="185"/>
      <c r="BQ59" s="184">
        <v>11818</v>
      </c>
      <c r="BR59" s="185">
        <v>8163</v>
      </c>
      <c r="BS59" s="184">
        <f>2000</f>
        <v>2000</v>
      </c>
      <c r="BT59" s="185">
        <f>2363+260</f>
        <v>2623</v>
      </c>
      <c r="BU59" s="184">
        <f>14120+5000</f>
        <v>19120</v>
      </c>
      <c r="BV59" s="185">
        <f>14120+5000</f>
        <v>19120</v>
      </c>
      <c r="BW59" s="184">
        <v>2000</v>
      </c>
      <c r="BX59" s="185">
        <v>2000</v>
      </c>
      <c r="BY59" s="184">
        <f>2766+1000</f>
        <v>3766</v>
      </c>
      <c r="BZ59" s="185">
        <f>1000</f>
        <v>1000</v>
      </c>
      <c r="CA59" s="184"/>
      <c r="CB59" s="185"/>
      <c r="CC59" s="184"/>
      <c r="CD59" s="185"/>
      <c r="CE59" s="184"/>
      <c r="CF59" s="185"/>
      <c r="CG59" s="184"/>
      <c r="CH59" s="185"/>
      <c r="CI59" s="184"/>
      <c r="CJ59" s="185"/>
      <c r="CK59" s="184"/>
      <c r="CL59" s="185"/>
      <c r="CM59" s="184"/>
      <c r="CN59" s="185"/>
      <c r="CO59" s="184"/>
      <c r="CP59" s="185"/>
      <c r="CQ59" s="184"/>
      <c r="CR59" s="185"/>
      <c r="CS59" s="184"/>
      <c r="CT59" s="185"/>
      <c r="CU59" s="184"/>
      <c r="CV59" s="185"/>
      <c r="CW59" s="184"/>
      <c r="CX59" s="185"/>
      <c r="CY59" s="184"/>
      <c r="CZ59" s="185"/>
      <c r="DA59" s="184"/>
      <c r="DB59" s="185"/>
      <c r="DC59" s="184"/>
      <c r="DD59" s="185"/>
      <c r="DE59" s="184"/>
      <c r="DF59" s="185"/>
      <c r="DG59" s="184"/>
      <c r="DH59" s="185"/>
      <c r="DI59" s="184"/>
      <c r="DJ59" s="185"/>
      <c r="DK59" s="184"/>
      <c r="DL59" s="185"/>
      <c r="DM59" s="184"/>
      <c r="DN59" s="185"/>
      <c r="DO59" s="184"/>
      <c r="DP59" s="185"/>
      <c r="DQ59" s="184"/>
      <c r="DR59" s="185"/>
      <c r="DS59" s="184"/>
      <c r="DT59" s="185"/>
      <c r="DU59" s="184">
        <v>200</v>
      </c>
      <c r="DV59" s="185">
        <v>200</v>
      </c>
    </row>
    <row r="60" spans="1:126" x14ac:dyDescent="0.2">
      <c r="A60" s="183" t="s">
        <v>913</v>
      </c>
      <c r="B60" s="193" t="s">
        <v>914</v>
      </c>
      <c r="C60" s="184">
        <f t="shared" si="342"/>
        <v>0</v>
      </c>
      <c r="D60" s="185">
        <f t="shared" si="338"/>
        <v>0</v>
      </c>
      <c r="E60" s="184">
        <f t="shared" si="389"/>
        <v>0</v>
      </c>
      <c r="F60" s="185">
        <f t="shared" si="390"/>
        <v>0</v>
      </c>
      <c r="G60" s="184">
        <f t="shared" si="391"/>
        <v>0</v>
      </c>
      <c r="H60" s="185">
        <f t="shared" si="391"/>
        <v>0</v>
      </c>
      <c r="I60" s="184"/>
      <c r="J60" s="185"/>
      <c r="K60" s="184"/>
      <c r="L60" s="185"/>
      <c r="M60" s="184"/>
      <c r="N60" s="185"/>
      <c r="O60" s="184"/>
      <c r="P60" s="185"/>
      <c r="Q60" s="184"/>
      <c r="R60" s="185"/>
      <c r="S60" s="184"/>
      <c r="T60" s="185"/>
      <c r="U60" s="184"/>
      <c r="V60" s="185"/>
      <c r="W60" s="184"/>
      <c r="X60" s="185"/>
      <c r="Y60" s="184"/>
      <c r="Z60" s="185"/>
      <c r="AA60" s="184"/>
      <c r="AB60" s="185"/>
      <c r="AC60" s="184"/>
      <c r="AD60" s="185"/>
      <c r="AE60" s="184"/>
      <c r="AF60" s="185"/>
      <c r="AG60" s="184"/>
      <c r="AH60" s="185"/>
      <c r="AI60" s="184"/>
      <c r="AJ60" s="185"/>
      <c r="AK60" s="184"/>
      <c r="AL60" s="185"/>
      <c r="AM60" s="184"/>
      <c r="AN60" s="185"/>
      <c r="AO60" s="184"/>
      <c r="AP60" s="185"/>
      <c r="AQ60" s="184"/>
      <c r="AR60" s="185"/>
      <c r="AS60" s="184"/>
      <c r="AT60" s="185"/>
      <c r="AU60" s="184"/>
      <c r="AV60" s="185"/>
      <c r="AW60" s="184"/>
      <c r="AX60" s="185"/>
      <c r="AY60" s="184"/>
      <c r="AZ60" s="185"/>
      <c r="BA60" s="184"/>
      <c r="BB60" s="185"/>
      <c r="BC60" s="184"/>
      <c r="BD60" s="185"/>
      <c r="BE60" s="184"/>
      <c r="BF60" s="185"/>
      <c r="BG60" s="184"/>
      <c r="BH60" s="185"/>
      <c r="BI60" s="184"/>
      <c r="BJ60" s="185"/>
      <c r="BK60" s="184"/>
      <c r="BL60" s="185"/>
      <c r="BM60" s="184"/>
      <c r="BN60" s="185"/>
      <c r="BO60" s="184"/>
      <c r="BP60" s="185"/>
      <c r="BQ60" s="184"/>
      <c r="BR60" s="185"/>
      <c r="BS60" s="184"/>
      <c r="BT60" s="185"/>
      <c r="BU60" s="184"/>
      <c r="BV60" s="185"/>
      <c r="BW60" s="184"/>
      <c r="BX60" s="185"/>
      <c r="BY60" s="184"/>
      <c r="BZ60" s="185"/>
      <c r="CA60" s="184"/>
      <c r="CB60" s="185"/>
      <c r="CC60" s="184"/>
      <c r="CD60" s="185"/>
      <c r="CE60" s="184"/>
      <c r="CF60" s="185"/>
      <c r="CG60" s="184"/>
      <c r="CH60" s="185"/>
      <c r="CI60" s="184"/>
      <c r="CJ60" s="185"/>
      <c r="CK60" s="184"/>
      <c r="CL60" s="185"/>
      <c r="CM60" s="184"/>
      <c r="CN60" s="185"/>
      <c r="CO60" s="184"/>
      <c r="CP60" s="185"/>
      <c r="CQ60" s="184"/>
      <c r="CR60" s="185"/>
      <c r="CS60" s="184"/>
      <c r="CT60" s="185"/>
      <c r="CU60" s="184"/>
      <c r="CV60" s="185"/>
      <c r="CW60" s="184"/>
      <c r="CX60" s="185"/>
      <c r="CY60" s="184"/>
      <c r="CZ60" s="185"/>
      <c r="DA60" s="184"/>
      <c r="DB60" s="185"/>
      <c r="DC60" s="184"/>
      <c r="DD60" s="185"/>
      <c r="DE60" s="184"/>
      <c r="DF60" s="185"/>
      <c r="DG60" s="184"/>
      <c r="DH60" s="185"/>
      <c r="DI60" s="184"/>
      <c r="DJ60" s="185"/>
      <c r="DK60" s="184"/>
      <c r="DL60" s="185"/>
      <c r="DM60" s="184"/>
      <c r="DN60" s="185"/>
      <c r="DO60" s="184"/>
      <c r="DP60" s="185"/>
      <c r="DQ60" s="184"/>
      <c r="DR60" s="185"/>
      <c r="DS60" s="184"/>
      <c r="DT60" s="185"/>
      <c r="DU60" s="184"/>
      <c r="DV60" s="185"/>
    </row>
    <row r="61" spans="1:126" x14ac:dyDescent="0.2">
      <c r="A61" s="183" t="s">
        <v>915</v>
      </c>
      <c r="B61" s="193" t="s">
        <v>916</v>
      </c>
      <c r="C61" s="184">
        <f t="shared" si="342"/>
        <v>0</v>
      </c>
      <c r="D61" s="185">
        <f t="shared" si="338"/>
        <v>0</v>
      </c>
      <c r="E61" s="184">
        <f t="shared" si="389"/>
        <v>0</v>
      </c>
      <c r="F61" s="185">
        <f t="shared" si="390"/>
        <v>0</v>
      </c>
      <c r="G61" s="184">
        <f t="shared" si="391"/>
        <v>0</v>
      </c>
      <c r="H61" s="185">
        <f t="shared" si="391"/>
        <v>0</v>
      </c>
      <c r="I61" s="184"/>
      <c r="J61" s="185"/>
      <c r="K61" s="184"/>
      <c r="L61" s="185"/>
      <c r="M61" s="184"/>
      <c r="N61" s="185"/>
      <c r="O61" s="184"/>
      <c r="P61" s="185"/>
      <c r="Q61" s="184"/>
      <c r="R61" s="185"/>
      <c r="S61" s="184"/>
      <c r="T61" s="185"/>
      <c r="U61" s="184"/>
      <c r="V61" s="185"/>
      <c r="W61" s="184"/>
      <c r="X61" s="185"/>
      <c r="Y61" s="184"/>
      <c r="Z61" s="185"/>
      <c r="AA61" s="184"/>
      <c r="AB61" s="185"/>
      <c r="AC61" s="184"/>
      <c r="AD61" s="185"/>
      <c r="AE61" s="184"/>
      <c r="AF61" s="185"/>
      <c r="AG61" s="184"/>
      <c r="AH61" s="185"/>
      <c r="AI61" s="184"/>
      <c r="AJ61" s="185"/>
      <c r="AK61" s="184"/>
      <c r="AL61" s="185"/>
      <c r="AM61" s="184"/>
      <c r="AN61" s="185"/>
      <c r="AO61" s="184"/>
      <c r="AP61" s="185"/>
      <c r="AQ61" s="184"/>
      <c r="AR61" s="185"/>
      <c r="AS61" s="184"/>
      <c r="AT61" s="185"/>
      <c r="AU61" s="184"/>
      <c r="AV61" s="185"/>
      <c r="AW61" s="184"/>
      <c r="AX61" s="185"/>
      <c r="AY61" s="184"/>
      <c r="AZ61" s="185"/>
      <c r="BA61" s="184"/>
      <c r="BB61" s="185"/>
      <c r="BC61" s="184"/>
      <c r="BD61" s="185"/>
      <c r="BE61" s="184"/>
      <c r="BF61" s="185"/>
      <c r="BG61" s="184"/>
      <c r="BH61" s="185"/>
      <c r="BI61" s="184"/>
      <c r="BJ61" s="185"/>
      <c r="BK61" s="184"/>
      <c r="BL61" s="185"/>
      <c r="BM61" s="184"/>
      <c r="BN61" s="185"/>
      <c r="BO61" s="184"/>
      <c r="BP61" s="185"/>
      <c r="BQ61" s="184"/>
      <c r="BR61" s="185"/>
      <c r="BS61" s="184"/>
      <c r="BT61" s="185"/>
      <c r="BU61" s="184"/>
      <c r="BV61" s="185"/>
      <c r="BW61" s="184"/>
      <c r="BX61" s="185"/>
      <c r="BY61" s="184"/>
      <c r="BZ61" s="185"/>
      <c r="CA61" s="184"/>
      <c r="CB61" s="185"/>
      <c r="CC61" s="184"/>
      <c r="CD61" s="185"/>
      <c r="CE61" s="184"/>
      <c r="CF61" s="185"/>
      <c r="CG61" s="184"/>
      <c r="CH61" s="185"/>
      <c r="CI61" s="184"/>
      <c r="CJ61" s="185"/>
      <c r="CK61" s="184"/>
      <c r="CL61" s="185"/>
      <c r="CM61" s="184"/>
      <c r="CN61" s="185"/>
      <c r="CO61" s="184"/>
      <c r="CP61" s="185"/>
      <c r="CQ61" s="184"/>
      <c r="CR61" s="185"/>
      <c r="CS61" s="184"/>
      <c r="CT61" s="185"/>
      <c r="CU61" s="184"/>
      <c r="CV61" s="185"/>
      <c r="CW61" s="184"/>
      <c r="CX61" s="185"/>
      <c r="CY61" s="184"/>
      <c r="CZ61" s="185"/>
      <c r="DA61" s="184"/>
      <c r="DB61" s="185"/>
      <c r="DC61" s="184"/>
      <c r="DD61" s="185"/>
      <c r="DE61" s="184"/>
      <c r="DF61" s="185"/>
      <c r="DG61" s="184"/>
      <c r="DH61" s="185"/>
      <c r="DI61" s="184"/>
      <c r="DJ61" s="185"/>
      <c r="DK61" s="184"/>
      <c r="DL61" s="185"/>
      <c r="DM61" s="184"/>
      <c r="DN61" s="185"/>
      <c r="DO61" s="184"/>
      <c r="DP61" s="185"/>
      <c r="DQ61" s="184"/>
      <c r="DR61" s="185"/>
      <c r="DS61" s="184"/>
      <c r="DT61" s="185"/>
      <c r="DU61" s="184"/>
      <c r="DV61" s="185"/>
    </row>
    <row r="62" spans="1:126" x14ac:dyDescent="0.2">
      <c r="A62" s="183" t="s">
        <v>917</v>
      </c>
      <c r="B62" s="183" t="s">
        <v>918</v>
      </c>
      <c r="C62" s="184">
        <f t="shared" si="342"/>
        <v>0</v>
      </c>
      <c r="D62" s="185">
        <f t="shared" si="338"/>
        <v>0</v>
      </c>
      <c r="E62" s="184">
        <f t="shared" si="389"/>
        <v>0</v>
      </c>
      <c r="F62" s="185">
        <f t="shared" si="390"/>
        <v>0</v>
      </c>
      <c r="G62" s="184">
        <f t="shared" si="391"/>
        <v>0</v>
      </c>
      <c r="H62" s="185">
        <f t="shared" si="391"/>
        <v>0</v>
      </c>
      <c r="I62" s="184"/>
      <c r="J62" s="185"/>
      <c r="K62" s="184"/>
      <c r="L62" s="185"/>
      <c r="M62" s="184"/>
      <c r="N62" s="185"/>
      <c r="O62" s="184"/>
      <c r="P62" s="185"/>
      <c r="Q62" s="184"/>
      <c r="R62" s="185"/>
      <c r="S62" s="184"/>
      <c r="T62" s="185"/>
      <c r="U62" s="184"/>
      <c r="V62" s="185"/>
      <c r="W62" s="184"/>
      <c r="X62" s="185"/>
      <c r="Y62" s="184"/>
      <c r="Z62" s="185"/>
      <c r="AA62" s="184"/>
      <c r="AB62" s="185"/>
      <c r="AC62" s="184"/>
      <c r="AD62" s="185"/>
      <c r="AE62" s="184"/>
      <c r="AF62" s="185"/>
      <c r="AG62" s="184"/>
      <c r="AH62" s="185"/>
      <c r="AI62" s="184"/>
      <c r="AJ62" s="185"/>
      <c r="AK62" s="184"/>
      <c r="AL62" s="185"/>
      <c r="AM62" s="184"/>
      <c r="AN62" s="185"/>
      <c r="AO62" s="184"/>
      <c r="AP62" s="185"/>
      <c r="AQ62" s="184"/>
      <c r="AR62" s="185"/>
      <c r="AS62" s="184"/>
      <c r="AT62" s="185"/>
      <c r="AU62" s="184"/>
      <c r="AV62" s="185"/>
      <c r="AW62" s="184"/>
      <c r="AX62" s="185"/>
      <c r="AY62" s="184"/>
      <c r="AZ62" s="185"/>
      <c r="BA62" s="184"/>
      <c r="BB62" s="185"/>
      <c r="BC62" s="184"/>
      <c r="BD62" s="185"/>
      <c r="BE62" s="184"/>
      <c r="BF62" s="185"/>
      <c r="BG62" s="184"/>
      <c r="BH62" s="185"/>
      <c r="BI62" s="184"/>
      <c r="BJ62" s="185"/>
      <c r="BK62" s="184"/>
      <c r="BL62" s="185"/>
      <c r="BM62" s="184"/>
      <c r="BN62" s="185"/>
      <c r="BO62" s="184"/>
      <c r="BP62" s="185"/>
      <c r="BQ62" s="184"/>
      <c r="BR62" s="185"/>
      <c r="BS62" s="184"/>
      <c r="BT62" s="185"/>
      <c r="BU62" s="184"/>
      <c r="BV62" s="185"/>
      <c r="BW62" s="184"/>
      <c r="BX62" s="185"/>
      <c r="BY62" s="184"/>
      <c r="BZ62" s="185"/>
      <c r="CA62" s="184"/>
      <c r="CB62" s="185"/>
      <c r="CC62" s="184"/>
      <c r="CD62" s="185"/>
      <c r="CE62" s="184"/>
      <c r="CF62" s="185"/>
      <c r="CG62" s="184"/>
      <c r="CH62" s="185"/>
      <c r="CI62" s="184"/>
      <c r="CJ62" s="185"/>
      <c r="CK62" s="184"/>
      <c r="CL62" s="185"/>
      <c r="CM62" s="184"/>
      <c r="CN62" s="185"/>
      <c r="CO62" s="184"/>
      <c r="CP62" s="185"/>
      <c r="CQ62" s="184"/>
      <c r="CR62" s="185"/>
      <c r="CS62" s="184"/>
      <c r="CT62" s="185"/>
      <c r="CU62" s="184"/>
      <c r="CV62" s="185"/>
      <c r="CW62" s="184"/>
      <c r="CX62" s="185"/>
      <c r="CY62" s="184"/>
      <c r="CZ62" s="185"/>
      <c r="DA62" s="184"/>
      <c r="DB62" s="185"/>
      <c r="DC62" s="184"/>
      <c r="DD62" s="185"/>
      <c r="DE62" s="184"/>
      <c r="DF62" s="185"/>
      <c r="DG62" s="184"/>
      <c r="DH62" s="185"/>
      <c r="DI62" s="184"/>
      <c r="DJ62" s="185"/>
      <c r="DK62" s="184"/>
      <c r="DL62" s="185"/>
      <c r="DM62" s="184"/>
      <c r="DN62" s="185"/>
      <c r="DO62" s="184"/>
      <c r="DP62" s="185"/>
      <c r="DQ62" s="184"/>
      <c r="DR62" s="185"/>
      <c r="DS62" s="184"/>
      <c r="DT62" s="185"/>
      <c r="DU62" s="184"/>
      <c r="DV62" s="185"/>
    </row>
    <row r="63" spans="1:126" x14ac:dyDescent="0.2">
      <c r="A63" s="183" t="s">
        <v>919</v>
      </c>
      <c r="B63" s="183" t="s">
        <v>920</v>
      </c>
      <c r="C63" s="184">
        <f t="shared" si="342"/>
        <v>0</v>
      </c>
      <c r="D63" s="185">
        <f t="shared" si="338"/>
        <v>0</v>
      </c>
      <c r="E63" s="184">
        <f t="shared" si="389"/>
        <v>0</v>
      </c>
      <c r="F63" s="185">
        <f t="shared" si="390"/>
        <v>0</v>
      </c>
      <c r="G63" s="184">
        <f t="shared" si="391"/>
        <v>0</v>
      </c>
      <c r="H63" s="185">
        <f t="shared" si="391"/>
        <v>0</v>
      </c>
      <c r="I63" s="184"/>
      <c r="J63" s="185"/>
      <c r="K63" s="184"/>
      <c r="L63" s="185"/>
      <c r="M63" s="184"/>
      <c r="N63" s="185"/>
      <c r="O63" s="184"/>
      <c r="P63" s="185"/>
      <c r="Q63" s="184"/>
      <c r="R63" s="185"/>
      <c r="S63" s="184"/>
      <c r="T63" s="185"/>
      <c r="U63" s="184"/>
      <c r="V63" s="185"/>
      <c r="W63" s="184"/>
      <c r="X63" s="185"/>
      <c r="Y63" s="184"/>
      <c r="Z63" s="185"/>
      <c r="AA63" s="184"/>
      <c r="AB63" s="185"/>
      <c r="AC63" s="184"/>
      <c r="AD63" s="185"/>
      <c r="AE63" s="184"/>
      <c r="AF63" s="185"/>
      <c r="AG63" s="184"/>
      <c r="AH63" s="185"/>
      <c r="AI63" s="184"/>
      <c r="AJ63" s="185"/>
      <c r="AK63" s="184"/>
      <c r="AL63" s="185"/>
      <c r="AM63" s="184"/>
      <c r="AN63" s="185"/>
      <c r="AO63" s="184"/>
      <c r="AP63" s="185"/>
      <c r="AQ63" s="184"/>
      <c r="AR63" s="185"/>
      <c r="AS63" s="184"/>
      <c r="AT63" s="185"/>
      <c r="AU63" s="184"/>
      <c r="AV63" s="185"/>
      <c r="AW63" s="184"/>
      <c r="AX63" s="185"/>
      <c r="AY63" s="184"/>
      <c r="AZ63" s="185"/>
      <c r="BA63" s="184"/>
      <c r="BB63" s="185"/>
      <c r="BC63" s="184"/>
      <c r="BD63" s="185"/>
      <c r="BE63" s="184"/>
      <c r="BF63" s="185"/>
      <c r="BG63" s="184"/>
      <c r="BH63" s="185"/>
      <c r="BI63" s="184"/>
      <c r="BJ63" s="185"/>
      <c r="BK63" s="184"/>
      <c r="BL63" s="185"/>
      <c r="BM63" s="184"/>
      <c r="BN63" s="185"/>
      <c r="BO63" s="184"/>
      <c r="BP63" s="185"/>
      <c r="BQ63" s="184"/>
      <c r="BR63" s="185"/>
      <c r="BS63" s="184"/>
      <c r="BT63" s="185"/>
      <c r="BU63" s="184"/>
      <c r="BV63" s="185"/>
      <c r="BW63" s="184"/>
      <c r="BX63" s="185"/>
      <c r="BY63" s="184"/>
      <c r="BZ63" s="185"/>
      <c r="CA63" s="184"/>
      <c r="CB63" s="185"/>
      <c r="CC63" s="184"/>
      <c r="CD63" s="185"/>
      <c r="CE63" s="184"/>
      <c r="CF63" s="185"/>
      <c r="CG63" s="184"/>
      <c r="CH63" s="185"/>
      <c r="CI63" s="184"/>
      <c r="CJ63" s="185"/>
      <c r="CK63" s="184"/>
      <c r="CL63" s="185"/>
      <c r="CM63" s="184"/>
      <c r="CN63" s="185"/>
      <c r="CO63" s="184"/>
      <c r="CP63" s="185"/>
      <c r="CQ63" s="184"/>
      <c r="CR63" s="185"/>
      <c r="CS63" s="184"/>
      <c r="CT63" s="185"/>
      <c r="CU63" s="184"/>
      <c r="CV63" s="185"/>
      <c r="CW63" s="184"/>
      <c r="CX63" s="185"/>
      <c r="CY63" s="184"/>
      <c r="CZ63" s="185"/>
      <c r="DA63" s="184"/>
      <c r="DB63" s="185"/>
      <c r="DC63" s="184"/>
      <c r="DD63" s="185"/>
      <c r="DE63" s="184"/>
      <c r="DF63" s="185"/>
      <c r="DG63" s="184"/>
      <c r="DH63" s="185"/>
      <c r="DI63" s="184"/>
      <c r="DJ63" s="185"/>
      <c r="DK63" s="184"/>
      <c r="DL63" s="185"/>
      <c r="DM63" s="184"/>
      <c r="DN63" s="185"/>
      <c r="DO63" s="184"/>
      <c r="DP63" s="185"/>
      <c r="DQ63" s="184"/>
      <c r="DR63" s="185"/>
      <c r="DS63" s="184"/>
      <c r="DT63" s="185"/>
      <c r="DU63" s="184"/>
      <c r="DV63" s="185"/>
    </row>
    <row r="64" spans="1:126" x14ac:dyDescent="0.2">
      <c r="A64" s="183" t="s">
        <v>921</v>
      </c>
      <c r="B64" s="183" t="s">
        <v>922</v>
      </c>
      <c r="C64" s="184">
        <f t="shared" si="342"/>
        <v>537607</v>
      </c>
      <c r="D64" s="185">
        <f t="shared" si="338"/>
        <v>289756</v>
      </c>
      <c r="E64" s="184">
        <f t="shared" si="389"/>
        <v>0</v>
      </c>
      <c r="F64" s="185">
        <f t="shared" si="390"/>
        <v>0</v>
      </c>
      <c r="G64" s="184">
        <f t="shared" si="391"/>
        <v>247851</v>
      </c>
      <c r="H64" s="185">
        <f t="shared" si="391"/>
        <v>289756</v>
      </c>
      <c r="I64" s="184"/>
      <c r="J64" s="185"/>
      <c r="K64" s="184"/>
      <c r="L64" s="185"/>
      <c r="M64" s="184"/>
      <c r="N64" s="185"/>
      <c r="O64" s="184"/>
      <c r="P64" s="185"/>
      <c r="Q64" s="184"/>
      <c r="R64" s="185"/>
      <c r="S64" s="184"/>
      <c r="T64" s="185"/>
      <c r="U64" s="184"/>
      <c r="V64" s="185"/>
      <c r="W64" s="184"/>
      <c r="X64" s="185"/>
      <c r="Y64" s="184"/>
      <c r="Z64" s="185"/>
      <c r="AA64" s="184"/>
      <c r="AB64" s="185"/>
      <c r="AC64" s="184"/>
      <c r="AD64" s="185"/>
      <c r="AE64" s="184"/>
      <c r="AF64" s="185"/>
      <c r="AG64" s="184"/>
      <c r="AH64" s="185"/>
      <c r="AI64" s="184"/>
      <c r="AJ64" s="185"/>
      <c r="AK64" s="184"/>
      <c r="AL64" s="185"/>
      <c r="AM64" s="184"/>
      <c r="AN64" s="185"/>
      <c r="AO64" s="184"/>
      <c r="AP64" s="185"/>
      <c r="AQ64" s="184"/>
      <c r="AR64" s="185"/>
      <c r="AS64" s="184"/>
      <c r="AT64" s="185"/>
      <c r="AU64" s="184"/>
      <c r="AV64" s="185"/>
      <c r="AW64" s="184"/>
      <c r="AX64" s="185"/>
      <c r="AY64" s="184"/>
      <c r="AZ64" s="185"/>
      <c r="BA64" s="184"/>
      <c r="BB64" s="185"/>
      <c r="BC64" s="184"/>
      <c r="BD64" s="185"/>
      <c r="BE64" s="184"/>
      <c r="BF64" s="185"/>
      <c r="BG64" s="184"/>
      <c r="BH64" s="185"/>
      <c r="BI64" s="184"/>
      <c r="BJ64" s="185"/>
      <c r="BK64" s="184"/>
      <c r="BL64" s="185"/>
      <c r="BM64" s="184"/>
      <c r="BN64" s="185"/>
      <c r="BO64" s="184"/>
      <c r="BP64" s="185"/>
      <c r="BQ64" s="184"/>
      <c r="BR64" s="185"/>
      <c r="BS64" s="184"/>
      <c r="BT64" s="185"/>
      <c r="BU64" s="184"/>
      <c r="BV64" s="185"/>
      <c r="BW64" s="184"/>
      <c r="BX64" s="185"/>
      <c r="BY64" s="184"/>
      <c r="BZ64" s="185"/>
      <c r="CA64" s="184">
        <v>7560</v>
      </c>
      <c r="CB64" s="185">
        <f>6000-1560</f>
        <v>4440</v>
      </c>
      <c r="CC64" s="184">
        <v>5400</v>
      </c>
      <c r="CD64" s="185">
        <v>5400</v>
      </c>
      <c r="CE64" s="184">
        <v>400</v>
      </c>
      <c r="CF64" s="185">
        <v>400</v>
      </c>
      <c r="CG64" s="184"/>
      <c r="CH64" s="185"/>
      <c r="CI64" s="184">
        <v>156331</v>
      </c>
      <c r="CJ64" s="185">
        <f>156331+39084</f>
        <v>195415</v>
      </c>
      <c r="CK64" s="184">
        <v>24888</v>
      </c>
      <c r="CL64" s="185">
        <v>27269</v>
      </c>
      <c r="CM64" s="184">
        <v>3000</v>
      </c>
      <c r="CN64" s="185">
        <v>1500</v>
      </c>
      <c r="CO64" s="184">
        <f>10000-4500+1000</f>
        <v>6500</v>
      </c>
      <c r="CP64" s="185">
        <f>10000-4500+1000</f>
        <v>6500</v>
      </c>
      <c r="CQ64" s="184">
        <v>2572</v>
      </c>
      <c r="CR64" s="185">
        <v>2572</v>
      </c>
      <c r="CS64" s="184"/>
      <c r="CT64" s="185"/>
      <c r="CU64" s="184">
        <f>12000+6000+3000+4500+6000</f>
        <v>31500</v>
      </c>
      <c r="CV64" s="185">
        <f>12000+6000+3000+4500+6000</f>
        <v>31500</v>
      </c>
      <c r="CW64" s="184">
        <v>9500</v>
      </c>
      <c r="CX64" s="185">
        <f>14000+760</f>
        <v>14760</v>
      </c>
      <c r="CY64" s="184"/>
      <c r="CZ64" s="185"/>
      <c r="DA64" s="184"/>
      <c r="DB64" s="185"/>
      <c r="DC64" s="184"/>
      <c r="DD64" s="185"/>
      <c r="DE64" s="184"/>
      <c r="DF64" s="185"/>
      <c r="DG64" s="184">
        <v>200</v>
      </c>
      <c r="DH64" s="185">
        <v>0</v>
      </c>
      <c r="DI64" s="184"/>
      <c r="DJ64" s="185"/>
      <c r="DK64" s="184"/>
      <c r="DL64" s="185"/>
      <c r="DM64" s="184"/>
      <c r="DN64" s="185"/>
      <c r="DO64" s="184"/>
      <c r="DP64" s="185"/>
      <c r="DQ64" s="184"/>
      <c r="DR64" s="185"/>
      <c r="DS64" s="184"/>
      <c r="DT64" s="185"/>
      <c r="DU64" s="184"/>
      <c r="DV64" s="185"/>
    </row>
    <row r="65" spans="1:126" x14ac:dyDescent="0.2">
      <c r="A65" s="183" t="s">
        <v>923</v>
      </c>
      <c r="B65" s="183" t="s">
        <v>924</v>
      </c>
      <c r="C65" s="184" t="e">
        <f t="shared" si="342"/>
        <v>#REF!</v>
      </c>
      <c r="D65" s="185" t="e">
        <f t="shared" si="338"/>
        <v>#REF!</v>
      </c>
      <c r="E65" s="184">
        <f t="shared" si="389"/>
        <v>304858</v>
      </c>
      <c r="F65" s="185" t="e">
        <f t="shared" si="390"/>
        <v>#REF!</v>
      </c>
      <c r="G65" s="184">
        <f t="shared" si="391"/>
        <v>0</v>
      </c>
      <c r="H65" s="185">
        <f t="shared" si="391"/>
        <v>0</v>
      </c>
      <c r="I65" s="184"/>
      <c r="J65" s="185"/>
      <c r="K65" s="184"/>
      <c r="L65" s="185"/>
      <c r="M65" s="184"/>
      <c r="N65" s="185"/>
      <c r="O65" s="184"/>
      <c r="P65" s="185"/>
      <c r="Q65" s="184"/>
      <c r="R65" s="185"/>
      <c r="S65" s="184"/>
      <c r="T65" s="185"/>
      <c r="U65" s="184"/>
      <c r="V65" s="185"/>
      <c r="W65" s="184"/>
      <c r="X65" s="185"/>
      <c r="Y65" s="184"/>
      <c r="Z65" s="185"/>
      <c r="AA65" s="184"/>
      <c r="AB65" s="185"/>
      <c r="AC65" s="184"/>
      <c r="AD65" s="185"/>
      <c r="AE65" s="184">
        <f>'[3]2D Céltartalék'!D24</f>
        <v>304858</v>
      </c>
      <c r="AF65" s="185" t="e">
        <f>'2D Céltartalék'!#REF!</f>
        <v>#REF!</v>
      </c>
      <c r="AG65" s="184"/>
      <c r="AH65" s="185">
        <f>'2D Céltartalék'!D34</f>
        <v>50082</v>
      </c>
      <c r="AI65" s="184"/>
      <c r="AJ65" s="185"/>
      <c r="AK65" s="184"/>
      <c r="AL65" s="185"/>
      <c r="AM65" s="184"/>
      <c r="AN65" s="185"/>
      <c r="AO65" s="184"/>
      <c r="AP65" s="185"/>
      <c r="AQ65" s="184"/>
      <c r="AR65" s="185"/>
      <c r="AS65" s="184"/>
      <c r="AT65" s="185"/>
      <c r="AU65" s="184"/>
      <c r="AV65" s="185"/>
      <c r="AW65" s="184"/>
      <c r="AX65" s="185"/>
      <c r="AY65" s="184"/>
      <c r="AZ65" s="185"/>
      <c r="BA65" s="184"/>
      <c r="BB65" s="185"/>
      <c r="BC65" s="184"/>
      <c r="BD65" s="185"/>
      <c r="BE65" s="184"/>
      <c r="BF65" s="185"/>
      <c r="BG65" s="184"/>
      <c r="BH65" s="185"/>
      <c r="BI65" s="184"/>
      <c r="BJ65" s="185"/>
      <c r="BK65" s="184"/>
      <c r="BL65" s="185"/>
      <c r="BM65" s="184"/>
      <c r="BN65" s="185"/>
      <c r="BO65" s="184"/>
      <c r="BP65" s="185"/>
      <c r="BQ65" s="184"/>
      <c r="BR65" s="185"/>
      <c r="BS65" s="184"/>
      <c r="BT65" s="185"/>
      <c r="BU65" s="184"/>
      <c r="BV65" s="185"/>
      <c r="BW65" s="184"/>
      <c r="BX65" s="185"/>
      <c r="BY65" s="184"/>
      <c r="BZ65" s="185"/>
      <c r="CA65" s="184"/>
      <c r="CB65" s="185"/>
      <c r="CC65" s="184"/>
      <c r="CD65" s="185"/>
      <c r="CE65" s="184"/>
      <c r="CF65" s="185"/>
      <c r="CG65" s="184"/>
      <c r="CH65" s="185"/>
      <c r="CI65" s="184"/>
      <c r="CJ65" s="185"/>
      <c r="CK65" s="184"/>
      <c r="CL65" s="185"/>
      <c r="CM65" s="184"/>
      <c r="CN65" s="185"/>
      <c r="CO65" s="184"/>
      <c r="CP65" s="185"/>
      <c r="CQ65" s="184"/>
      <c r="CR65" s="185"/>
      <c r="CS65" s="184"/>
      <c r="CT65" s="185"/>
      <c r="CU65" s="184"/>
      <c r="CV65" s="185"/>
      <c r="CW65" s="184"/>
      <c r="CX65" s="185"/>
      <c r="CY65" s="184"/>
      <c r="CZ65" s="185"/>
      <c r="DA65" s="184"/>
      <c r="DB65" s="185"/>
      <c r="DC65" s="184"/>
      <c r="DD65" s="185"/>
      <c r="DE65" s="184"/>
      <c r="DF65" s="185"/>
      <c r="DG65" s="184"/>
      <c r="DH65" s="185"/>
      <c r="DI65" s="184"/>
      <c r="DJ65" s="185"/>
      <c r="DK65" s="184"/>
      <c r="DL65" s="185"/>
      <c r="DM65" s="184"/>
      <c r="DN65" s="185"/>
      <c r="DO65" s="184"/>
      <c r="DP65" s="185"/>
      <c r="DQ65" s="184"/>
      <c r="DR65" s="185"/>
      <c r="DS65" s="184"/>
      <c r="DT65" s="185"/>
      <c r="DU65" s="184"/>
      <c r="DV65" s="185"/>
    </row>
    <row r="66" spans="1:126" x14ac:dyDescent="0.2">
      <c r="A66" s="186" t="s">
        <v>925</v>
      </c>
      <c r="B66" s="186" t="s">
        <v>339</v>
      </c>
      <c r="C66" s="187" t="e">
        <f t="shared" ref="C66:I66" si="392">SUM(C54:C65)</f>
        <v>#REF!</v>
      </c>
      <c r="D66" s="188" t="e">
        <f t="shared" si="392"/>
        <v>#REF!</v>
      </c>
      <c r="E66" s="187">
        <f t="shared" si="392"/>
        <v>317535</v>
      </c>
      <c r="F66" s="188" t="e">
        <f t="shared" si="392"/>
        <v>#REF!</v>
      </c>
      <c r="G66" s="187">
        <f t="shared" si="392"/>
        <v>287755</v>
      </c>
      <c r="H66" s="188">
        <f t="shared" si="392"/>
        <v>324862</v>
      </c>
      <c r="I66" s="187">
        <f t="shared" si="392"/>
        <v>0</v>
      </c>
      <c r="J66" s="188">
        <f t="shared" ref="J66:AO66" si="393">SUM(J54:J65)</f>
        <v>0</v>
      </c>
      <c r="K66" s="187">
        <f t="shared" si="393"/>
        <v>0</v>
      </c>
      <c r="L66" s="188">
        <f t="shared" si="393"/>
        <v>0</v>
      </c>
      <c r="M66" s="187">
        <f t="shared" si="393"/>
        <v>0</v>
      </c>
      <c r="N66" s="188">
        <f t="shared" si="393"/>
        <v>0</v>
      </c>
      <c r="O66" s="187">
        <f t="shared" si="393"/>
        <v>0</v>
      </c>
      <c r="P66" s="188">
        <f t="shared" si="393"/>
        <v>0</v>
      </c>
      <c r="Q66" s="187">
        <f t="shared" si="393"/>
        <v>0</v>
      </c>
      <c r="R66" s="188">
        <f t="shared" si="393"/>
        <v>0</v>
      </c>
      <c r="S66" s="187">
        <f t="shared" si="393"/>
        <v>0</v>
      </c>
      <c r="T66" s="188">
        <f t="shared" ref="T66" si="394">SUM(T54:T65)</f>
        <v>0</v>
      </c>
      <c r="U66" s="187">
        <f t="shared" si="393"/>
        <v>0</v>
      </c>
      <c r="V66" s="188">
        <f t="shared" ref="V66" si="395">SUM(V54:V65)</f>
        <v>0</v>
      </c>
      <c r="W66" s="187">
        <f t="shared" si="393"/>
        <v>0</v>
      </c>
      <c r="X66" s="188">
        <f t="shared" si="393"/>
        <v>0</v>
      </c>
      <c r="Y66" s="187">
        <f t="shared" si="393"/>
        <v>0</v>
      </c>
      <c r="Z66" s="188">
        <f t="shared" si="393"/>
        <v>0</v>
      </c>
      <c r="AA66" s="187">
        <f t="shared" si="393"/>
        <v>0</v>
      </c>
      <c r="AB66" s="188">
        <f t="shared" ref="AB66" si="396">SUM(AB54:AB65)</f>
        <v>0</v>
      </c>
      <c r="AC66" s="187">
        <f t="shared" si="393"/>
        <v>0</v>
      </c>
      <c r="AD66" s="188">
        <f t="shared" ref="AD66" si="397">SUM(AD54:AD65)</f>
        <v>0</v>
      </c>
      <c r="AE66" s="187">
        <f t="shared" si="393"/>
        <v>317535</v>
      </c>
      <c r="AF66" s="188" t="e">
        <f t="shared" ref="AF66:AH66" si="398">SUM(AF54:AF65)</f>
        <v>#REF!</v>
      </c>
      <c r="AG66" s="187"/>
      <c r="AH66" s="188">
        <f t="shared" si="398"/>
        <v>50082</v>
      </c>
      <c r="AI66" s="187">
        <f>SUM(AI54:AI65)</f>
        <v>0</v>
      </c>
      <c r="AJ66" s="188">
        <f>SUM(AJ54:AJ65)</f>
        <v>0</v>
      </c>
      <c r="AK66" s="187">
        <f t="shared" si="393"/>
        <v>0</v>
      </c>
      <c r="AL66" s="188">
        <f t="shared" ref="AL66" si="399">SUM(AL54:AL65)</f>
        <v>0</v>
      </c>
      <c r="AM66" s="187">
        <f t="shared" si="393"/>
        <v>0</v>
      </c>
      <c r="AN66" s="188"/>
      <c r="AO66" s="187">
        <f t="shared" si="393"/>
        <v>0</v>
      </c>
      <c r="AP66" s="188">
        <f t="shared" ref="AP66" si="400">SUM(AP54:AP65)</f>
        <v>0</v>
      </c>
      <c r="AQ66" s="187">
        <f t="shared" ref="AQ66:DU66" si="401">SUM(AQ54:AQ65)</f>
        <v>0</v>
      </c>
      <c r="AR66" s="188">
        <f t="shared" ref="AR66" si="402">SUM(AR54:AR65)</f>
        <v>0</v>
      </c>
      <c r="AS66" s="187">
        <f t="shared" si="401"/>
        <v>1000</v>
      </c>
      <c r="AT66" s="188">
        <f t="shared" ref="AT66" si="403">SUM(AT54:AT65)</f>
        <v>2000</v>
      </c>
      <c r="AU66" s="187">
        <f t="shared" si="401"/>
        <v>0</v>
      </c>
      <c r="AV66" s="188">
        <f t="shared" ref="AV66" si="404">SUM(AV54:AV65)</f>
        <v>0</v>
      </c>
      <c r="AW66" s="187">
        <f t="shared" si="401"/>
        <v>0</v>
      </c>
      <c r="AX66" s="188">
        <f t="shared" ref="AX66" si="405">SUM(AX54:AX65)</f>
        <v>0</v>
      </c>
      <c r="AY66" s="187">
        <f t="shared" si="401"/>
        <v>0</v>
      </c>
      <c r="AZ66" s="188">
        <f t="shared" ref="AZ66" si="406">SUM(AZ54:AZ65)</f>
        <v>0</v>
      </c>
      <c r="BA66" s="187">
        <f t="shared" si="401"/>
        <v>0</v>
      </c>
      <c r="BB66" s="188">
        <f t="shared" ref="BB66" si="407">SUM(BB54:BB65)</f>
        <v>0</v>
      </c>
      <c r="BC66" s="187">
        <f t="shared" si="401"/>
        <v>0</v>
      </c>
      <c r="BD66" s="188">
        <f t="shared" ref="BD66" si="408">SUM(BD54:BD65)</f>
        <v>0</v>
      </c>
      <c r="BE66" s="187">
        <f t="shared" si="401"/>
        <v>0</v>
      </c>
      <c r="BF66" s="188">
        <f t="shared" ref="BF66" si="409">SUM(BF54:BF65)</f>
        <v>0</v>
      </c>
      <c r="BG66" s="187">
        <f t="shared" si="401"/>
        <v>0</v>
      </c>
      <c r="BH66" s="188">
        <f t="shared" ref="BH66" si="410">SUM(BH54:BH65)</f>
        <v>0</v>
      </c>
      <c r="BI66" s="187">
        <f t="shared" si="401"/>
        <v>0</v>
      </c>
      <c r="BJ66" s="188">
        <f t="shared" ref="BJ66" si="411">SUM(BJ54:BJ65)</f>
        <v>0</v>
      </c>
      <c r="BK66" s="187">
        <f t="shared" si="401"/>
        <v>0</v>
      </c>
      <c r="BL66" s="188">
        <f t="shared" ref="BL66" si="412">SUM(BL54:BL65)</f>
        <v>0</v>
      </c>
      <c r="BM66" s="187">
        <f t="shared" si="401"/>
        <v>0</v>
      </c>
      <c r="BN66" s="188">
        <f t="shared" ref="BN66" si="413">SUM(BN54:BN65)</f>
        <v>0</v>
      </c>
      <c r="BO66" s="187">
        <f t="shared" si="401"/>
        <v>0</v>
      </c>
      <c r="BP66" s="188">
        <f t="shared" ref="BP66" si="414">SUM(BP54:BP65)</f>
        <v>0</v>
      </c>
      <c r="BQ66" s="187">
        <f t="shared" si="401"/>
        <v>11818</v>
      </c>
      <c r="BR66" s="188">
        <f t="shared" ref="BR66" si="415">SUM(BR54:BR65)</f>
        <v>8163</v>
      </c>
      <c r="BS66" s="187">
        <f t="shared" si="401"/>
        <v>2000</v>
      </c>
      <c r="BT66" s="188">
        <f t="shared" ref="BT66" si="416">SUM(BT54:BT65)</f>
        <v>2623</v>
      </c>
      <c r="BU66" s="187">
        <f t="shared" si="401"/>
        <v>19120</v>
      </c>
      <c r="BV66" s="188">
        <f t="shared" ref="BV66" si="417">SUM(BV54:BV65)</f>
        <v>19120</v>
      </c>
      <c r="BW66" s="187">
        <f t="shared" si="401"/>
        <v>2000</v>
      </c>
      <c r="BX66" s="188">
        <f t="shared" ref="BX66" si="418">SUM(BX54:BX65)</f>
        <v>2000</v>
      </c>
      <c r="BY66" s="187">
        <f t="shared" si="401"/>
        <v>3766</v>
      </c>
      <c r="BZ66" s="188">
        <f t="shared" ref="BZ66" si="419">SUM(BZ54:BZ65)</f>
        <v>1000</v>
      </c>
      <c r="CA66" s="187">
        <f t="shared" si="401"/>
        <v>7560</v>
      </c>
      <c r="CB66" s="188">
        <f t="shared" ref="CB66" si="420">SUM(CB54:CB65)</f>
        <v>4440</v>
      </c>
      <c r="CC66" s="187">
        <f t="shared" si="401"/>
        <v>5400</v>
      </c>
      <c r="CD66" s="188">
        <f t="shared" ref="CD66" si="421">SUM(CD54:CD65)</f>
        <v>5400</v>
      </c>
      <c r="CE66" s="187">
        <f>SUM(CE54:CE65)</f>
        <v>400</v>
      </c>
      <c r="CF66" s="188">
        <f>SUM(CF54:CF65)</f>
        <v>400</v>
      </c>
      <c r="CG66" s="187">
        <f t="shared" si="401"/>
        <v>0</v>
      </c>
      <c r="CH66" s="188">
        <f t="shared" ref="CH66" si="422">SUM(CH54:CH65)</f>
        <v>0</v>
      </c>
      <c r="CI66" s="187">
        <f t="shared" si="401"/>
        <v>156331</v>
      </c>
      <c r="CJ66" s="188">
        <f t="shared" ref="CJ66" si="423">SUM(CJ54:CJ65)</f>
        <v>195415</v>
      </c>
      <c r="CK66" s="187">
        <f t="shared" si="401"/>
        <v>24888</v>
      </c>
      <c r="CL66" s="188">
        <f t="shared" ref="CL66" si="424">SUM(CL54:CL65)</f>
        <v>27269</v>
      </c>
      <c r="CM66" s="187">
        <f t="shared" si="401"/>
        <v>3000</v>
      </c>
      <c r="CN66" s="188">
        <f t="shared" ref="CN66" si="425">SUM(CN54:CN65)</f>
        <v>1500</v>
      </c>
      <c r="CO66" s="187">
        <f t="shared" si="401"/>
        <v>6500</v>
      </c>
      <c r="CP66" s="188">
        <f t="shared" ref="CP66" si="426">SUM(CP54:CP65)</f>
        <v>6500</v>
      </c>
      <c r="CQ66" s="187">
        <f t="shared" si="401"/>
        <v>2572</v>
      </c>
      <c r="CR66" s="188">
        <f t="shared" ref="CR66" si="427">SUM(CR54:CR65)</f>
        <v>2572</v>
      </c>
      <c r="CS66" s="187">
        <f t="shared" si="401"/>
        <v>0</v>
      </c>
      <c r="CT66" s="188">
        <f t="shared" ref="CT66" si="428">SUM(CT54:CT65)</f>
        <v>0</v>
      </c>
      <c r="CU66" s="187">
        <f t="shared" si="401"/>
        <v>31500</v>
      </c>
      <c r="CV66" s="188">
        <f t="shared" ref="CV66" si="429">SUM(CV54:CV65)</f>
        <v>31500</v>
      </c>
      <c r="CW66" s="187">
        <f t="shared" si="401"/>
        <v>9500</v>
      </c>
      <c r="CX66" s="188">
        <f t="shared" ref="CX66" si="430">SUM(CX54:CX65)</f>
        <v>14760</v>
      </c>
      <c r="CY66" s="187">
        <f t="shared" si="401"/>
        <v>0</v>
      </c>
      <c r="CZ66" s="188"/>
      <c r="DA66" s="187">
        <f t="shared" si="401"/>
        <v>0</v>
      </c>
      <c r="DB66" s="188"/>
      <c r="DC66" s="187">
        <f t="shared" si="401"/>
        <v>0</v>
      </c>
      <c r="DD66" s="188">
        <f t="shared" ref="DD66" si="431">SUM(DD54:DD65)</f>
        <v>0</v>
      </c>
      <c r="DE66" s="187">
        <f t="shared" si="401"/>
        <v>0</v>
      </c>
      <c r="DF66" s="188">
        <f t="shared" ref="DF66" si="432">SUM(DF54:DF65)</f>
        <v>0</v>
      </c>
      <c r="DG66" s="187">
        <f t="shared" si="401"/>
        <v>200</v>
      </c>
      <c r="DH66" s="188">
        <f t="shared" ref="DH66" si="433">SUM(DH54:DH65)</f>
        <v>0</v>
      </c>
      <c r="DI66" s="187">
        <f t="shared" si="401"/>
        <v>0</v>
      </c>
      <c r="DJ66" s="188">
        <f t="shared" ref="DJ66" si="434">SUM(DJ54:DJ65)</f>
        <v>0</v>
      </c>
      <c r="DK66" s="187">
        <f t="shared" si="401"/>
        <v>0</v>
      </c>
      <c r="DL66" s="188">
        <f t="shared" ref="DL66" si="435">SUM(DL54:DL65)</f>
        <v>0</v>
      </c>
      <c r="DM66" s="187">
        <f t="shared" si="401"/>
        <v>0</v>
      </c>
      <c r="DN66" s="188">
        <f t="shared" ref="DN66" si="436">SUM(DN54:DN65)</f>
        <v>0</v>
      </c>
      <c r="DO66" s="187">
        <f t="shared" si="401"/>
        <v>0</v>
      </c>
      <c r="DP66" s="188">
        <f t="shared" ref="DP66" si="437">SUM(DP54:DP65)</f>
        <v>0</v>
      </c>
      <c r="DQ66" s="187">
        <f t="shared" si="401"/>
        <v>0</v>
      </c>
      <c r="DR66" s="188"/>
      <c r="DS66" s="187">
        <f t="shared" si="401"/>
        <v>0</v>
      </c>
      <c r="DT66" s="188">
        <f t="shared" ref="DT66" si="438">SUM(DT54:DT65)</f>
        <v>0</v>
      </c>
      <c r="DU66" s="187">
        <f t="shared" si="401"/>
        <v>200</v>
      </c>
      <c r="DV66" s="188">
        <f t="shared" ref="DV66" si="439">SUM(DV54:DV65)</f>
        <v>200</v>
      </c>
    </row>
    <row r="67" spans="1:126" x14ac:dyDescent="0.2">
      <c r="A67" s="183" t="s">
        <v>195</v>
      </c>
      <c r="B67" s="183" t="s">
        <v>197</v>
      </c>
      <c r="C67" s="184">
        <f t="shared" si="342"/>
        <v>11044</v>
      </c>
      <c r="D67" s="185">
        <f t="shared" si="338"/>
        <v>7874</v>
      </c>
      <c r="E67" s="184">
        <f t="shared" ref="E67:E73" si="440">K67+M67+O66:O67+Q67+S67+U67+W67+Y67+AA67+AC67+AE67+AI67</f>
        <v>3170</v>
      </c>
      <c r="F67" s="185">
        <f t="shared" ref="F67:F72" si="441">L67+N67+P66:P67+R67+T67+V67+X67+Z67+AB67+AD67+AF67+AJ67+AH67</f>
        <v>7874</v>
      </c>
      <c r="G67" s="184">
        <f t="shared" ref="G67:H105" si="442">AK67+AM67+AO67+AQ67+AS67+AU67+AW67+AY67+BA67+BC67+BE67+BG67+BI67+BK67+BM67+BO67+BQ67+BS67+BU67+BW67+BY67+CA67+CC67+CE67+CG67+CI67+CK67+CM67+CO67+CQ67+CS67+CU67+CW67+DA67+CY67+DC67+DE67+DG67+DI67+DK67+DM67+DO67+DQ67+DS67+DU67</f>
        <v>0</v>
      </c>
      <c r="H67" s="185">
        <f t="shared" si="442"/>
        <v>0</v>
      </c>
      <c r="I67" s="184"/>
      <c r="J67" s="185"/>
      <c r="K67" s="184">
        <v>2820</v>
      </c>
      <c r="L67" s="185">
        <f>4724+3150</f>
        <v>7874</v>
      </c>
      <c r="M67" s="184"/>
      <c r="N67" s="185"/>
      <c r="O67" s="184"/>
      <c r="P67" s="185"/>
      <c r="Q67" s="184"/>
      <c r="R67" s="185"/>
      <c r="S67" s="184"/>
      <c r="T67" s="185"/>
      <c r="U67" s="184"/>
      <c r="V67" s="185"/>
      <c r="W67" s="184"/>
      <c r="X67" s="185"/>
      <c r="Y67" s="184"/>
      <c r="Z67" s="185"/>
      <c r="AA67" s="184"/>
      <c r="AB67" s="185"/>
      <c r="AC67" s="184"/>
      <c r="AD67" s="185"/>
      <c r="AE67" s="184">
        <f>'[3]7. beruházás'!J18</f>
        <v>350</v>
      </c>
      <c r="AF67" s="185">
        <v>0</v>
      </c>
      <c r="AG67" s="184"/>
      <c r="AH67" s="185">
        <v>0</v>
      </c>
      <c r="AI67" s="184"/>
      <c r="AJ67" s="185"/>
      <c r="AK67" s="184"/>
      <c r="AL67" s="185"/>
      <c r="AM67" s="184"/>
      <c r="AN67" s="185"/>
      <c r="AO67" s="184"/>
      <c r="AP67" s="185"/>
      <c r="AQ67" s="184"/>
      <c r="AR67" s="185"/>
      <c r="AS67" s="184"/>
      <c r="AT67" s="185"/>
      <c r="AU67" s="184"/>
      <c r="AV67" s="185"/>
      <c r="AW67" s="184"/>
      <c r="AX67" s="185"/>
      <c r="AY67" s="184"/>
      <c r="AZ67" s="185"/>
      <c r="BA67" s="184"/>
      <c r="BB67" s="185"/>
      <c r="BC67" s="184"/>
      <c r="BD67" s="185"/>
      <c r="BE67" s="184"/>
      <c r="BF67" s="185"/>
      <c r="BG67" s="184"/>
      <c r="BH67" s="185"/>
      <c r="BI67" s="184"/>
      <c r="BJ67" s="185"/>
      <c r="BK67" s="184"/>
      <c r="BL67" s="185"/>
      <c r="BM67" s="184"/>
      <c r="BN67" s="185"/>
      <c r="BO67" s="184"/>
      <c r="BP67" s="185"/>
      <c r="BQ67" s="184"/>
      <c r="BR67" s="185"/>
      <c r="BS67" s="184"/>
      <c r="BT67" s="185"/>
      <c r="BU67" s="184"/>
      <c r="BV67" s="185"/>
      <c r="BW67" s="184"/>
      <c r="BX67" s="185"/>
      <c r="BY67" s="184"/>
      <c r="BZ67" s="185"/>
      <c r="CA67" s="184"/>
      <c r="CB67" s="185"/>
      <c r="CC67" s="184"/>
      <c r="CD67" s="185"/>
      <c r="CE67" s="184"/>
      <c r="CF67" s="185"/>
      <c r="CG67" s="184"/>
      <c r="CH67" s="185"/>
      <c r="CI67" s="184"/>
      <c r="CJ67" s="185"/>
      <c r="CK67" s="184"/>
      <c r="CL67" s="185"/>
      <c r="CM67" s="184"/>
      <c r="CN67" s="185"/>
      <c r="CO67" s="184"/>
      <c r="CP67" s="185"/>
      <c r="CQ67" s="184"/>
      <c r="CR67" s="185"/>
      <c r="CS67" s="184"/>
      <c r="CT67" s="185"/>
      <c r="CU67" s="184"/>
      <c r="CV67" s="185"/>
      <c r="CW67" s="184"/>
      <c r="CX67" s="185"/>
      <c r="CY67" s="184"/>
      <c r="CZ67" s="185"/>
      <c r="DA67" s="184"/>
      <c r="DB67" s="185"/>
      <c r="DC67" s="184"/>
      <c r="DD67" s="185"/>
      <c r="DE67" s="184"/>
      <c r="DF67" s="185"/>
      <c r="DG67" s="184"/>
      <c r="DH67" s="185"/>
      <c r="DI67" s="184"/>
      <c r="DJ67" s="185"/>
      <c r="DK67" s="184"/>
      <c r="DL67" s="185"/>
      <c r="DM67" s="184"/>
      <c r="DN67" s="185"/>
      <c r="DO67" s="184"/>
      <c r="DP67" s="185"/>
      <c r="DQ67" s="184"/>
      <c r="DR67" s="185"/>
      <c r="DS67" s="184"/>
      <c r="DT67" s="185"/>
      <c r="DU67" s="184"/>
      <c r="DV67" s="185"/>
    </row>
    <row r="68" spans="1:126" x14ac:dyDescent="0.2">
      <c r="A68" s="183" t="s">
        <v>198</v>
      </c>
      <c r="B68" s="183" t="s">
        <v>200</v>
      </c>
      <c r="C68" s="184" t="e">
        <f t="shared" si="342"/>
        <v>#REF!</v>
      </c>
      <c r="D68" s="185" t="e">
        <f>F68+H68+J68</f>
        <v>#REF!</v>
      </c>
      <c r="E68" s="184">
        <f t="shared" si="440"/>
        <v>106320</v>
      </c>
      <c r="F68" s="185">
        <f>L68+N68+P67:P68+R68+T68+V68+X68+Z68+AB68+AD68+AF68+AJ68+AH68</f>
        <v>2995</v>
      </c>
      <c r="G68" s="184">
        <f t="shared" si="442"/>
        <v>199644</v>
      </c>
      <c r="H68" s="185" t="e">
        <f t="shared" si="442"/>
        <v>#REF!</v>
      </c>
      <c r="I68" s="184"/>
      <c r="J68" s="185"/>
      <c r="K68" s="184">
        <v>3937</v>
      </c>
      <c r="L68" s="185"/>
      <c r="M68" s="184"/>
      <c r="N68" s="185">
        <v>1181</v>
      </c>
      <c r="O68" s="184"/>
      <c r="P68" s="185"/>
      <c r="Q68" s="184"/>
      <c r="R68" s="185"/>
      <c r="S68" s="184"/>
      <c r="T68" s="185"/>
      <c r="U68" s="184"/>
      <c r="V68" s="185"/>
      <c r="W68" s="184"/>
      <c r="X68" s="185"/>
      <c r="Y68" s="184"/>
      <c r="Z68" s="185">
        <f>414</f>
        <v>414</v>
      </c>
      <c r="AA68" s="184"/>
      <c r="AB68" s="185">
        <v>1400</v>
      </c>
      <c r="AC68" s="184"/>
      <c r="AD68" s="185"/>
      <c r="AE68" s="184">
        <f>'[3]7. beruházás'!J8+'[3]7. beruházás'!J12+'[3]7. beruházás'!J13+'[3]7. beruházás'!J17+'[3]7. beruházás'!J19+'[3]7. beruházás'!J24+'[3]7. beruházás'!J26</f>
        <v>102383</v>
      </c>
      <c r="AF68" s="185">
        <v>0</v>
      </c>
      <c r="AG68" s="184"/>
      <c r="AH68" s="185">
        <v>0</v>
      </c>
      <c r="AI68" s="184"/>
      <c r="AJ68" s="185"/>
      <c r="AK68" s="184"/>
      <c r="AL68" s="185"/>
      <c r="AM68" s="184"/>
      <c r="AN68" s="185"/>
      <c r="AO68" s="184"/>
      <c r="AP68" s="185"/>
      <c r="AQ68" s="184"/>
      <c r="AR68" s="185"/>
      <c r="AS68" s="184"/>
      <c r="AT68" s="185"/>
      <c r="AU68" s="184"/>
      <c r="AV68" s="185"/>
      <c r="AW68" s="184"/>
      <c r="AX68" s="185"/>
      <c r="AY68" s="184"/>
      <c r="AZ68" s="185"/>
      <c r="BA68" s="184"/>
      <c r="BB68" s="185"/>
      <c r="BC68" s="184"/>
      <c r="BD68" s="185"/>
      <c r="BE68" s="184"/>
      <c r="BF68" s="185"/>
      <c r="BG68" s="184"/>
      <c r="BH68" s="185"/>
      <c r="BI68" s="184"/>
      <c r="BJ68" s="185"/>
      <c r="BK68" s="184"/>
      <c r="BL68" s="185"/>
      <c r="BM68" s="184"/>
      <c r="BN68" s="185"/>
      <c r="BO68" s="184"/>
      <c r="BP68" s="185"/>
      <c r="BQ68" s="184"/>
      <c r="BR68" s="185"/>
      <c r="BS68" s="184"/>
      <c r="BT68" s="185"/>
      <c r="BU68" s="184"/>
      <c r="BV68" s="185"/>
      <c r="BW68" s="184"/>
      <c r="BX68" s="185"/>
      <c r="BY68" s="184"/>
      <c r="BZ68" s="185"/>
      <c r="CA68" s="184"/>
      <c r="CB68" s="185"/>
      <c r="CC68" s="184"/>
      <c r="CD68" s="185"/>
      <c r="CE68" s="184"/>
      <c r="CF68" s="185"/>
      <c r="CG68" s="184"/>
      <c r="CH68" s="185"/>
      <c r="CI68" s="184"/>
      <c r="CJ68" s="185"/>
      <c r="CK68" s="184"/>
      <c r="CL68" s="185"/>
      <c r="CM68" s="184"/>
      <c r="CN68" s="185"/>
      <c r="CO68" s="184"/>
      <c r="CP68" s="185"/>
      <c r="CQ68" s="184"/>
      <c r="CR68" s="185"/>
      <c r="CS68" s="184"/>
      <c r="CT68" s="185"/>
      <c r="CU68" s="184"/>
      <c r="CV68" s="185"/>
      <c r="CW68" s="184"/>
      <c r="CX68" s="185"/>
      <c r="CY68" s="184"/>
      <c r="CZ68" s="185"/>
      <c r="DA68" s="184"/>
      <c r="DB68" s="185"/>
      <c r="DC68" s="184"/>
      <c r="DD68" s="185"/>
      <c r="DE68" s="184"/>
      <c r="DF68" s="185"/>
      <c r="DG68" s="184"/>
      <c r="DH68" s="185"/>
      <c r="DI68" s="184">
        <f>'[3]7. beruházás'!J6+'[3]7. beruházás'!J7+'[3]7. beruházás'!J9+'[3]7. beruházás'!J10+'[3]7. beruházás'!J11+'[3]7. beruházás'!J14+'[3]7. beruházás'!J16+'[3]7. beruházás'!J15+'[3]7. beruházás'!J22+'[3]7. beruházás'!J25</f>
        <v>199644</v>
      </c>
      <c r="DJ68" s="185" t="e">
        <f>Beruházás!C7+Beruházás!C24+Beruházás!C34+Beruházás!C40+Beruházás!C43+Beruházás!C63+Beruházás!C64+Beruházás!C78+Beruházás!#REF!+Beruházás!C83+Beruházás!#REF!+Beruházás!#REF!+Beruházás!C84+Beruházás!#REF!-195901</f>
        <v>#REF!</v>
      </c>
      <c r="DK68" s="184"/>
      <c r="DL68" s="185"/>
      <c r="DM68" s="184"/>
      <c r="DN68" s="185"/>
      <c r="DO68" s="184"/>
      <c r="DP68" s="185"/>
      <c r="DQ68" s="184"/>
      <c r="DR68" s="185"/>
      <c r="DS68" s="184"/>
      <c r="DT68" s="185"/>
      <c r="DU68" s="184"/>
      <c r="DV68" s="185"/>
    </row>
    <row r="69" spans="1:126" x14ac:dyDescent="0.2">
      <c r="A69" s="183" t="s">
        <v>201</v>
      </c>
      <c r="B69" s="183" t="s">
        <v>203</v>
      </c>
      <c r="C69" s="184">
        <f t="shared" si="342"/>
        <v>3937</v>
      </c>
      <c r="D69" s="185">
        <f t="shared" si="338"/>
        <v>0</v>
      </c>
      <c r="E69" s="184">
        <f t="shared" si="440"/>
        <v>0</v>
      </c>
      <c r="F69" s="185">
        <f t="shared" si="441"/>
        <v>0</v>
      </c>
      <c r="G69" s="184">
        <f t="shared" si="442"/>
        <v>3937</v>
      </c>
      <c r="H69" s="185">
        <f t="shared" si="442"/>
        <v>0</v>
      </c>
      <c r="I69" s="184"/>
      <c r="J69" s="185"/>
      <c r="K69" s="184"/>
      <c r="L69" s="185"/>
      <c r="M69" s="184"/>
      <c r="N69" s="185"/>
      <c r="O69" s="184"/>
      <c r="P69" s="185"/>
      <c r="Q69" s="184"/>
      <c r="R69" s="185"/>
      <c r="S69" s="184"/>
      <c r="T69" s="185"/>
      <c r="U69" s="184"/>
      <c r="V69" s="185"/>
      <c r="W69" s="184"/>
      <c r="X69" s="185"/>
      <c r="Y69" s="184"/>
      <c r="Z69" s="185"/>
      <c r="AA69" s="184"/>
      <c r="AB69" s="185"/>
      <c r="AC69" s="184"/>
      <c r="AD69" s="185"/>
      <c r="AE69" s="184"/>
      <c r="AF69" s="185"/>
      <c r="AG69" s="184"/>
      <c r="AH69" s="185"/>
      <c r="AI69" s="184"/>
      <c r="AJ69" s="185"/>
      <c r="AK69" s="184"/>
      <c r="AL69" s="185"/>
      <c r="AM69" s="184"/>
      <c r="AN69" s="185"/>
      <c r="AO69" s="184"/>
      <c r="AP69" s="185"/>
      <c r="AQ69" s="184"/>
      <c r="AR69" s="185"/>
      <c r="AS69" s="184"/>
      <c r="AT69" s="185"/>
      <c r="AU69" s="184"/>
      <c r="AV69" s="185"/>
      <c r="AW69" s="184"/>
      <c r="AX69" s="185"/>
      <c r="AY69" s="184"/>
      <c r="AZ69" s="185"/>
      <c r="BA69" s="184"/>
      <c r="BB69" s="185"/>
      <c r="BC69" s="184"/>
      <c r="BD69" s="185"/>
      <c r="BE69" s="184"/>
      <c r="BF69" s="185"/>
      <c r="BG69" s="184"/>
      <c r="BH69" s="185"/>
      <c r="BI69" s="184"/>
      <c r="BJ69" s="185"/>
      <c r="BK69" s="184"/>
      <c r="BL69" s="185"/>
      <c r="BM69" s="184"/>
      <c r="BN69" s="185"/>
      <c r="BO69" s="184"/>
      <c r="BP69" s="185"/>
      <c r="BQ69" s="184"/>
      <c r="BR69" s="185"/>
      <c r="BS69" s="184"/>
      <c r="BT69" s="185"/>
      <c r="BU69" s="184"/>
      <c r="BV69" s="185"/>
      <c r="BW69" s="184"/>
      <c r="BX69" s="185"/>
      <c r="BY69" s="184"/>
      <c r="BZ69" s="185"/>
      <c r="CA69" s="184"/>
      <c r="CB69" s="185"/>
      <c r="CC69" s="184"/>
      <c r="CD69" s="185"/>
      <c r="CE69" s="184"/>
      <c r="CF69" s="185"/>
      <c r="CG69" s="184"/>
      <c r="CH69" s="185"/>
      <c r="CI69" s="184"/>
      <c r="CJ69" s="185"/>
      <c r="CK69" s="184"/>
      <c r="CL69" s="185"/>
      <c r="CM69" s="184"/>
      <c r="CN69" s="185"/>
      <c r="CO69" s="184"/>
      <c r="CP69" s="185"/>
      <c r="CQ69" s="184"/>
      <c r="CR69" s="185"/>
      <c r="CS69" s="184"/>
      <c r="CT69" s="185"/>
      <c r="CU69" s="184"/>
      <c r="CV69" s="185"/>
      <c r="CW69" s="184"/>
      <c r="CX69" s="185"/>
      <c r="CY69" s="184"/>
      <c r="CZ69" s="185"/>
      <c r="DA69" s="184"/>
      <c r="DB69" s="185"/>
      <c r="DC69" s="184"/>
      <c r="DD69" s="185"/>
      <c r="DE69" s="184"/>
      <c r="DF69" s="185"/>
      <c r="DG69" s="184"/>
      <c r="DH69" s="185"/>
      <c r="DI69" s="184">
        <f>'[3]7. beruházás'!J28</f>
        <v>3937</v>
      </c>
      <c r="DJ69" s="185"/>
      <c r="DK69" s="184"/>
      <c r="DL69" s="185"/>
      <c r="DM69" s="184"/>
      <c r="DN69" s="185"/>
      <c r="DO69" s="184"/>
      <c r="DP69" s="185"/>
      <c r="DQ69" s="184"/>
      <c r="DR69" s="185"/>
      <c r="DS69" s="184"/>
      <c r="DT69" s="185"/>
      <c r="DU69" s="184"/>
      <c r="DV69" s="185"/>
    </row>
    <row r="70" spans="1:126" x14ac:dyDescent="0.2">
      <c r="A70" s="183" t="s">
        <v>204</v>
      </c>
      <c r="B70" s="183" t="s">
        <v>926</v>
      </c>
      <c r="C70" s="184">
        <f t="shared" si="342"/>
        <v>204456</v>
      </c>
      <c r="D70" s="185">
        <f t="shared" si="338"/>
        <v>200219</v>
      </c>
      <c r="E70" s="184">
        <f t="shared" si="440"/>
        <v>300</v>
      </c>
      <c r="F70" s="185">
        <f t="shared" si="441"/>
        <v>200219</v>
      </c>
      <c r="G70" s="184">
        <f t="shared" si="442"/>
        <v>3937</v>
      </c>
      <c r="H70" s="185">
        <f t="shared" si="442"/>
        <v>0</v>
      </c>
      <c r="I70" s="184"/>
      <c r="J70" s="185"/>
      <c r="K70" s="184"/>
      <c r="L70" s="185"/>
      <c r="M70" s="184"/>
      <c r="N70" s="185"/>
      <c r="O70" s="184"/>
      <c r="P70" s="185"/>
      <c r="Q70" s="184"/>
      <c r="R70" s="185"/>
      <c r="S70" s="184"/>
      <c r="T70" s="185"/>
      <c r="U70" s="184"/>
      <c r="V70" s="185"/>
      <c r="W70" s="184"/>
      <c r="X70" s="185"/>
      <c r="Y70" s="184"/>
      <c r="Z70" s="185">
        <v>3937</v>
      </c>
      <c r="AA70" s="184"/>
      <c r="AB70" s="185"/>
      <c r="AC70" s="184"/>
      <c r="AD70" s="185"/>
      <c r="AE70" s="184">
        <f>'[3]7. beruházás'!J23</f>
        <v>300</v>
      </c>
      <c r="AF70" s="185">
        <f>381+195901</f>
        <v>196282</v>
      </c>
      <c r="AG70" s="184"/>
      <c r="AH70" s="185"/>
      <c r="AI70" s="184"/>
      <c r="AJ70" s="185"/>
      <c r="AK70" s="184"/>
      <c r="AL70" s="185"/>
      <c r="AM70" s="184"/>
      <c r="AN70" s="185"/>
      <c r="AO70" s="184"/>
      <c r="AP70" s="185"/>
      <c r="AQ70" s="184"/>
      <c r="AR70" s="185"/>
      <c r="AS70" s="184"/>
      <c r="AT70" s="185"/>
      <c r="AU70" s="184"/>
      <c r="AV70" s="185"/>
      <c r="AW70" s="184"/>
      <c r="AX70" s="185"/>
      <c r="AY70" s="184"/>
      <c r="AZ70" s="185"/>
      <c r="BA70" s="184"/>
      <c r="BB70" s="185"/>
      <c r="BC70" s="184"/>
      <c r="BD70" s="185"/>
      <c r="BE70" s="184"/>
      <c r="BF70" s="185"/>
      <c r="BG70" s="184"/>
      <c r="BH70" s="185"/>
      <c r="BI70" s="184"/>
      <c r="BJ70" s="185"/>
      <c r="BK70" s="184"/>
      <c r="BL70" s="185"/>
      <c r="BM70" s="184"/>
      <c r="BN70" s="185"/>
      <c r="BO70" s="184"/>
      <c r="BP70" s="185"/>
      <c r="BQ70" s="184"/>
      <c r="BR70" s="185"/>
      <c r="BS70" s="184"/>
      <c r="BT70" s="185"/>
      <c r="BU70" s="184"/>
      <c r="BV70" s="185"/>
      <c r="BW70" s="184"/>
      <c r="BX70" s="185"/>
      <c r="BY70" s="184"/>
      <c r="BZ70" s="185"/>
      <c r="CA70" s="184"/>
      <c r="CB70" s="185"/>
      <c r="CC70" s="184"/>
      <c r="CD70" s="185"/>
      <c r="CE70" s="184"/>
      <c r="CF70" s="185"/>
      <c r="CG70" s="184"/>
      <c r="CH70" s="185"/>
      <c r="CI70" s="184"/>
      <c r="CJ70" s="185"/>
      <c r="CK70" s="184"/>
      <c r="CL70" s="185"/>
      <c r="CM70" s="184"/>
      <c r="CN70" s="185"/>
      <c r="CO70" s="184"/>
      <c r="CP70" s="185"/>
      <c r="CQ70" s="184"/>
      <c r="CR70" s="185"/>
      <c r="CS70" s="184"/>
      <c r="CT70" s="185"/>
      <c r="CU70" s="184"/>
      <c r="CV70" s="185"/>
      <c r="CW70" s="184"/>
      <c r="CX70" s="185"/>
      <c r="CY70" s="184"/>
      <c r="CZ70" s="185"/>
      <c r="DA70" s="184"/>
      <c r="DB70" s="185"/>
      <c r="DC70" s="184"/>
      <c r="DD70" s="185"/>
      <c r="DE70" s="184"/>
      <c r="DF70" s="185"/>
      <c r="DG70" s="184"/>
      <c r="DH70" s="185"/>
      <c r="DI70" s="184">
        <f>'[3]7. beruházás'!J27</f>
        <v>3937</v>
      </c>
      <c r="DJ70" s="185"/>
      <c r="DK70" s="184"/>
      <c r="DL70" s="185"/>
      <c r="DM70" s="184"/>
      <c r="DN70" s="185"/>
      <c r="DO70" s="184"/>
      <c r="DP70" s="185"/>
      <c r="DQ70" s="184"/>
      <c r="DR70" s="185"/>
      <c r="DS70" s="184"/>
      <c r="DT70" s="185"/>
      <c r="DU70" s="184"/>
      <c r="DV70" s="185"/>
    </row>
    <row r="71" spans="1:126" x14ac:dyDescent="0.2">
      <c r="A71" s="183" t="s">
        <v>209</v>
      </c>
      <c r="B71" s="183" t="s">
        <v>211</v>
      </c>
      <c r="C71" s="184">
        <f t="shared" si="342"/>
        <v>0</v>
      </c>
      <c r="D71" s="185">
        <f t="shared" si="338"/>
        <v>0</v>
      </c>
      <c r="E71" s="184">
        <f t="shared" si="440"/>
        <v>0</v>
      </c>
      <c r="F71" s="185">
        <f t="shared" si="441"/>
        <v>0</v>
      </c>
      <c r="G71" s="184">
        <f t="shared" si="442"/>
        <v>0</v>
      </c>
      <c r="H71" s="185">
        <f t="shared" si="442"/>
        <v>0</v>
      </c>
      <c r="I71" s="184"/>
      <c r="J71" s="185"/>
      <c r="K71" s="184"/>
      <c r="L71" s="185"/>
      <c r="M71" s="184"/>
      <c r="N71" s="185"/>
      <c r="O71" s="184"/>
      <c r="P71" s="185"/>
      <c r="Q71" s="184"/>
      <c r="R71" s="185"/>
      <c r="S71" s="184"/>
      <c r="T71" s="185"/>
      <c r="U71" s="184"/>
      <c r="V71" s="185"/>
      <c r="W71" s="184"/>
      <c r="X71" s="185"/>
      <c r="Y71" s="184"/>
      <c r="Z71" s="185"/>
      <c r="AA71" s="184"/>
      <c r="AB71" s="185"/>
      <c r="AC71" s="184"/>
      <c r="AD71" s="185"/>
      <c r="AE71" s="184"/>
      <c r="AF71" s="185"/>
      <c r="AG71" s="184"/>
      <c r="AH71" s="185"/>
      <c r="AI71" s="184"/>
      <c r="AJ71" s="185"/>
      <c r="AK71" s="184"/>
      <c r="AL71" s="185"/>
      <c r="AM71" s="184"/>
      <c r="AN71" s="185"/>
      <c r="AO71" s="184"/>
      <c r="AP71" s="185"/>
      <c r="AQ71" s="184"/>
      <c r="AR71" s="185"/>
      <c r="AS71" s="184"/>
      <c r="AT71" s="185"/>
      <c r="AU71" s="184"/>
      <c r="AV71" s="185"/>
      <c r="AW71" s="184"/>
      <c r="AX71" s="185"/>
      <c r="AY71" s="184"/>
      <c r="AZ71" s="185"/>
      <c r="BA71" s="184"/>
      <c r="BB71" s="185"/>
      <c r="BC71" s="184"/>
      <c r="BD71" s="185"/>
      <c r="BE71" s="184"/>
      <c r="BF71" s="185"/>
      <c r="BG71" s="184"/>
      <c r="BH71" s="185"/>
      <c r="BI71" s="184"/>
      <c r="BJ71" s="185"/>
      <c r="BK71" s="184"/>
      <c r="BL71" s="185"/>
      <c r="BM71" s="184"/>
      <c r="BN71" s="185"/>
      <c r="BO71" s="184"/>
      <c r="BP71" s="185"/>
      <c r="BQ71" s="184"/>
      <c r="BR71" s="185"/>
      <c r="BS71" s="184"/>
      <c r="BT71" s="185"/>
      <c r="BU71" s="184"/>
      <c r="BV71" s="185"/>
      <c r="BW71" s="184"/>
      <c r="BX71" s="185"/>
      <c r="BY71" s="184"/>
      <c r="BZ71" s="185"/>
      <c r="CA71" s="184"/>
      <c r="CB71" s="185"/>
      <c r="CC71" s="184"/>
      <c r="CD71" s="185"/>
      <c r="CE71" s="184"/>
      <c r="CF71" s="185"/>
      <c r="CG71" s="184"/>
      <c r="CH71" s="185"/>
      <c r="CI71" s="184"/>
      <c r="CJ71" s="185"/>
      <c r="CK71" s="184"/>
      <c r="CL71" s="185"/>
      <c r="CM71" s="184"/>
      <c r="CN71" s="185"/>
      <c r="CO71" s="184"/>
      <c r="CP71" s="185"/>
      <c r="CQ71" s="184"/>
      <c r="CR71" s="185"/>
      <c r="CS71" s="184"/>
      <c r="CT71" s="185"/>
      <c r="CU71" s="184"/>
      <c r="CV71" s="185"/>
      <c r="CW71" s="184"/>
      <c r="CX71" s="185"/>
      <c r="CY71" s="184"/>
      <c r="CZ71" s="185"/>
      <c r="DA71" s="184"/>
      <c r="DB71" s="185"/>
      <c r="DC71" s="184"/>
      <c r="DD71" s="185"/>
      <c r="DE71" s="184"/>
      <c r="DF71" s="185"/>
      <c r="DG71" s="184"/>
      <c r="DH71" s="185"/>
      <c r="DI71" s="184"/>
      <c r="DJ71" s="185"/>
      <c r="DK71" s="184"/>
      <c r="DL71" s="185"/>
      <c r="DM71" s="184"/>
      <c r="DN71" s="185"/>
      <c r="DO71" s="184"/>
      <c r="DP71" s="185"/>
      <c r="DQ71" s="184"/>
      <c r="DR71" s="185"/>
      <c r="DS71" s="184"/>
      <c r="DT71" s="185"/>
      <c r="DU71" s="184"/>
      <c r="DV71" s="185"/>
    </row>
    <row r="72" spans="1:126" x14ac:dyDescent="0.2">
      <c r="A72" s="183" t="s">
        <v>212</v>
      </c>
      <c r="B72" s="183" t="s">
        <v>927</v>
      </c>
      <c r="C72" s="184">
        <f t="shared" si="342"/>
        <v>0</v>
      </c>
      <c r="D72" s="185">
        <f t="shared" si="338"/>
        <v>0</v>
      </c>
      <c r="E72" s="184">
        <f t="shared" si="440"/>
        <v>0</v>
      </c>
      <c r="F72" s="185">
        <f t="shared" si="441"/>
        <v>0</v>
      </c>
      <c r="G72" s="184">
        <f t="shared" si="442"/>
        <v>0</v>
      </c>
      <c r="H72" s="185">
        <f t="shared" si="442"/>
        <v>0</v>
      </c>
      <c r="I72" s="184"/>
      <c r="J72" s="185"/>
      <c r="K72" s="184"/>
      <c r="L72" s="185"/>
      <c r="M72" s="184"/>
      <c r="N72" s="185"/>
      <c r="O72" s="184"/>
      <c r="P72" s="185"/>
      <c r="Q72" s="184"/>
      <c r="R72" s="185"/>
      <c r="S72" s="184"/>
      <c r="T72" s="185"/>
      <c r="U72" s="184"/>
      <c r="V72" s="185"/>
      <c r="W72" s="184"/>
      <c r="X72" s="185"/>
      <c r="Y72" s="184"/>
      <c r="Z72" s="185"/>
      <c r="AA72" s="184"/>
      <c r="AB72" s="185"/>
      <c r="AC72" s="184"/>
      <c r="AD72" s="185"/>
      <c r="AE72" s="184"/>
      <c r="AF72" s="185"/>
      <c r="AG72" s="184"/>
      <c r="AH72" s="185"/>
      <c r="AI72" s="184"/>
      <c r="AJ72" s="185"/>
      <c r="AK72" s="184"/>
      <c r="AL72" s="185"/>
      <c r="AM72" s="184"/>
      <c r="AN72" s="185"/>
      <c r="AO72" s="184"/>
      <c r="AP72" s="185"/>
      <c r="AQ72" s="184"/>
      <c r="AR72" s="185"/>
      <c r="AS72" s="184"/>
      <c r="AT72" s="185"/>
      <c r="AU72" s="184"/>
      <c r="AV72" s="185"/>
      <c r="AW72" s="184"/>
      <c r="AX72" s="185"/>
      <c r="AY72" s="184"/>
      <c r="AZ72" s="185"/>
      <c r="BA72" s="184"/>
      <c r="BB72" s="185"/>
      <c r="BC72" s="184"/>
      <c r="BD72" s="185"/>
      <c r="BE72" s="184"/>
      <c r="BF72" s="185"/>
      <c r="BG72" s="184"/>
      <c r="BH72" s="185"/>
      <c r="BI72" s="184"/>
      <c r="BJ72" s="185"/>
      <c r="BK72" s="184"/>
      <c r="BL72" s="185"/>
      <c r="BM72" s="184"/>
      <c r="BN72" s="185"/>
      <c r="BO72" s="184"/>
      <c r="BP72" s="185"/>
      <c r="BQ72" s="184"/>
      <c r="BR72" s="185"/>
      <c r="BS72" s="184"/>
      <c r="BT72" s="185"/>
      <c r="BU72" s="184"/>
      <c r="BV72" s="185"/>
      <c r="BW72" s="184"/>
      <c r="BX72" s="185"/>
      <c r="BY72" s="184"/>
      <c r="BZ72" s="185"/>
      <c r="CA72" s="184"/>
      <c r="CB72" s="185"/>
      <c r="CC72" s="184"/>
      <c r="CD72" s="185"/>
      <c r="CE72" s="184"/>
      <c r="CF72" s="185"/>
      <c r="CG72" s="184"/>
      <c r="CH72" s="185"/>
      <c r="CI72" s="184"/>
      <c r="CJ72" s="185"/>
      <c r="CK72" s="184"/>
      <c r="CL72" s="185"/>
      <c r="CM72" s="184"/>
      <c r="CN72" s="185"/>
      <c r="CO72" s="184"/>
      <c r="CP72" s="185"/>
      <c r="CQ72" s="184"/>
      <c r="CR72" s="185"/>
      <c r="CS72" s="184"/>
      <c r="CT72" s="185"/>
      <c r="CU72" s="184"/>
      <c r="CV72" s="185"/>
      <c r="CW72" s="184"/>
      <c r="CX72" s="185"/>
      <c r="CY72" s="184"/>
      <c r="CZ72" s="185"/>
      <c r="DA72" s="184"/>
      <c r="DB72" s="185"/>
      <c r="DC72" s="184"/>
      <c r="DD72" s="185"/>
      <c r="DE72" s="184"/>
      <c r="DF72" s="185"/>
      <c r="DG72" s="184"/>
      <c r="DH72" s="185"/>
      <c r="DI72" s="184"/>
      <c r="DJ72" s="185"/>
      <c r="DK72" s="184"/>
      <c r="DL72" s="185"/>
      <c r="DM72" s="184"/>
      <c r="DN72" s="185"/>
      <c r="DO72" s="184"/>
      <c r="DP72" s="185"/>
      <c r="DQ72" s="184"/>
      <c r="DR72" s="185"/>
      <c r="DS72" s="184"/>
      <c r="DT72" s="185"/>
      <c r="DU72" s="184"/>
      <c r="DV72" s="185"/>
    </row>
    <row r="73" spans="1:126" x14ac:dyDescent="0.2">
      <c r="A73" s="183" t="s">
        <v>215</v>
      </c>
      <c r="B73" s="183" t="s">
        <v>928</v>
      </c>
      <c r="C73" s="184">
        <f t="shared" si="342"/>
        <v>89670</v>
      </c>
      <c r="D73" s="185">
        <f t="shared" si="338"/>
        <v>3998</v>
      </c>
      <c r="E73" s="184">
        <f t="shared" si="440"/>
        <v>29643</v>
      </c>
      <c r="F73" s="185">
        <f>L73+N73+P72:P73+R73+T73+V73+X73+Z73+AB73+AD73+AF73+AJ73+AH73</f>
        <v>3998</v>
      </c>
      <c r="G73" s="184">
        <f t="shared" si="442"/>
        <v>56029</v>
      </c>
      <c r="H73" s="185">
        <f t="shared" si="442"/>
        <v>0</v>
      </c>
      <c r="I73" s="184"/>
      <c r="J73" s="185"/>
      <c r="K73" s="184">
        <f>ROUND((K67+K68+K69+K70)*0.27,0)</f>
        <v>1824</v>
      </c>
      <c r="L73" s="185">
        <f>ROUND((L67+L68+L69+L70)*0.27,0)</f>
        <v>2126</v>
      </c>
      <c r="M73" s="184"/>
      <c r="N73" s="185">
        <f>ROUND((N67+N68+N69+N70)*0.27,0)</f>
        <v>319</v>
      </c>
      <c r="O73" s="184"/>
      <c r="P73" s="185"/>
      <c r="Q73" s="184"/>
      <c r="R73" s="185"/>
      <c r="S73" s="184"/>
      <c r="T73" s="185"/>
      <c r="U73" s="184"/>
      <c r="V73" s="185">
        <f>ROUND((V67+V68+V69+V70)*0.27,0)</f>
        <v>0</v>
      </c>
      <c r="W73" s="184"/>
      <c r="X73" s="185"/>
      <c r="Y73" s="184"/>
      <c r="Z73" s="185">
        <f>ROUND((Z67+Z68+Z69+Z70)*0.27,0)</f>
        <v>1175</v>
      </c>
      <c r="AA73" s="184"/>
      <c r="AB73" s="185">
        <f>ROUND((AB67+AB68+AB69+AB70)*0.27,0)</f>
        <v>378</v>
      </c>
      <c r="AC73" s="184"/>
      <c r="AD73" s="185"/>
      <c r="AE73" s="184">
        <f>'[3]7. beruházás'!K23+'[3]7. beruházás'!K8+'[3]7. beruházás'!K12+'[3]7. beruházás'!K13+'[3]7. beruházás'!K17+'[3]7. beruházás'!K18+'[3]7. beruházás'!K19+'[3]7. beruházás'!K24+'[3]7. beruházás'!K26</f>
        <v>27819</v>
      </c>
      <c r="AF73" s="185"/>
      <c r="AG73" s="184"/>
      <c r="AH73" s="185">
        <f>ROUND((AH67+AH68+AH69+AH70)*0.27,0)</f>
        <v>0</v>
      </c>
      <c r="AI73" s="184"/>
      <c r="AJ73" s="185"/>
      <c r="AK73" s="184"/>
      <c r="AL73" s="185"/>
      <c r="AM73" s="184"/>
      <c r="AN73" s="185"/>
      <c r="AO73" s="184"/>
      <c r="AP73" s="185"/>
      <c r="AQ73" s="184"/>
      <c r="AR73" s="185"/>
      <c r="AS73" s="184"/>
      <c r="AT73" s="185"/>
      <c r="AU73" s="184"/>
      <c r="AV73" s="185"/>
      <c r="AW73" s="184"/>
      <c r="AX73" s="185"/>
      <c r="AY73" s="184"/>
      <c r="AZ73" s="185"/>
      <c r="BA73" s="184"/>
      <c r="BB73" s="185"/>
      <c r="BC73" s="184"/>
      <c r="BD73" s="185"/>
      <c r="BE73" s="184"/>
      <c r="BF73" s="185"/>
      <c r="BG73" s="184"/>
      <c r="BH73" s="185"/>
      <c r="BI73" s="184"/>
      <c r="BJ73" s="185"/>
      <c r="BK73" s="184"/>
      <c r="BL73" s="185"/>
      <c r="BM73" s="184"/>
      <c r="BN73" s="185"/>
      <c r="BO73" s="184"/>
      <c r="BP73" s="185"/>
      <c r="BQ73" s="184"/>
      <c r="BR73" s="185"/>
      <c r="BS73" s="184"/>
      <c r="BT73" s="185"/>
      <c r="BU73" s="184"/>
      <c r="BV73" s="185"/>
      <c r="BW73" s="184"/>
      <c r="BX73" s="185"/>
      <c r="BY73" s="184"/>
      <c r="BZ73" s="185"/>
      <c r="CA73" s="184"/>
      <c r="CB73" s="185"/>
      <c r="CC73" s="184"/>
      <c r="CD73" s="185"/>
      <c r="CE73" s="184"/>
      <c r="CF73" s="185"/>
      <c r="CG73" s="184"/>
      <c r="CH73" s="185"/>
      <c r="CI73" s="184"/>
      <c r="CJ73" s="185"/>
      <c r="CK73" s="184"/>
      <c r="CL73" s="185"/>
      <c r="CM73" s="184"/>
      <c r="CN73" s="185"/>
      <c r="CO73" s="184"/>
      <c r="CP73" s="185"/>
      <c r="CQ73" s="184"/>
      <c r="CR73" s="185"/>
      <c r="CS73" s="184"/>
      <c r="CT73" s="185"/>
      <c r="CU73" s="184"/>
      <c r="CV73" s="185"/>
      <c r="CW73" s="184"/>
      <c r="CX73" s="185"/>
      <c r="CY73" s="184"/>
      <c r="CZ73" s="185"/>
      <c r="DA73" s="184"/>
      <c r="DB73" s="185"/>
      <c r="DC73" s="184"/>
      <c r="DD73" s="185"/>
      <c r="DE73" s="184"/>
      <c r="DF73" s="185"/>
      <c r="DG73" s="184"/>
      <c r="DH73" s="185"/>
      <c r="DI73" s="184">
        <f>'[3]7. beruházás'!K6+'[3]7. beruházás'!K7+'[3]7. beruházás'!K9+'[3]7. beruházás'!K10+'[3]7. beruházás'!K11+'[3]7. beruházás'!K14+'[3]7. beruházás'!K16+'[3]7. beruházás'!K15+'[3]7. beruházás'!K22+'[3]7. beruházás'!K25+'[3]7. beruházás'!K27+'[3]7. beruházás'!K28</f>
        <v>56029</v>
      </c>
      <c r="DJ73" s="185"/>
      <c r="DK73" s="184"/>
      <c r="DL73" s="185"/>
      <c r="DM73" s="184"/>
      <c r="DN73" s="185"/>
      <c r="DO73" s="184"/>
      <c r="DP73" s="185"/>
      <c r="DQ73" s="184"/>
      <c r="DR73" s="185"/>
      <c r="DS73" s="184"/>
      <c r="DT73" s="185"/>
      <c r="DU73" s="184"/>
      <c r="DV73" s="185"/>
    </row>
    <row r="74" spans="1:126" x14ac:dyDescent="0.2">
      <c r="A74" s="186" t="s">
        <v>218</v>
      </c>
      <c r="B74" s="186" t="s">
        <v>351</v>
      </c>
      <c r="C74" s="187" t="e">
        <f t="shared" ref="C74:I74" si="443">SUM(C67:C73)</f>
        <v>#REF!</v>
      </c>
      <c r="D74" s="188" t="e">
        <f t="shared" si="443"/>
        <v>#REF!</v>
      </c>
      <c r="E74" s="187">
        <f t="shared" si="443"/>
        <v>139433</v>
      </c>
      <c r="F74" s="188">
        <f t="shared" si="443"/>
        <v>215086</v>
      </c>
      <c r="G74" s="187">
        <f t="shared" si="443"/>
        <v>263547</v>
      </c>
      <c r="H74" s="188" t="e">
        <f t="shared" si="443"/>
        <v>#REF!</v>
      </c>
      <c r="I74" s="187">
        <f t="shared" si="443"/>
        <v>0</v>
      </c>
      <c r="J74" s="188">
        <f t="shared" ref="J74:AO74" si="444">SUM(J67:J73)</f>
        <v>0</v>
      </c>
      <c r="K74" s="187">
        <f t="shared" si="444"/>
        <v>8581</v>
      </c>
      <c r="L74" s="188">
        <f t="shared" si="444"/>
        <v>10000</v>
      </c>
      <c r="M74" s="187">
        <f t="shared" si="444"/>
        <v>0</v>
      </c>
      <c r="N74" s="188">
        <f t="shared" si="444"/>
        <v>1500</v>
      </c>
      <c r="O74" s="187">
        <f t="shared" si="444"/>
        <v>0</v>
      </c>
      <c r="P74" s="188">
        <f t="shared" si="444"/>
        <v>0</v>
      </c>
      <c r="Q74" s="187">
        <f t="shared" si="444"/>
        <v>0</v>
      </c>
      <c r="R74" s="188">
        <f t="shared" si="444"/>
        <v>0</v>
      </c>
      <c r="S74" s="187">
        <f t="shared" si="444"/>
        <v>0</v>
      </c>
      <c r="T74" s="188">
        <f t="shared" ref="T74" si="445">SUM(T67:T73)</f>
        <v>0</v>
      </c>
      <c r="U74" s="187">
        <f t="shared" si="444"/>
        <v>0</v>
      </c>
      <c r="V74" s="188">
        <f t="shared" ref="V74" si="446">SUM(V67:V73)</f>
        <v>0</v>
      </c>
      <c r="W74" s="187">
        <f t="shared" si="444"/>
        <v>0</v>
      </c>
      <c r="X74" s="188">
        <f t="shared" si="444"/>
        <v>0</v>
      </c>
      <c r="Y74" s="187">
        <f t="shared" si="444"/>
        <v>0</v>
      </c>
      <c r="Z74" s="188">
        <f t="shared" si="444"/>
        <v>5526</v>
      </c>
      <c r="AA74" s="187">
        <f t="shared" si="444"/>
        <v>0</v>
      </c>
      <c r="AB74" s="188">
        <f t="shared" ref="AB74" si="447">SUM(AB67:AB73)</f>
        <v>1778</v>
      </c>
      <c r="AC74" s="187">
        <f t="shared" si="444"/>
        <v>0</v>
      </c>
      <c r="AD74" s="188">
        <f t="shared" ref="AD74" si="448">SUM(AD67:AD73)</f>
        <v>0</v>
      </c>
      <c r="AE74" s="187">
        <f t="shared" si="444"/>
        <v>130852</v>
      </c>
      <c r="AF74" s="188">
        <f t="shared" ref="AF74:AH74" si="449">SUM(AF67:AF73)</f>
        <v>196282</v>
      </c>
      <c r="AG74" s="187"/>
      <c r="AH74" s="188">
        <f t="shared" si="449"/>
        <v>0</v>
      </c>
      <c r="AI74" s="187">
        <f>SUM(AI67:AI73)</f>
        <v>0</v>
      </c>
      <c r="AJ74" s="188">
        <f>SUM(AJ67:AJ73)</f>
        <v>0</v>
      </c>
      <c r="AK74" s="187">
        <f t="shared" si="444"/>
        <v>0</v>
      </c>
      <c r="AL74" s="188">
        <f t="shared" ref="AL74" si="450">SUM(AL67:AL73)</f>
        <v>0</v>
      </c>
      <c r="AM74" s="187">
        <f t="shared" si="444"/>
        <v>0</v>
      </c>
      <c r="AN74" s="188"/>
      <c r="AO74" s="187">
        <f t="shared" si="444"/>
        <v>0</v>
      </c>
      <c r="AP74" s="188">
        <f t="shared" ref="AP74" si="451">SUM(AP67:AP73)</f>
        <v>0</v>
      </c>
      <c r="AQ74" s="187">
        <f t="shared" ref="AQ74:DS74" si="452">SUM(AQ67:AQ73)</f>
        <v>0</v>
      </c>
      <c r="AR74" s="188">
        <f t="shared" ref="AR74" si="453">SUM(AR67:AR73)</f>
        <v>0</v>
      </c>
      <c r="AS74" s="187">
        <f t="shared" si="452"/>
        <v>0</v>
      </c>
      <c r="AT74" s="188">
        <f t="shared" ref="AT74" si="454">SUM(AT67:AT73)</f>
        <v>0</v>
      </c>
      <c r="AU74" s="187">
        <f t="shared" si="452"/>
        <v>0</v>
      </c>
      <c r="AV74" s="188">
        <f t="shared" ref="AV74" si="455">SUM(AV67:AV73)</f>
        <v>0</v>
      </c>
      <c r="AW74" s="187">
        <f t="shared" si="452"/>
        <v>0</v>
      </c>
      <c r="AX74" s="188">
        <f t="shared" ref="AX74" si="456">SUM(AX67:AX73)</f>
        <v>0</v>
      </c>
      <c r="AY74" s="187">
        <f t="shared" si="452"/>
        <v>0</v>
      </c>
      <c r="AZ74" s="188">
        <f t="shared" ref="AZ74" si="457">SUM(AZ67:AZ73)</f>
        <v>0</v>
      </c>
      <c r="BA74" s="187">
        <f t="shared" si="452"/>
        <v>0</v>
      </c>
      <c r="BB74" s="188">
        <f t="shared" ref="BB74" si="458">SUM(BB67:BB73)</f>
        <v>0</v>
      </c>
      <c r="BC74" s="187">
        <f t="shared" si="452"/>
        <v>0</v>
      </c>
      <c r="BD74" s="188">
        <f t="shared" ref="BD74" si="459">SUM(BD67:BD73)</f>
        <v>0</v>
      </c>
      <c r="BE74" s="187">
        <f t="shared" si="452"/>
        <v>0</v>
      </c>
      <c r="BF74" s="188">
        <f t="shared" ref="BF74" si="460">SUM(BF67:BF73)</f>
        <v>0</v>
      </c>
      <c r="BG74" s="187">
        <f t="shared" si="452"/>
        <v>0</v>
      </c>
      <c r="BH74" s="188">
        <f t="shared" ref="BH74" si="461">SUM(BH67:BH73)</f>
        <v>0</v>
      </c>
      <c r="BI74" s="187">
        <f t="shared" si="452"/>
        <v>0</v>
      </c>
      <c r="BJ74" s="188">
        <f t="shared" ref="BJ74" si="462">SUM(BJ67:BJ73)</f>
        <v>0</v>
      </c>
      <c r="BK74" s="187">
        <f t="shared" si="452"/>
        <v>0</v>
      </c>
      <c r="BL74" s="188">
        <f t="shared" ref="BL74" si="463">SUM(BL67:BL73)</f>
        <v>0</v>
      </c>
      <c r="BM74" s="187">
        <f t="shared" si="452"/>
        <v>0</v>
      </c>
      <c r="BN74" s="188">
        <f t="shared" ref="BN74" si="464">SUM(BN67:BN73)</f>
        <v>0</v>
      </c>
      <c r="BO74" s="187">
        <f t="shared" si="452"/>
        <v>0</v>
      </c>
      <c r="BP74" s="188">
        <f t="shared" ref="BP74" si="465">SUM(BP67:BP73)</f>
        <v>0</v>
      </c>
      <c r="BQ74" s="187">
        <f t="shared" si="452"/>
        <v>0</v>
      </c>
      <c r="BR74" s="188">
        <f t="shared" ref="BR74" si="466">SUM(BR67:BR73)</f>
        <v>0</v>
      </c>
      <c r="BS74" s="187">
        <f t="shared" si="452"/>
        <v>0</v>
      </c>
      <c r="BT74" s="188">
        <f t="shared" ref="BT74" si="467">SUM(BT67:BT73)</f>
        <v>0</v>
      </c>
      <c r="BU74" s="187">
        <f t="shared" si="452"/>
        <v>0</v>
      </c>
      <c r="BV74" s="188">
        <f t="shared" ref="BV74" si="468">SUM(BV67:BV73)</f>
        <v>0</v>
      </c>
      <c r="BW74" s="187">
        <f t="shared" si="452"/>
        <v>0</v>
      </c>
      <c r="BX74" s="188">
        <f t="shared" ref="BX74" si="469">SUM(BX67:BX73)</f>
        <v>0</v>
      </c>
      <c r="BY74" s="187">
        <f t="shared" si="452"/>
        <v>0</v>
      </c>
      <c r="BZ74" s="188">
        <f t="shared" ref="BZ74" si="470">SUM(BZ67:BZ73)</f>
        <v>0</v>
      </c>
      <c r="CA74" s="187">
        <f t="shared" si="452"/>
        <v>0</v>
      </c>
      <c r="CB74" s="188">
        <f t="shared" ref="CB74" si="471">SUM(CB67:CB73)</f>
        <v>0</v>
      </c>
      <c r="CC74" s="187">
        <f t="shared" si="452"/>
        <v>0</v>
      </c>
      <c r="CD74" s="188">
        <f t="shared" ref="CD74" si="472">SUM(CD67:CD73)</f>
        <v>0</v>
      </c>
      <c r="CE74" s="187">
        <f>SUM(CE67:CE73)</f>
        <v>0</v>
      </c>
      <c r="CF74" s="188">
        <f>SUM(CF67:CF73)</f>
        <v>0</v>
      </c>
      <c r="CG74" s="187">
        <f t="shared" si="452"/>
        <v>0</v>
      </c>
      <c r="CH74" s="188">
        <f t="shared" ref="CH74" si="473">SUM(CH67:CH73)</f>
        <v>0</v>
      </c>
      <c r="CI74" s="187">
        <f t="shared" si="452"/>
        <v>0</v>
      </c>
      <c r="CJ74" s="188">
        <f t="shared" ref="CJ74" si="474">SUM(CJ67:CJ73)</f>
        <v>0</v>
      </c>
      <c r="CK74" s="187">
        <f t="shared" si="452"/>
        <v>0</v>
      </c>
      <c r="CL74" s="188">
        <f t="shared" ref="CL74" si="475">SUM(CL67:CL73)</f>
        <v>0</v>
      </c>
      <c r="CM74" s="187">
        <f t="shared" si="452"/>
        <v>0</v>
      </c>
      <c r="CN74" s="188">
        <f t="shared" ref="CN74" si="476">SUM(CN67:CN73)</f>
        <v>0</v>
      </c>
      <c r="CO74" s="187">
        <f t="shared" si="452"/>
        <v>0</v>
      </c>
      <c r="CP74" s="188">
        <f t="shared" ref="CP74" si="477">SUM(CP67:CP73)</f>
        <v>0</v>
      </c>
      <c r="CQ74" s="187">
        <f t="shared" si="452"/>
        <v>0</v>
      </c>
      <c r="CR74" s="188">
        <f t="shared" ref="CR74" si="478">SUM(CR67:CR73)</f>
        <v>0</v>
      </c>
      <c r="CS74" s="187">
        <f t="shared" si="452"/>
        <v>0</v>
      </c>
      <c r="CT74" s="188">
        <f t="shared" ref="CT74" si="479">SUM(CT67:CT73)</f>
        <v>0</v>
      </c>
      <c r="CU74" s="187">
        <f t="shared" si="452"/>
        <v>0</v>
      </c>
      <c r="CV74" s="188">
        <f t="shared" ref="CV74" si="480">SUM(CV67:CV73)</f>
        <v>0</v>
      </c>
      <c r="CW74" s="187">
        <f t="shared" si="452"/>
        <v>0</v>
      </c>
      <c r="CX74" s="188">
        <f t="shared" ref="CX74" si="481">SUM(CX67:CX73)</f>
        <v>0</v>
      </c>
      <c r="CY74" s="187">
        <f t="shared" si="452"/>
        <v>0</v>
      </c>
      <c r="CZ74" s="188"/>
      <c r="DA74" s="187">
        <f t="shared" si="452"/>
        <v>0</v>
      </c>
      <c r="DB74" s="188"/>
      <c r="DC74" s="187">
        <f t="shared" si="452"/>
        <v>0</v>
      </c>
      <c r="DD74" s="188">
        <f t="shared" ref="DD74" si="482">SUM(DD67:DD73)</f>
        <v>0</v>
      </c>
      <c r="DE74" s="187">
        <f t="shared" si="452"/>
        <v>0</v>
      </c>
      <c r="DF74" s="188">
        <f t="shared" ref="DF74" si="483">SUM(DF67:DF73)</f>
        <v>0</v>
      </c>
      <c r="DG74" s="187">
        <f t="shared" si="452"/>
        <v>0</v>
      </c>
      <c r="DH74" s="188">
        <f t="shared" ref="DH74" si="484">SUM(DH67:DH73)</f>
        <v>0</v>
      </c>
      <c r="DI74" s="187">
        <f t="shared" si="452"/>
        <v>263547</v>
      </c>
      <c r="DJ74" s="188" t="e">
        <f t="shared" ref="DJ74" si="485">SUM(DJ67:DJ73)</f>
        <v>#REF!</v>
      </c>
      <c r="DK74" s="187">
        <f t="shared" si="452"/>
        <v>0</v>
      </c>
      <c r="DL74" s="188">
        <f t="shared" ref="DL74" si="486">SUM(DL67:DL73)</f>
        <v>0</v>
      </c>
      <c r="DM74" s="187">
        <f t="shared" si="452"/>
        <v>0</v>
      </c>
      <c r="DN74" s="188">
        <f t="shared" ref="DN74" si="487">SUM(DN67:DN73)</f>
        <v>0</v>
      </c>
      <c r="DO74" s="187">
        <f t="shared" si="452"/>
        <v>0</v>
      </c>
      <c r="DP74" s="188">
        <f t="shared" ref="DP74" si="488">SUM(DP67:DP73)</f>
        <v>0</v>
      </c>
      <c r="DQ74" s="187">
        <f t="shared" si="452"/>
        <v>0</v>
      </c>
      <c r="DR74" s="188"/>
      <c r="DS74" s="187">
        <f t="shared" si="452"/>
        <v>0</v>
      </c>
      <c r="DT74" s="188">
        <f t="shared" ref="DT74" si="489">SUM(DT67:DT73)</f>
        <v>0</v>
      </c>
      <c r="DU74" s="187"/>
      <c r="DV74" s="188"/>
    </row>
    <row r="75" spans="1:126" x14ac:dyDescent="0.2">
      <c r="A75" s="183" t="s">
        <v>221</v>
      </c>
      <c r="B75" s="183" t="s">
        <v>223</v>
      </c>
      <c r="C75" s="184">
        <f t="shared" si="342"/>
        <v>327097</v>
      </c>
      <c r="D75" s="185">
        <f t="shared" si="338"/>
        <v>213922</v>
      </c>
      <c r="E75" s="184">
        <f>K75+M75+O74:O75+Q75+S75+U75+W75+Y75+AA75+AC75+AE75+AI75</f>
        <v>90308</v>
      </c>
      <c r="F75" s="185">
        <f t="shared" ref="F75:F78" si="490">L75+N75+P74:P75+R75+T75+V75+X75+Z75+AB75+AD75+AF75+AJ75+AH75</f>
        <v>196922</v>
      </c>
      <c r="G75" s="184">
        <f t="shared" si="442"/>
        <v>22867</v>
      </c>
      <c r="H75" s="185">
        <f t="shared" si="442"/>
        <v>17000</v>
      </c>
      <c r="I75" s="184"/>
      <c r="J75" s="185"/>
      <c r="K75" s="184"/>
      <c r="L75" s="185"/>
      <c r="M75" s="184"/>
      <c r="N75" s="185"/>
      <c r="O75" s="184"/>
      <c r="P75" s="185"/>
      <c r="Q75" s="184"/>
      <c r="R75" s="185"/>
      <c r="S75" s="184"/>
      <c r="T75" s="185"/>
      <c r="U75" s="184"/>
      <c r="V75" s="185"/>
      <c r="W75" s="184"/>
      <c r="X75" s="185"/>
      <c r="Y75" s="184"/>
      <c r="Z75" s="185"/>
      <c r="AA75" s="184"/>
      <c r="AB75" s="185"/>
      <c r="AC75" s="184"/>
      <c r="AD75" s="185"/>
      <c r="AE75" s="184">
        <f>'[3]8. felújítás'!J6+'[3]8. felújítás'!J12+'[3]8. felújítás'!J13+'[3]8. felújítás'!J14+'[3]8. felújítás'!J8</f>
        <v>90308</v>
      </c>
      <c r="AF75" s="185">
        <v>196922</v>
      </c>
      <c r="AG75" s="184"/>
      <c r="AH75" s="185">
        <v>0</v>
      </c>
      <c r="AI75" s="184"/>
      <c r="AJ75" s="185"/>
      <c r="AK75" s="184"/>
      <c r="AL75" s="185"/>
      <c r="AM75" s="184"/>
      <c r="AN75" s="185"/>
      <c r="AO75" s="184"/>
      <c r="AP75" s="185"/>
      <c r="AQ75" s="184"/>
      <c r="AR75" s="185"/>
      <c r="AS75" s="184"/>
      <c r="AT75" s="185"/>
      <c r="AU75" s="184"/>
      <c r="AV75" s="185"/>
      <c r="AW75" s="184"/>
      <c r="AX75" s="185"/>
      <c r="AY75" s="184"/>
      <c r="AZ75" s="185"/>
      <c r="BA75" s="184"/>
      <c r="BB75" s="185"/>
      <c r="BC75" s="184"/>
      <c r="BD75" s="185"/>
      <c r="BE75" s="184"/>
      <c r="BF75" s="185"/>
      <c r="BG75" s="184"/>
      <c r="BH75" s="185"/>
      <c r="BI75" s="184"/>
      <c r="BJ75" s="185"/>
      <c r="BK75" s="184"/>
      <c r="BL75" s="185"/>
      <c r="BM75" s="184"/>
      <c r="BN75" s="185"/>
      <c r="BO75" s="184"/>
      <c r="BP75" s="185"/>
      <c r="BQ75" s="184"/>
      <c r="BR75" s="185"/>
      <c r="BS75" s="184"/>
      <c r="BT75" s="185"/>
      <c r="BU75" s="184"/>
      <c r="BV75" s="185"/>
      <c r="BW75" s="184"/>
      <c r="BX75" s="185"/>
      <c r="BY75" s="184"/>
      <c r="BZ75" s="185"/>
      <c r="CA75" s="184"/>
      <c r="CB75" s="185"/>
      <c r="CC75" s="184"/>
      <c r="CD75" s="185"/>
      <c r="CE75" s="184"/>
      <c r="CF75" s="185"/>
      <c r="CG75" s="184"/>
      <c r="CH75" s="185"/>
      <c r="CI75" s="184"/>
      <c r="CJ75" s="185"/>
      <c r="CK75" s="184"/>
      <c r="CL75" s="185"/>
      <c r="CM75" s="184"/>
      <c r="CN75" s="185"/>
      <c r="CO75" s="184"/>
      <c r="CP75" s="185"/>
      <c r="CQ75" s="184"/>
      <c r="CR75" s="185"/>
      <c r="CS75" s="184"/>
      <c r="CT75" s="185"/>
      <c r="CU75" s="184"/>
      <c r="CV75" s="185"/>
      <c r="CW75" s="184"/>
      <c r="CX75" s="185"/>
      <c r="CY75" s="184"/>
      <c r="CZ75" s="185"/>
      <c r="DA75" s="184"/>
      <c r="DB75" s="185"/>
      <c r="DC75" s="184"/>
      <c r="DD75" s="185"/>
      <c r="DE75" s="184"/>
      <c r="DF75" s="185"/>
      <c r="DG75" s="184"/>
      <c r="DH75" s="185"/>
      <c r="DI75" s="184"/>
      <c r="DJ75" s="185"/>
      <c r="DK75" s="184">
        <f>'[3]8. felújítás'!J7+'[3]8. felújítás'!J15+'[3]8. felújítás'!J16+'[3]8. felújítás'!J17</f>
        <v>22867</v>
      </c>
      <c r="DL75" s="185">
        <v>17000</v>
      </c>
      <c r="DM75" s="184"/>
      <c r="DN75" s="185"/>
      <c r="DO75" s="184"/>
      <c r="DP75" s="185"/>
      <c r="DQ75" s="184"/>
      <c r="DR75" s="185"/>
      <c r="DS75" s="184"/>
      <c r="DT75" s="185"/>
      <c r="DU75" s="184"/>
      <c r="DV75" s="185"/>
    </row>
    <row r="76" spans="1:126" x14ac:dyDescent="0.2">
      <c r="A76" s="183" t="s">
        <v>224</v>
      </c>
      <c r="B76" s="183" t="s">
        <v>929</v>
      </c>
      <c r="C76" s="184">
        <f t="shared" si="342"/>
        <v>0</v>
      </c>
      <c r="D76" s="185">
        <f t="shared" si="338"/>
        <v>0</v>
      </c>
      <c r="E76" s="184">
        <f>K76+M76+O75:O76+Q76+S76+U76+W76+Y76+AA76+AC76+AE76+AI76</f>
        <v>0</v>
      </c>
      <c r="F76" s="185">
        <f t="shared" si="490"/>
        <v>0</v>
      </c>
      <c r="G76" s="184">
        <f t="shared" si="442"/>
        <v>0</v>
      </c>
      <c r="H76" s="185">
        <f t="shared" si="442"/>
        <v>0</v>
      </c>
      <c r="I76" s="184"/>
      <c r="J76" s="185"/>
      <c r="K76" s="184"/>
      <c r="L76" s="185"/>
      <c r="M76" s="184"/>
      <c r="N76" s="185"/>
      <c r="O76" s="184"/>
      <c r="P76" s="185"/>
      <c r="Q76" s="184"/>
      <c r="R76" s="185"/>
      <c r="S76" s="184"/>
      <c r="T76" s="185"/>
      <c r="U76" s="184"/>
      <c r="V76" s="185"/>
      <c r="W76" s="184"/>
      <c r="X76" s="185"/>
      <c r="Y76" s="184"/>
      <c r="Z76" s="185"/>
      <c r="AA76" s="184"/>
      <c r="AB76" s="185"/>
      <c r="AC76" s="184"/>
      <c r="AD76" s="185"/>
      <c r="AE76" s="184"/>
      <c r="AF76" s="185"/>
      <c r="AG76" s="184"/>
      <c r="AH76" s="185"/>
      <c r="AI76" s="184"/>
      <c r="AJ76" s="185"/>
      <c r="AK76" s="184"/>
      <c r="AL76" s="185"/>
      <c r="AM76" s="184"/>
      <c r="AN76" s="185"/>
      <c r="AO76" s="184"/>
      <c r="AP76" s="185"/>
      <c r="AQ76" s="184"/>
      <c r="AR76" s="185"/>
      <c r="AS76" s="184"/>
      <c r="AT76" s="185"/>
      <c r="AU76" s="184"/>
      <c r="AV76" s="185"/>
      <c r="AW76" s="184"/>
      <c r="AX76" s="185"/>
      <c r="AY76" s="184"/>
      <c r="AZ76" s="185"/>
      <c r="BA76" s="184"/>
      <c r="BB76" s="185"/>
      <c r="BC76" s="184"/>
      <c r="BD76" s="185"/>
      <c r="BE76" s="184"/>
      <c r="BF76" s="185"/>
      <c r="BG76" s="184"/>
      <c r="BH76" s="185"/>
      <c r="BI76" s="184"/>
      <c r="BJ76" s="185"/>
      <c r="BK76" s="184"/>
      <c r="BL76" s="185"/>
      <c r="BM76" s="184"/>
      <c r="BN76" s="185"/>
      <c r="BO76" s="184"/>
      <c r="BP76" s="185"/>
      <c r="BQ76" s="184"/>
      <c r="BR76" s="185"/>
      <c r="BS76" s="184"/>
      <c r="BT76" s="185"/>
      <c r="BU76" s="184"/>
      <c r="BV76" s="185"/>
      <c r="BW76" s="184"/>
      <c r="BX76" s="185"/>
      <c r="BY76" s="184"/>
      <c r="BZ76" s="185"/>
      <c r="CA76" s="184"/>
      <c r="CB76" s="185"/>
      <c r="CC76" s="184"/>
      <c r="CD76" s="185"/>
      <c r="CE76" s="184"/>
      <c r="CF76" s="185"/>
      <c r="CG76" s="184"/>
      <c r="CH76" s="185"/>
      <c r="CI76" s="184"/>
      <c r="CJ76" s="185"/>
      <c r="CK76" s="184"/>
      <c r="CL76" s="185"/>
      <c r="CM76" s="184"/>
      <c r="CN76" s="185"/>
      <c r="CO76" s="184"/>
      <c r="CP76" s="185"/>
      <c r="CQ76" s="184"/>
      <c r="CR76" s="185"/>
      <c r="CS76" s="184"/>
      <c r="CT76" s="185"/>
      <c r="CU76" s="184"/>
      <c r="CV76" s="185"/>
      <c r="CW76" s="184"/>
      <c r="CX76" s="185"/>
      <c r="CY76" s="184"/>
      <c r="CZ76" s="185"/>
      <c r="DA76" s="184"/>
      <c r="DB76" s="185"/>
      <c r="DC76" s="184"/>
      <c r="DD76" s="185"/>
      <c r="DE76" s="184"/>
      <c r="DF76" s="185"/>
      <c r="DG76" s="184"/>
      <c r="DH76" s="185"/>
      <c r="DI76" s="184"/>
      <c r="DJ76" s="185"/>
      <c r="DK76" s="184"/>
      <c r="DL76" s="185"/>
      <c r="DM76" s="184"/>
      <c r="DN76" s="185"/>
      <c r="DO76" s="184"/>
      <c r="DP76" s="185"/>
      <c r="DQ76" s="184"/>
      <c r="DR76" s="185"/>
      <c r="DS76" s="184"/>
      <c r="DT76" s="185"/>
      <c r="DU76" s="184"/>
      <c r="DV76" s="185"/>
    </row>
    <row r="77" spans="1:126" x14ac:dyDescent="0.2">
      <c r="A77" s="183" t="s">
        <v>227</v>
      </c>
      <c r="B77" s="183" t="s">
        <v>930</v>
      </c>
      <c r="C77" s="184">
        <f t="shared" si="342"/>
        <v>0</v>
      </c>
      <c r="D77" s="185">
        <f t="shared" si="338"/>
        <v>0</v>
      </c>
      <c r="E77" s="184">
        <f>K77+M77+O76:O77+Q77+S77+U77+W77+Y77+AA77+AC77+AE77+AI77</f>
        <v>0</v>
      </c>
      <c r="F77" s="185">
        <f t="shared" si="490"/>
        <v>0</v>
      </c>
      <c r="G77" s="184">
        <f t="shared" si="442"/>
        <v>0</v>
      </c>
      <c r="H77" s="185">
        <f t="shared" si="442"/>
        <v>0</v>
      </c>
      <c r="I77" s="184"/>
      <c r="J77" s="185"/>
      <c r="K77" s="184"/>
      <c r="L77" s="185"/>
      <c r="M77" s="184"/>
      <c r="N77" s="185"/>
      <c r="O77" s="184"/>
      <c r="P77" s="185"/>
      <c r="Q77" s="184"/>
      <c r="R77" s="185"/>
      <c r="S77" s="184"/>
      <c r="T77" s="185"/>
      <c r="U77" s="184"/>
      <c r="V77" s="185"/>
      <c r="W77" s="184"/>
      <c r="X77" s="185"/>
      <c r="Y77" s="184"/>
      <c r="Z77" s="185"/>
      <c r="AA77" s="184"/>
      <c r="AB77" s="185"/>
      <c r="AC77" s="184"/>
      <c r="AD77" s="185"/>
      <c r="AE77" s="184"/>
      <c r="AF77" s="185"/>
      <c r="AG77" s="184"/>
      <c r="AH77" s="185"/>
      <c r="AI77" s="184"/>
      <c r="AJ77" s="185"/>
      <c r="AK77" s="184"/>
      <c r="AL77" s="185"/>
      <c r="AM77" s="184"/>
      <c r="AN77" s="185"/>
      <c r="AO77" s="184"/>
      <c r="AP77" s="185"/>
      <c r="AQ77" s="184"/>
      <c r="AR77" s="185"/>
      <c r="AS77" s="184"/>
      <c r="AT77" s="185"/>
      <c r="AU77" s="184"/>
      <c r="AV77" s="185"/>
      <c r="AW77" s="184"/>
      <c r="AX77" s="185"/>
      <c r="AY77" s="184"/>
      <c r="AZ77" s="185"/>
      <c r="BA77" s="184"/>
      <c r="BB77" s="185"/>
      <c r="BC77" s="184"/>
      <c r="BD77" s="185"/>
      <c r="BE77" s="184"/>
      <c r="BF77" s="185"/>
      <c r="BG77" s="184"/>
      <c r="BH77" s="185"/>
      <c r="BI77" s="184"/>
      <c r="BJ77" s="185"/>
      <c r="BK77" s="184"/>
      <c r="BL77" s="185"/>
      <c r="BM77" s="184"/>
      <c r="BN77" s="185"/>
      <c r="BO77" s="184"/>
      <c r="BP77" s="185"/>
      <c r="BQ77" s="184"/>
      <c r="BR77" s="185"/>
      <c r="BS77" s="184"/>
      <c r="BT77" s="185"/>
      <c r="BU77" s="184"/>
      <c r="BV77" s="185"/>
      <c r="BW77" s="184"/>
      <c r="BX77" s="185"/>
      <c r="BY77" s="184"/>
      <c r="BZ77" s="185"/>
      <c r="CA77" s="184"/>
      <c r="CB77" s="185"/>
      <c r="CC77" s="184"/>
      <c r="CD77" s="185"/>
      <c r="CE77" s="184"/>
      <c r="CF77" s="185"/>
      <c r="CG77" s="184"/>
      <c r="CH77" s="185"/>
      <c r="CI77" s="184"/>
      <c r="CJ77" s="185"/>
      <c r="CK77" s="184"/>
      <c r="CL77" s="185"/>
      <c r="CM77" s="184"/>
      <c r="CN77" s="185"/>
      <c r="CO77" s="184"/>
      <c r="CP77" s="185"/>
      <c r="CQ77" s="184"/>
      <c r="CR77" s="185"/>
      <c r="CS77" s="184"/>
      <c r="CT77" s="185"/>
      <c r="CU77" s="184"/>
      <c r="CV77" s="185"/>
      <c r="CW77" s="184"/>
      <c r="CX77" s="185"/>
      <c r="CY77" s="184"/>
      <c r="CZ77" s="185"/>
      <c r="DA77" s="184"/>
      <c r="DB77" s="185"/>
      <c r="DC77" s="184"/>
      <c r="DD77" s="185"/>
      <c r="DE77" s="184"/>
      <c r="DF77" s="185"/>
      <c r="DG77" s="184"/>
      <c r="DH77" s="185"/>
      <c r="DI77" s="184"/>
      <c r="DJ77" s="185"/>
      <c r="DK77" s="184"/>
      <c r="DL77" s="185"/>
      <c r="DM77" s="184"/>
      <c r="DN77" s="185"/>
      <c r="DO77" s="184"/>
      <c r="DP77" s="185"/>
      <c r="DQ77" s="184"/>
      <c r="DR77" s="185"/>
      <c r="DS77" s="184"/>
      <c r="DT77" s="185"/>
      <c r="DU77" s="184"/>
      <c r="DV77" s="185"/>
    </row>
    <row r="78" spans="1:126" x14ac:dyDescent="0.2">
      <c r="A78" s="183" t="s">
        <v>232</v>
      </c>
      <c r="B78" s="183" t="s">
        <v>931</v>
      </c>
      <c r="C78" s="184">
        <f t="shared" si="342"/>
        <v>30557</v>
      </c>
      <c r="D78" s="185">
        <f t="shared" si="338"/>
        <v>0</v>
      </c>
      <c r="E78" s="184">
        <f>K78+M78+O77:O78+Q78+S78+U78+W78+Y78+AA78+AC78+AE78+AI78</f>
        <v>24384</v>
      </c>
      <c r="F78" s="185">
        <f t="shared" si="490"/>
        <v>0</v>
      </c>
      <c r="G78" s="184">
        <f t="shared" si="442"/>
        <v>6173</v>
      </c>
      <c r="H78" s="185">
        <f t="shared" si="442"/>
        <v>0</v>
      </c>
      <c r="I78" s="184"/>
      <c r="J78" s="185"/>
      <c r="K78" s="184"/>
      <c r="L78" s="185"/>
      <c r="M78" s="184"/>
      <c r="N78" s="185"/>
      <c r="O78" s="184"/>
      <c r="P78" s="185"/>
      <c r="Q78" s="184"/>
      <c r="R78" s="185"/>
      <c r="S78" s="184"/>
      <c r="T78" s="185"/>
      <c r="U78" s="184"/>
      <c r="V78" s="185"/>
      <c r="W78" s="184"/>
      <c r="X78" s="185"/>
      <c r="Y78" s="184"/>
      <c r="Z78" s="185"/>
      <c r="AA78" s="184"/>
      <c r="AB78" s="185"/>
      <c r="AC78" s="184"/>
      <c r="AD78" s="185"/>
      <c r="AE78" s="184">
        <f>'[3]8. felújítás'!K6+'[3]8. felújítás'!K12+'[3]8. felújítás'!K13+'[3]8. felújítás'!K14+'[3]8. felújítás'!K8</f>
        <v>24384</v>
      </c>
      <c r="AF78" s="185">
        <v>0</v>
      </c>
      <c r="AG78" s="184"/>
      <c r="AH78" s="185">
        <v>0</v>
      </c>
      <c r="AI78" s="184"/>
      <c r="AJ78" s="185"/>
      <c r="AK78" s="184"/>
      <c r="AL78" s="185"/>
      <c r="AM78" s="184"/>
      <c r="AN78" s="185"/>
      <c r="AO78" s="184"/>
      <c r="AP78" s="185"/>
      <c r="AQ78" s="184"/>
      <c r="AR78" s="185"/>
      <c r="AS78" s="184"/>
      <c r="AT78" s="185"/>
      <c r="AU78" s="184"/>
      <c r="AV78" s="185"/>
      <c r="AW78" s="184"/>
      <c r="AX78" s="185"/>
      <c r="AY78" s="184"/>
      <c r="AZ78" s="185"/>
      <c r="BA78" s="184"/>
      <c r="BB78" s="185"/>
      <c r="BC78" s="184"/>
      <c r="BD78" s="185"/>
      <c r="BE78" s="184"/>
      <c r="BF78" s="185"/>
      <c r="BG78" s="184"/>
      <c r="BH78" s="185"/>
      <c r="BI78" s="184"/>
      <c r="BJ78" s="185"/>
      <c r="BK78" s="184"/>
      <c r="BL78" s="185"/>
      <c r="BM78" s="184"/>
      <c r="BN78" s="185"/>
      <c r="BO78" s="184"/>
      <c r="BP78" s="185"/>
      <c r="BQ78" s="184"/>
      <c r="BR78" s="185"/>
      <c r="BS78" s="184"/>
      <c r="BT78" s="185"/>
      <c r="BU78" s="184"/>
      <c r="BV78" s="185"/>
      <c r="BW78" s="184"/>
      <c r="BX78" s="185"/>
      <c r="BY78" s="184"/>
      <c r="BZ78" s="185"/>
      <c r="CA78" s="184"/>
      <c r="CB78" s="185"/>
      <c r="CC78" s="184"/>
      <c r="CD78" s="185"/>
      <c r="CE78" s="184"/>
      <c r="CF78" s="185"/>
      <c r="CG78" s="184"/>
      <c r="CH78" s="185"/>
      <c r="CI78" s="184"/>
      <c r="CJ78" s="185"/>
      <c r="CK78" s="184"/>
      <c r="CL78" s="185"/>
      <c r="CM78" s="184"/>
      <c r="CN78" s="185"/>
      <c r="CO78" s="184"/>
      <c r="CP78" s="185"/>
      <c r="CQ78" s="184"/>
      <c r="CR78" s="185"/>
      <c r="CS78" s="184"/>
      <c r="CT78" s="185"/>
      <c r="CU78" s="184"/>
      <c r="CV78" s="185"/>
      <c r="CW78" s="184"/>
      <c r="CX78" s="185"/>
      <c r="CY78" s="184"/>
      <c r="CZ78" s="185"/>
      <c r="DA78" s="184"/>
      <c r="DB78" s="185"/>
      <c r="DC78" s="184"/>
      <c r="DD78" s="185"/>
      <c r="DE78" s="184"/>
      <c r="DF78" s="185"/>
      <c r="DG78" s="184"/>
      <c r="DH78" s="185"/>
      <c r="DI78" s="184"/>
      <c r="DJ78" s="185"/>
      <c r="DK78" s="184">
        <f>'[3]8. felújítás'!K7+'[3]8. felújítás'!K15+'[3]8. felújítás'!K16+'[3]8. felújítás'!K17</f>
        <v>6173</v>
      </c>
      <c r="DL78" s="185"/>
      <c r="DM78" s="184"/>
      <c r="DN78" s="185"/>
      <c r="DO78" s="184"/>
      <c r="DP78" s="185"/>
      <c r="DQ78" s="184"/>
      <c r="DR78" s="185"/>
      <c r="DS78" s="184"/>
      <c r="DT78" s="185"/>
      <c r="DU78" s="184"/>
      <c r="DV78" s="185"/>
    </row>
    <row r="79" spans="1:126" x14ac:dyDescent="0.2">
      <c r="A79" s="186" t="s">
        <v>235</v>
      </c>
      <c r="B79" s="186" t="s">
        <v>342</v>
      </c>
      <c r="C79" s="187">
        <f t="shared" ref="C79:I79" si="491">SUM(C75:C78)</f>
        <v>357654</v>
      </c>
      <c r="D79" s="188">
        <f t="shared" si="491"/>
        <v>213922</v>
      </c>
      <c r="E79" s="187">
        <f t="shared" si="491"/>
        <v>114692</v>
      </c>
      <c r="F79" s="188">
        <f t="shared" si="491"/>
        <v>196922</v>
      </c>
      <c r="G79" s="187">
        <f t="shared" si="491"/>
        <v>29040</v>
      </c>
      <c r="H79" s="188">
        <f t="shared" si="491"/>
        <v>17000</v>
      </c>
      <c r="I79" s="187">
        <f t="shared" si="491"/>
        <v>0</v>
      </c>
      <c r="J79" s="188">
        <f t="shared" ref="J79:AO79" si="492">SUM(J75:J78)</f>
        <v>0</v>
      </c>
      <c r="K79" s="187">
        <f t="shared" si="492"/>
        <v>0</v>
      </c>
      <c r="L79" s="188">
        <f t="shared" si="492"/>
        <v>0</v>
      </c>
      <c r="M79" s="187">
        <f t="shared" si="492"/>
        <v>0</v>
      </c>
      <c r="N79" s="188">
        <f t="shared" si="492"/>
        <v>0</v>
      </c>
      <c r="O79" s="187">
        <f t="shared" si="492"/>
        <v>0</v>
      </c>
      <c r="P79" s="188">
        <f t="shared" si="492"/>
        <v>0</v>
      </c>
      <c r="Q79" s="187">
        <f t="shared" si="492"/>
        <v>0</v>
      </c>
      <c r="R79" s="188">
        <f t="shared" si="492"/>
        <v>0</v>
      </c>
      <c r="S79" s="187">
        <f t="shared" si="492"/>
        <v>0</v>
      </c>
      <c r="T79" s="188">
        <f t="shared" ref="T79" si="493">SUM(T75:T78)</f>
        <v>0</v>
      </c>
      <c r="U79" s="187">
        <f t="shared" si="492"/>
        <v>0</v>
      </c>
      <c r="V79" s="188">
        <f t="shared" ref="V79" si="494">SUM(V75:V78)</f>
        <v>0</v>
      </c>
      <c r="W79" s="187">
        <f t="shared" si="492"/>
        <v>0</v>
      </c>
      <c r="X79" s="188">
        <f t="shared" si="492"/>
        <v>0</v>
      </c>
      <c r="Y79" s="187">
        <f t="shared" si="492"/>
        <v>0</v>
      </c>
      <c r="Z79" s="188">
        <f t="shared" si="492"/>
        <v>0</v>
      </c>
      <c r="AA79" s="187">
        <f t="shared" si="492"/>
        <v>0</v>
      </c>
      <c r="AB79" s="188">
        <f t="shared" ref="AB79" si="495">SUM(AB75:AB78)</f>
        <v>0</v>
      </c>
      <c r="AC79" s="187">
        <f t="shared" si="492"/>
        <v>0</v>
      </c>
      <c r="AD79" s="188">
        <f t="shared" ref="AD79" si="496">SUM(AD75:AD78)</f>
        <v>0</v>
      </c>
      <c r="AE79" s="187">
        <f t="shared" si="492"/>
        <v>114692</v>
      </c>
      <c r="AF79" s="188">
        <f t="shared" ref="AF79:AH79" si="497">SUM(AF75:AF78)</f>
        <v>196922</v>
      </c>
      <c r="AG79" s="187"/>
      <c r="AH79" s="188">
        <f t="shared" si="497"/>
        <v>0</v>
      </c>
      <c r="AI79" s="187">
        <f>SUM(AI75:AI78)</f>
        <v>0</v>
      </c>
      <c r="AJ79" s="188">
        <f>SUM(AJ75:AJ78)</f>
        <v>0</v>
      </c>
      <c r="AK79" s="187">
        <f t="shared" si="492"/>
        <v>0</v>
      </c>
      <c r="AL79" s="188">
        <f t="shared" ref="AL79" si="498">SUM(AL75:AL78)</f>
        <v>0</v>
      </c>
      <c r="AM79" s="187">
        <f t="shared" si="492"/>
        <v>0</v>
      </c>
      <c r="AN79" s="188"/>
      <c r="AO79" s="187">
        <f t="shared" si="492"/>
        <v>0</v>
      </c>
      <c r="AP79" s="188">
        <f t="shared" ref="AP79" si="499">SUM(AP75:AP78)</f>
        <v>0</v>
      </c>
      <c r="AQ79" s="187">
        <f t="shared" ref="AQ79:DS79" si="500">SUM(AQ75:AQ78)</f>
        <v>0</v>
      </c>
      <c r="AR79" s="188">
        <f t="shared" ref="AR79" si="501">SUM(AR75:AR78)</f>
        <v>0</v>
      </c>
      <c r="AS79" s="187">
        <f t="shared" si="500"/>
        <v>0</v>
      </c>
      <c r="AT79" s="188">
        <f t="shared" ref="AT79" si="502">SUM(AT75:AT78)</f>
        <v>0</v>
      </c>
      <c r="AU79" s="187">
        <f t="shared" si="500"/>
        <v>0</v>
      </c>
      <c r="AV79" s="188">
        <f t="shared" ref="AV79" si="503">SUM(AV75:AV78)</f>
        <v>0</v>
      </c>
      <c r="AW79" s="187">
        <f t="shared" si="500"/>
        <v>0</v>
      </c>
      <c r="AX79" s="188">
        <f t="shared" ref="AX79" si="504">SUM(AX75:AX78)</f>
        <v>0</v>
      </c>
      <c r="AY79" s="187">
        <f t="shared" si="500"/>
        <v>0</v>
      </c>
      <c r="AZ79" s="188">
        <f t="shared" ref="AZ79" si="505">SUM(AZ75:AZ78)</f>
        <v>0</v>
      </c>
      <c r="BA79" s="187">
        <f t="shared" si="500"/>
        <v>0</v>
      </c>
      <c r="BB79" s="188">
        <f t="shared" ref="BB79" si="506">SUM(BB75:BB78)</f>
        <v>0</v>
      </c>
      <c r="BC79" s="187">
        <f t="shared" si="500"/>
        <v>0</v>
      </c>
      <c r="BD79" s="188">
        <f t="shared" ref="BD79" si="507">SUM(BD75:BD78)</f>
        <v>0</v>
      </c>
      <c r="BE79" s="187">
        <f t="shared" si="500"/>
        <v>0</v>
      </c>
      <c r="BF79" s="188">
        <f t="shared" ref="BF79" si="508">SUM(BF75:BF78)</f>
        <v>0</v>
      </c>
      <c r="BG79" s="187">
        <f t="shared" si="500"/>
        <v>0</v>
      </c>
      <c r="BH79" s="188">
        <f t="shared" ref="BH79" si="509">SUM(BH75:BH78)</f>
        <v>0</v>
      </c>
      <c r="BI79" s="187">
        <f t="shared" si="500"/>
        <v>0</v>
      </c>
      <c r="BJ79" s="188">
        <f t="shared" ref="BJ79" si="510">SUM(BJ75:BJ78)</f>
        <v>0</v>
      </c>
      <c r="BK79" s="187">
        <f t="shared" si="500"/>
        <v>0</v>
      </c>
      <c r="BL79" s="188">
        <f t="shared" ref="BL79" si="511">SUM(BL75:BL78)</f>
        <v>0</v>
      </c>
      <c r="BM79" s="187">
        <f t="shared" si="500"/>
        <v>0</v>
      </c>
      <c r="BN79" s="188">
        <f t="shared" ref="BN79" si="512">SUM(BN75:BN78)</f>
        <v>0</v>
      </c>
      <c r="BO79" s="187">
        <f t="shared" si="500"/>
        <v>0</v>
      </c>
      <c r="BP79" s="188">
        <f t="shared" ref="BP79" si="513">SUM(BP75:BP78)</f>
        <v>0</v>
      </c>
      <c r="BQ79" s="187">
        <f t="shared" si="500"/>
        <v>0</v>
      </c>
      <c r="BR79" s="188">
        <f t="shared" ref="BR79" si="514">SUM(BR75:BR78)</f>
        <v>0</v>
      </c>
      <c r="BS79" s="187">
        <f t="shared" si="500"/>
        <v>0</v>
      </c>
      <c r="BT79" s="188">
        <f t="shared" ref="BT79" si="515">SUM(BT75:BT78)</f>
        <v>0</v>
      </c>
      <c r="BU79" s="187">
        <f t="shared" si="500"/>
        <v>0</v>
      </c>
      <c r="BV79" s="188">
        <f t="shared" ref="BV79" si="516">SUM(BV75:BV78)</f>
        <v>0</v>
      </c>
      <c r="BW79" s="187">
        <f t="shared" si="500"/>
        <v>0</v>
      </c>
      <c r="BX79" s="188">
        <f t="shared" ref="BX79" si="517">SUM(BX75:BX78)</f>
        <v>0</v>
      </c>
      <c r="BY79" s="187">
        <f t="shared" si="500"/>
        <v>0</v>
      </c>
      <c r="BZ79" s="188">
        <f t="shared" ref="BZ79" si="518">SUM(BZ75:BZ78)</f>
        <v>0</v>
      </c>
      <c r="CA79" s="187">
        <f t="shared" si="500"/>
        <v>0</v>
      </c>
      <c r="CB79" s="188">
        <f t="shared" ref="CB79" si="519">SUM(CB75:CB78)</f>
        <v>0</v>
      </c>
      <c r="CC79" s="187">
        <f t="shared" si="500"/>
        <v>0</v>
      </c>
      <c r="CD79" s="188">
        <f t="shared" ref="CD79" si="520">SUM(CD75:CD78)</f>
        <v>0</v>
      </c>
      <c r="CE79" s="187">
        <f>SUM(CE75:CE78)</f>
        <v>0</v>
      </c>
      <c r="CF79" s="188">
        <f>SUM(CF75:CF78)</f>
        <v>0</v>
      </c>
      <c r="CG79" s="187">
        <f t="shared" si="500"/>
        <v>0</v>
      </c>
      <c r="CH79" s="188">
        <f t="shared" ref="CH79" si="521">SUM(CH75:CH78)</f>
        <v>0</v>
      </c>
      <c r="CI79" s="187">
        <f t="shared" si="500"/>
        <v>0</v>
      </c>
      <c r="CJ79" s="188">
        <f t="shared" ref="CJ79" si="522">SUM(CJ75:CJ78)</f>
        <v>0</v>
      </c>
      <c r="CK79" s="187">
        <f t="shared" si="500"/>
        <v>0</v>
      </c>
      <c r="CL79" s="188">
        <f t="shared" ref="CL79" si="523">SUM(CL75:CL78)</f>
        <v>0</v>
      </c>
      <c r="CM79" s="187">
        <f t="shared" si="500"/>
        <v>0</v>
      </c>
      <c r="CN79" s="188">
        <f t="shared" ref="CN79" si="524">SUM(CN75:CN78)</f>
        <v>0</v>
      </c>
      <c r="CO79" s="187">
        <f t="shared" si="500"/>
        <v>0</v>
      </c>
      <c r="CP79" s="188">
        <f t="shared" ref="CP79" si="525">SUM(CP75:CP78)</f>
        <v>0</v>
      </c>
      <c r="CQ79" s="187">
        <f t="shared" si="500"/>
        <v>0</v>
      </c>
      <c r="CR79" s="188">
        <f t="shared" ref="CR79" si="526">SUM(CR75:CR78)</f>
        <v>0</v>
      </c>
      <c r="CS79" s="187">
        <f t="shared" si="500"/>
        <v>0</v>
      </c>
      <c r="CT79" s="188">
        <f t="shared" ref="CT79" si="527">SUM(CT75:CT78)</f>
        <v>0</v>
      </c>
      <c r="CU79" s="187">
        <f t="shared" si="500"/>
        <v>0</v>
      </c>
      <c r="CV79" s="188">
        <f t="shared" ref="CV79" si="528">SUM(CV75:CV78)</f>
        <v>0</v>
      </c>
      <c r="CW79" s="187">
        <f t="shared" si="500"/>
        <v>0</v>
      </c>
      <c r="CX79" s="188">
        <f t="shared" ref="CX79" si="529">SUM(CX75:CX78)</f>
        <v>0</v>
      </c>
      <c r="CY79" s="187">
        <f t="shared" si="500"/>
        <v>0</v>
      </c>
      <c r="CZ79" s="188"/>
      <c r="DA79" s="187">
        <f t="shared" si="500"/>
        <v>0</v>
      </c>
      <c r="DB79" s="188"/>
      <c r="DC79" s="187">
        <f t="shared" si="500"/>
        <v>0</v>
      </c>
      <c r="DD79" s="188">
        <f t="shared" ref="DD79" si="530">SUM(DD75:DD78)</f>
        <v>0</v>
      </c>
      <c r="DE79" s="187">
        <f t="shared" si="500"/>
        <v>0</v>
      </c>
      <c r="DF79" s="188">
        <f t="shared" ref="DF79" si="531">SUM(DF75:DF78)</f>
        <v>0</v>
      </c>
      <c r="DG79" s="187">
        <f t="shared" si="500"/>
        <v>0</v>
      </c>
      <c r="DH79" s="188">
        <f t="shared" ref="DH79" si="532">SUM(DH75:DH78)</f>
        <v>0</v>
      </c>
      <c r="DI79" s="187">
        <f t="shared" si="500"/>
        <v>0</v>
      </c>
      <c r="DJ79" s="188">
        <f t="shared" ref="DJ79" si="533">SUM(DJ75:DJ78)</f>
        <v>0</v>
      </c>
      <c r="DK79" s="187">
        <f t="shared" si="500"/>
        <v>29040</v>
      </c>
      <c r="DL79" s="188">
        <f t="shared" ref="DL79" si="534">SUM(DL75:DL78)</f>
        <v>17000</v>
      </c>
      <c r="DM79" s="187">
        <f t="shared" si="500"/>
        <v>0</v>
      </c>
      <c r="DN79" s="188">
        <f t="shared" ref="DN79" si="535">SUM(DN75:DN78)</f>
        <v>0</v>
      </c>
      <c r="DO79" s="187">
        <f t="shared" si="500"/>
        <v>0</v>
      </c>
      <c r="DP79" s="188">
        <f t="shared" ref="DP79" si="536">SUM(DP75:DP78)</f>
        <v>0</v>
      </c>
      <c r="DQ79" s="187">
        <f t="shared" si="500"/>
        <v>0</v>
      </c>
      <c r="DR79" s="188"/>
      <c r="DS79" s="187">
        <f t="shared" si="500"/>
        <v>0</v>
      </c>
      <c r="DT79" s="188">
        <f t="shared" ref="DT79" si="537">SUM(DT75:DT78)</f>
        <v>0</v>
      </c>
      <c r="DU79" s="187"/>
      <c r="DV79" s="188"/>
    </row>
    <row r="80" spans="1:126" x14ac:dyDescent="0.2">
      <c r="A80" s="183" t="s">
        <v>932</v>
      </c>
      <c r="B80" s="193" t="s">
        <v>933</v>
      </c>
      <c r="C80" s="184">
        <f t="shared" si="342"/>
        <v>0</v>
      </c>
      <c r="D80" s="185">
        <f t="shared" si="338"/>
        <v>0</v>
      </c>
      <c r="E80" s="184">
        <f t="shared" ref="E80:E87" si="538">K80+M80+O79:O80+Q80+S80+U80+W80+Y80+AA80+AC80+AE80+AI80</f>
        <v>0</v>
      </c>
      <c r="F80" s="185">
        <f t="shared" ref="F80:F87" si="539">L80+N80+P79:P80+R80+T80+V80+X80+Z80+AB80+AD80+AF80+AJ80+AH80</f>
        <v>0</v>
      </c>
      <c r="G80" s="184">
        <f t="shared" si="442"/>
        <v>0</v>
      </c>
      <c r="H80" s="185">
        <f t="shared" si="442"/>
        <v>0</v>
      </c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  <c r="U80" s="184"/>
      <c r="V80" s="185"/>
      <c r="W80" s="184"/>
      <c r="X80" s="185"/>
      <c r="Y80" s="184"/>
      <c r="Z80" s="185"/>
      <c r="AA80" s="184"/>
      <c r="AB80" s="185"/>
      <c r="AC80" s="184"/>
      <c r="AD80" s="185"/>
      <c r="AE80" s="184"/>
      <c r="AF80" s="185"/>
      <c r="AG80" s="184"/>
      <c r="AH80" s="185"/>
      <c r="AI80" s="184"/>
      <c r="AJ80" s="185"/>
      <c r="AK80" s="184"/>
      <c r="AL80" s="185"/>
      <c r="AM80" s="184"/>
      <c r="AN80" s="185"/>
      <c r="AO80" s="184"/>
      <c r="AP80" s="185"/>
      <c r="AQ80" s="184"/>
      <c r="AR80" s="185"/>
      <c r="AS80" s="184"/>
      <c r="AT80" s="185"/>
      <c r="AU80" s="184"/>
      <c r="AV80" s="185"/>
      <c r="AW80" s="184"/>
      <c r="AX80" s="185"/>
      <c r="AY80" s="184"/>
      <c r="AZ80" s="185"/>
      <c r="BA80" s="184"/>
      <c r="BB80" s="185"/>
      <c r="BC80" s="184"/>
      <c r="BD80" s="185"/>
      <c r="BE80" s="184"/>
      <c r="BF80" s="185"/>
      <c r="BG80" s="184"/>
      <c r="BH80" s="185"/>
      <c r="BI80" s="184"/>
      <c r="BJ80" s="185"/>
      <c r="BK80" s="184"/>
      <c r="BL80" s="185"/>
      <c r="BM80" s="184"/>
      <c r="BN80" s="185"/>
      <c r="BO80" s="184"/>
      <c r="BP80" s="185"/>
      <c r="BQ80" s="184"/>
      <c r="BR80" s="185"/>
      <c r="BS80" s="184"/>
      <c r="BT80" s="185"/>
      <c r="BU80" s="184"/>
      <c r="BV80" s="185"/>
      <c r="BW80" s="184"/>
      <c r="BX80" s="185"/>
      <c r="BY80" s="184"/>
      <c r="BZ80" s="185"/>
      <c r="CA80" s="184"/>
      <c r="CB80" s="185"/>
      <c r="CC80" s="184"/>
      <c r="CD80" s="185"/>
      <c r="CE80" s="184"/>
      <c r="CF80" s="185"/>
      <c r="CG80" s="184"/>
      <c r="CH80" s="185"/>
      <c r="CI80" s="184"/>
      <c r="CJ80" s="185"/>
      <c r="CK80" s="184"/>
      <c r="CL80" s="185"/>
      <c r="CM80" s="184"/>
      <c r="CN80" s="185"/>
      <c r="CO80" s="184"/>
      <c r="CP80" s="185"/>
      <c r="CQ80" s="184"/>
      <c r="CR80" s="185"/>
      <c r="CS80" s="184"/>
      <c r="CT80" s="185"/>
      <c r="CU80" s="184"/>
      <c r="CV80" s="185"/>
      <c r="CW80" s="184"/>
      <c r="CX80" s="185"/>
      <c r="CY80" s="184"/>
      <c r="CZ80" s="185"/>
      <c r="DA80" s="184"/>
      <c r="DB80" s="185"/>
      <c r="DC80" s="184"/>
      <c r="DD80" s="185"/>
      <c r="DE80" s="184"/>
      <c r="DF80" s="185"/>
      <c r="DG80" s="184"/>
      <c r="DH80" s="185"/>
      <c r="DI80" s="184"/>
      <c r="DJ80" s="185"/>
      <c r="DK80" s="184"/>
      <c r="DL80" s="185"/>
      <c r="DM80" s="184"/>
      <c r="DN80" s="185"/>
      <c r="DO80" s="184"/>
      <c r="DP80" s="185"/>
      <c r="DQ80" s="184"/>
      <c r="DR80" s="185"/>
      <c r="DS80" s="184"/>
      <c r="DT80" s="185"/>
      <c r="DU80" s="184"/>
      <c r="DV80" s="185"/>
    </row>
    <row r="81" spans="1:126" x14ac:dyDescent="0.2">
      <c r="A81" s="183" t="s">
        <v>934</v>
      </c>
      <c r="B81" s="193" t="s">
        <v>935</v>
      </c>
      <c r="C81" s="184">
        <f t="shared" si="342"/>
        <v>0</v>
      </c>
      <c r="D81" s="185">
        <f t="shared" si="338"/>
        <v>0</v>
      </c>
      <c r="E81" s="184">
        <f t="shared" si="538"/>
        <v>0</v>
      </c>
      <c r="F81" s="185">
        <f t="shared" si="539"/>
        <v>0</v>
      </c>
      <c r="G81" s="184">
        <f t="shared" si="442"/>
        <v>0</v>
      </c>
      <c r="H81" s="185">
        <f t="shared" si="442"/>
        <v>0</v>
      </c>
      <c r="I81" s="184"/>
      <c r="J81" s="185"/>
      <c r="K81" s="184"/>
      <c r="L81" s="185"/>
      <c r="M81" s="184"/>
      <c r="N81" s="185"/>
      <c r="O81" s="184"/>
      <c r="P81" s="185"/>
      <c r="Q81" s="184"/>
      <c r="R81" s="185"/>
      <c r="S81" s="184"/>
      <c r="T81" s="185"/>
      <c r="U81" s="184"/>
      <c r="V81" s="185"/>
      <c r="W81" s="184"/>
      <c r="X81" s="185"/>
      <c r="Y81" s="184"/>
      <c r="Z81" s="185"/>
      <c r="AA81" s="184"/>
      <c r="AB81" s="185"/>
      <c r="AC81" s="184"/>
      <c r="AD81" s="185"/>
      <c r="AE81" s="184"/>
      <c r="AF81" s="185"/>
      <c r="AG81" s="184"/>
      <c r="AH81" s="185"/>
      <c r="AI81" s="184"/>
      <c r="AJ81" s="185"/>
      <c r="AK81" s="184"/>
      <c r="AL81" s="185"/>
      <c r="AM81" s="184"/>
      <c r="AN81" s="185"/>
      <c r="AO81" s="184"/>
      <c r="AP81" s="185"/>
      <c r="AQ81" s="184"/>
      <c r="AR81" s="185"/>
      <c r="AS81" s="184"/>
      <c r="AT81" s="185"/>
      <c r="AU81" s="184"/>
      <c r="AV81" s="185"/>
      <c r="AW81" s="184"/>
      <c r="AX81" s="185"/>
      <c r="AY81" s="184"/>
      <c r="AZ81" s="185"/>
      <c r="BA81" s="184"/>
      <c r="BB81" s="185"/>
      <c r="BC81" s="184"/>
      <c r="BD81" s="185"/>
      <c r="BE81" s="184"/>
      <c r="BF81" s="185"/>
      <c r="BG81" s="184"/>
      <c r="BH81" s="185"/>
      <c r="BI81" s="184"/>
      <c r="BJ81" s="185"/>
      <c r="BK81" s="184"/>
      <c r="BL81" s="185"/>
      <c r="BM81" s="184"/>
      <c r="BN81" s="185"/>
      <c r="BO81" s="184"/>
      <c r="BP81" s="185"/>
      <c r="BQ81" s="184"/>
      <c r="BR81" s="185"/>
      <c r="BS81" s="184"/>
      <c r="BT81" s="185"/>
      <c r="BU81" s="184"/>
      <c r="BV81" s="185"/>
      <c r="BW81" s="184"/>
      <c r="BX81" s="185"/>
      <c r="BY81" s="184"/>
      <c r="BZ81" s="185"/>
      <c r="CA81" s="184"/>
      <c r="CB81" s="185"/>
      <c r="CC81" s="184"/>
      <c r="CD81" s="185"/>
      <c r="CE81" s="184"/>
      <c r="CF81" s="185"/>
      <c r="CG81" s="184"/>
      <c r="CH81" s="185"/>
      <c r="CI81" s="184"/>
      <c r="CJ81" s="185"/>
      <c r="CK81" s="184"/>
      <c r="CL81" s="185"/>
      <c r="CM81" s="184"/>
      <c r="CN81" s="185"/>
      <c r="CO81" s="184"/>
      <c r="CP81" s="185"/>
      <c r="CQ81" s="184"/>
      <c r="CR81" s="185"/>
      <c r="CS81" s="184"/>
      <c r="CT81" s="185"/>
      <c r="CU81" s="184"/>
      <c r="CV81" s="185"/>
      <c r="CW81" s="184"/>
      <c r="CX81" s="185"/>
      <c r="CY81" s="184"/>
      <c r="CZ81" s="185"/>
      <c r="DA81" s="184"/>
      <c r="DB81" s="185"/>
      <c r="DC81" s="184"/>
      <c r="DD81" s="185"/>
      <c r="DE81" s="184"/>
      <c r="DF81" s="185"/>
      <c r="DG81" s="184"/>
      <c r="DH81" s="185"/>
      <c r="DI81" s="184"/>
      <c r="DJ81" s="185"/>
      <c r="DK81" s="184"/>
      <c r="DL81" s="185"/>
      <c r="DM81" s="184"/>
      <c r="DN81" s="185"/>
      <c r="DO81" s="184"/>
      <c r="DP81" s="185"/>
      <c r="DQ81" s="184"/>
      <c r="DR81" s="185"/>
      <c r="DS81" s="184"/>
      <c r="DT81" s="185"/>
      <c r="DU81" s="184"/>
      <c r="DV81" s="185"/>
    </row>
    <row r="82" spans="1:126" x14ac:dyDescent="0.2">
      <c r="A82" s="183" t="s">
        <v>936</v>
      </c>
      <c r="B82" s="193" t="s">
        <v>937</v>
      </c>
      <c r="C82" s="184">
        <f t="shared" si="342"/>
        <v>0</v>
      </c>
      <c r="D82" s="185">
        <f t="shared" si="338"/>
        <v>0</v>
      </c>
      <c r="E82" s="184">
        <f t="shared" si="538"/>
        <v>0</v>
      </c>
      <c r="F82" s="185">
        <f t="shared" si="539"/>
        <v>0</v>
      </c>
      <c r="G82" s="184">
        <f t="shared" si="442"/>
        <v>0</v>
      </c>
      <c r="H82" s="185">
        <f t="shared" si="442"/>
        <v>0</v>
      </c>
      <c r="I82" s="184"/>
      <c r="J82" s="185"/>
      <c r="K82" s="184"/>
      <c r="L82" s="185"/>
      <c r="M82" s="184"/>
      <c r="N82" s="185"/>
      <c r="O82" s="184"/>
      <c r="P82" s="185"/>
      <c r="Q82" s="184"/>
      <c r="R82" s="185"/>
      <c r="S82" s="184"/>
      <c r="T82" s="185"/>
      <c r="U82" s="184"/>
      <c r="V82" s="185"/>
      <c r="W82" s="184"/>
      <c r="X82" s="185"/>
      <c r="Y82" s="184"/>
      <c r="Z82" s="185"/>
      <c r="AA82" s="184"/>
      <c r="AB82" s="185"/>
      <c r="AC82" s="184"/>
      <c r="AD82" s="185"/>
      <c r="AE82" s="184"/>
      <c r="AF82" s="185"/>
      <c r="AG82" s="184"/>
      <c r="AH82" s="185"/>
      <c r="AI82" s="184"/>
      <c r="AJ82" s="185"/>
      <c r="AK82" s="184"/>
      <c r="AL82" s="185"/>
      <c r="AM82" s="184"/>
      <c r="AN82" s="185"/>
      <c r="AO82" s="184"/>
      <c r="AP82" s="185"/>
      <c r="AQ82" s="184"/>
      <c r="AR82" s="185"/>
      <c r="AS82" s="184"/>
      <c r="AT82" s="185"/>
      <c r="AU82" s="184"/>
      <c r="AV82" s="185"/>
      <c r="AW82" s="184"/>
      <c r="AX82" s="185"/>
      <c r="AY82" s="184"/>
      <c r="AZ82" s="185"/>
      <c r="BA82" s="184"/>
      <c r="BB82" s="185"/>
      <c r="BC82" s="184"/>
      <c r="BD82" s="185"/>
      <c r="BE82" s="184"/>
      <c r="BF82" s="185"/>
      <c r="BG82" s="184"/>
      <c r="BH82" s="185"/>
      <c r="BI82" s="184"/>
      <c r="BJ82" s="185"/>
      <c r="BK82" s="184"/>
      <c r="BL82" s="185"/>
      <c r="BM82" s="184"/>
      <c r="BN82" s="185"/>
      <c r="BO82" s="184"/>
      <c r="BP82" s="185"/>
      <c r="BQ82" s="184"/>
      <c r="BR82" s="185"/>
      <c r="BS82" s="184"/>
      <c r="BT82" s="185"/>
      <c r="BU82" s="184"/>
      <c r="BV82" s="185"/>
      <c r="BW82" s="184"/>
      <c r="BX82" s="185"/>
      <c r="BY82" s="184"/>
      <c r="BZ82" s="185"/>
      <c r="CA82" s="184"/>
      <c r="CB82" s="185"/>
      <c r="CC82" s="184"/>
      <c r="CD82" s="185"/>
      <c r="CE82" s="184"/>
      <c r="CF82" s="185"/>
      <c r="CG82" s="184"/>
      <c r="CH82" s="185"/>
      <c r="CI82" s="184"/>
      <c r="CJ82" s="185"/>
      <c r="CK82" s="184"/>
      <c r="CL82" s="185"/>
      <c r="CM82" s="184"/>
      <c r="CN82" s="185"/>
      <c r="CO82" s="184"/>
      <c r="CP82" s="185"/>
      <c r="CQ82" s="184"/>
      <c r="CR82" s="185"/>
      <c r="CS82" s="184"/>
      <c r="CT82" s="185"/>
      <c r="CU82" s="184"/>
      <c r="CV82" s="185"/>
      <c r="CW82" s="184"/>
      <c r="CX82" s="185"/>
      <c r="CY82" s="184"/>
      <c r="CZ82" s="185"/>
      <c r="DA82" s="184"/>
      <c r="DB82" s="185"/>
      <c r="DC82" s="184"/>
      <c r="DD82" s="185"/>
      <c r="DE82" s="184"/>
      <c r="DF82" s="185"/>
      <c r="DG82" s="184"/>
      <c r="DH82" s="185"/>
      <c r="DI82" s="184"/>
      <c r="DJ82" s="185"/>
      <c r="DK82" s="184"/>
      <c r="DL82" s="185"/>
      <c r="DM82" s="184"/>
      <c r="DN82" s="185"/>
      <c r="DO82" s="184"/>
      <c r="DP82" s="185"/>
      <c r="DQ82" s="184"/>
      <c r="DR82" s="185"/>
      <c r="DS82" s="184"/>
      <c r="DT82" s="185"/>
      <c r="DU82" s="184"/>
      <c r="DV82" s="185"/>
    </row>
    <row r="83" spans="1:126" x14ac:dyDescent="0.2">
      <c r="A83" s="183" t="s">
        <v>938</v>
      </c>
      <c r="B83" s="193" t="s">
        <v>939</v>
      </c>
      <c r="C83" s="184">
        <f t="shared" si="342"/>
        <v>0</v>
      </c>
      <c r="D83" s="185">
        <f t="shared" si="338"/>
        <v>0</v>
      </c>
      <c r="E83" s="184">
        <f t="shared" si="538"/>
        <v>0</v>
      </c>
      <c r="F83" s="185">
        <f t="shared" si="539"/>
        <v>0</v>
      </c>
      <c r="G83" s="184">
        <f t="shared" si="442"/>
        <v>0</v>
      </c>
      <c r="H83" s="185">
        <f t="shared" si="442"/>
        <v>0</v>
      </c>
      <c r="I83" s="184"/>
      <c r="J83" s="185"/>
      <c r="K83" s="184"/>
      <c r="L83" s="185"/>
      <c r="M83" s="184"/>
      <c r="N83" s="185"/>
      <c r="O83" s="184"/>
      <c r="P83" s="185"/>
      <c r="Q83" s="184"/>
      <c r="R83" s="185"/>
      <c r="S83" s="184"/>
      <c r="T83" s="185"/>
      <c r="U83" s="184"/>
      <c r="V83" s="185"/>
      <c r="W83" s="184"/>
      <c r="X83" s="185"/>
      <c r="Y83" s="184"/>
      <c r="Z83" s="185"/>
      <c r="AA83" s="184"/>
      <c r="AB83" s="185"/>
      <c r="AC83" s="184"/>
      <c r="AD83" s="185"/>
      <c r="AE83" s="184"/>
      <c r="AF83" s="185"/>
      <c r="AG83" s="184"/>
      <c r="AH83" s="185"/>
      <c r="AI83" s="184"/>
      <c r="AJ83" s="185"/>
      <c r="AK83" s="184"/>
      <c r="AL83" s="185"/>
      <c r="AM83" s="184"/>
      <c r="AN83" s="185"/>
      <c r="AO83" s="184"/>
      <c r="AP83" s="185"/>
      <c r="AQ83" s="184"/>
      <c r="AR83" s="185"/>
      <c r="AS83" s="184"/>
      <c r="AT83" s="185"/>
      <c r="AU83" s="184"/>
      <c r="AV83" s="185"/>
      <c r="AW83" s="184"/>
      <c r="AX83" s="185"/>
      <c r="AY83" s="184"/>
      <c r="AZ83" s="185"/>
      <c r="BA83" s="184"/>
      <c r="BB83" s="185"/>
      <c r="BC83" s="184"/>
      <c r="BD83" s="185"/>
      <c r="BE83" s="184"/>
      <c r="BF83" s="185"/>
      <c r="BG83" s="184"/>
      <c r="BH83" s="185"/>
      <c r="BI83" s="184"/>
      <c r="BJ83" s="185"/>
      <c r="BK83" s="184"/>
      <c r="BL83" s="185"/>
      <c r="BM83" s="184"/>
      <c r="BN83" s="185"/>
      <c r="BO83" s="184"/>
      <c r="BP83" s="185"/>
      <c r="BQ83" s="184"/>
      <c r="BR83" s="185"/>
      <c r="BS83" s="184"/>
      <c r="BT83" s="185"/>
      <c r="BU83" s="184"/>
      <c r="BV83" s="185"/>
      <c r="BW83" s="184"/>
      <c r="BX83" s="185"/>
      <c r="BY83" s="184"/>
      <c r="BZ83" s="185"/>
      <c r="CA83" s="184"/>
      <c r="CB83" s="185"/>
      <c r="CC83" s="184"/>
      <c r="CD83" s="185"/>
      <c r="CE83" s="184"/>
      <c r="CF83" s="185"/>
      <c r="CG83" s="184"/>
      <c r="CH83" s="185"/>
      <c r="CI83" s="184"/>
      <c r="CJ83" s="185"/>
      <c r="CK83" s="184"/>
      <c r="CL83" s="185"/>
      <c r="CM83" s="184"/>
      <c r="CN83" s="185"/>
      <c r="CO83" s="184"/>
      <c r="CP83" s="185"/>
      <c r="CQ83" s="184"/>
      <c r="CR83" s="185"/>
      <c r="CS83" s="184"/>
      <c r="CT83" s="185"/>
      <c r="CU83" s="184"/>
      <c r="CV83" s="185"/>
      <c r="CW83" s="184"/>
      <c r="CX83" s="185"/>
      <c r="CY83" s="184"/>
      <c r="CZ83" s="185"/>
      <c r="DA83" s="184"/>
      <c r="DB83" s="185"/>
      <c r="DC83" s="184"/>
      <c r="DD83" s="185"/>
      <c r="DE83" s="184"/>
      <c r="DF83" s="185"/>
      <c r="DG83" s="184"/>
      <c r="DH83" s="185"/>
      <c r="DI83" s="184"/>
      <c r="DJ83" s="185"/>
      <c r="DK83" s="184"/>
      <c r="DL83" s="185"/>
      <c r="DM83" s="184"/>
      <c r="DN83" s="185"/>
      <c r="DO83" s="184"/>
      <c r="DP83" s="185"/>
      <c r="DQ83" s="184"/>
      <c r="DR83" s="185"/>
      <c r="DS83" s="184"/>
      <c r="DT83" s="185"/>
      <c r="DU83" s="184"/>
      <c r="DV83" s="185"/>
    </row>
    <row r="84" spans="1:126" x14ac:dyDescent="0.2">
      <c r="A84" s="183" t="s">
        <v>940</v>
      </c>
      <c r="B84" s="193" t="s">
        <v>941</v>
      </c>
      <c r="C84" s="184">
        <f t="shared" si="342"/>
        <v>0</v>
      </c>
      <c r="D84" s="185">
        <f t="shared" si="338"/>
        <v>0</v>
      </c>
      <c r="E84" s="184">
        <f t="shared" si="538"/>
        <v>0</v>
      </c>
      <c r="F84" s="185">
        <f t="shared" si="539"/>
        <v>0</v>
      </c>
      <c r="G84" s="184">
        <f t="shared" si="442"/>
        <v>0</v>
      </c>
      <c r="H84" s="185">
        <f t="shared" si="442"/>
        <v>0</v>
      </c>
      <c r="I84" s="184"/>
      <c r="J84" s="185"/>
      <c r="K84" s="184"/>
      <c r="L84" s="185"/>
      <c r="M84" s="184"/>
      <c r="N84" s="185"/>
      <c r="O84" s="184"/>
      <c r="P84" s="185"/>
      <c r="Q84" s="184"/>
      <c r="R84" s="185"/>
      <c r="S84" s="184"/>
      <c r="T84" s="185"/>
      <c r="U84" s="184"/>
      <c r="V84" s="185"/>
      <c r="W84" s="184"/>
      <c r="X84" s="185"/>
      <c r="Y84" s="184"/>
      <c r="Z84" s="185"/>
      <c r="AA84" s="184"/>
      <c r="AB84" s="185"/>
      <c r="AC84" s="184"/>
      <c r="AD84" s="185"/>
      <c r="AE84" s="184"/>
      <c r="AF84" s="185"/>
      <c r="AG84" s="184"/>
      <c r="AH84" s="185"/>
      <c r="AI84" s="184"/>
      <c r="AJ84" s="185"/>
      <c r="AK84" s="184"/>
      <c r="AL84" s="185"/>
      <c r="AM84" s="184"/>
      <c r="AN84" s="185"/>
      <c r="AO84" s="184"/>
      <c r="AP84" s="185"/>
      <c r="AQ84" s="184"/>
      <c r="AR84" s="185"/>
      <c r="AS84" s="184"/>
      <c r="AT84" s="185"/>
      <c r="AU84" s="184"/>
      <c r="AV84" s="185"/>
      <c r="AW84" s="184"/>
      <c r="AX84" s="185"/>
      <c r="AY84" s="184"/>
      <c r="AZ84" s="185"/>
      <c r="BA84" s="184"/>
      <c r="BB84" s="185"/>
      <c r="BC84" s="184"/>
      <c r="BD84" s="185"/>
      <c r="BE84" s="184"/>
      <c r="BF84" s="185"/>
      <c r="BG84" s="184"/>
      <c r="BH84" s="185"/>
      <c r="BI84" s="184"/>
      <c r="BJ84" s="185"/>
      <c r="BK84" s="184"/>
      <c r="BL84" s="185"/>
      <c r="BM84" s="184"/>
      <c r="BN84" s="185"/>
      <c r="BO84" s="184"/>
      <c r="BP84" s="185"/>
      <c r="BQ84" s="184"/>
      <c r="BR84" s="185"/>
      <c r="BS84" s="184"/>
      <c r="BT84" s="185"/>
      <c r="BU84" s="184"/>
      <c r="BV84" s="185"/>
      <c r="BW84" s="184"/>
      <c r="BX84" s="185"/>
      <c r="BY84" s="184"/>
      <c r="BZ84" s="185"/>
      <c r="CA84" s="184"/>
      <c r="CB84" s="185"/>
      <c r="CC84" s="184"/>
      <c r="CD84" s="185"/>
      <c r="CE84" s="184"/>
      <c r="CF84" s="185"/>
      <c r="CG84" s="184"/>
      <c r="CH84" s="185"/>
      <c r="CI84" s="184"/>
      <c r="CJ84" s="185"/>
      <c r="CK84" s="184"/>
      <c r="CL84" s="185"/>
      <c r="CM84" s="184"/>
      <c r="CN84" s="185"/>
      <c r="CO84" s="184"/>
      <c r="CP84" s="185"/>
      <c r="CQ84" s="184"/>
      <c r="CR84" s="185"/>
      <c r="CS84" s="184"/>
      <c r="CT84" s="185"/>
      <c r="CU84" s="184"/>
      <c r="CV84" s="185"/>
      <c r="CW84" s="184"/>
      <c r="CX84" s="185"/>
      <c r="CY84" s="184"/>
      <c r="CZ84" s="185"/>
      <c r="DA84" s="184"/>
      <c r="DB84" s="185"/>
      <c r="DC84" s="184"/>
      <c r="DD84" s="185"/>
      <c r="DE84" s="184"/>
      <c r="DF84" s="185"/>
      <c r="DG84" s="184"/>
      <c r="DH84" s="185"/>
      <c r="DI84" s="184"/>
      <c r="DJ84" s="185"/>
      <c r="DK84" s="184"/>
      <c r="DL84" s="185"/>
      <c r="DM84" s="184"/>
      <c r="DN84" s="185"/>
      <c r="DO84" s="184"/>
      <c r="DP84" s="185"/>
      <c r="DQ84" s="184"/>
      <c r="DR84" s="185"/>
      <c r="DS84" s="184"/>
      <c r="DT84" s="185"/>
      <c r="DU84" s="184"/>
      <c r="DV84" s="185"/>
    </row>
    <row r="85" spans="1:126" x14ac:dyDescent="0.2">
      <c r="A85" s="183" t="s">
        <v>942</v>
      </c>
      <c r="B85" s="193" t="s">
        <v>943</v>
      </c>
      <c r="C85" s="184">
        <f t="shared" si="342"/>
        <v>0</v>
      </c>
      <c r="D85" s="185">
        <f t="shared" si="338"/>
        <v>0</v>
      </c>
      <c r="E85" s="184">
        <f t="shared" si="538"/>
        <v>0</v>
      </c>
      <c r="F85" s="185">
        <f t="shared" si="539"/>
        <v>0</v>
      </c>
      <c r="G85" s="184">
        <f t="shared" si="442"/>
        <v>0</v>
      </c>
      <c r="H85" s="185">
        <f t="shared" si="442"/>
        <v>0</v>
      </c>
      <c r="I85" s="184"/>
      <c r="J85" s="185"/>
      <c r="K85" s="184"/>
      <c r="L85" s="185"/>
      <c r="M85" s="184"/>
      <c r="N85" s="185"/>
      <c r="O85" s="184"/>
      <c r="P85" s="185"/>
      <c r="Q85" s="184"/>
      <c r="R85" s="185"/>
      <c r="S85" s="184"/>
      <c r="T85" s="185"/>
      <c r="U85" s="184"/>
      <c r="V85" s="185"/>
      <c r="W85" s="184"/>
      <c r="X85" s="185"/>
      <c r="Y85" s="184"/>
      <c r="Z85" s="185"/>
      <c r="AA85" s="184"/>
      <c r="AB85" s="185"/>
      <c r="AC85" s="184"/>
      <c r="AD85" s="185"/>
      <c r="AE85" s="184"/>
      <c r="AF85" s="185"/>
      <c r="AG85" s="184"/>
      <c r="AH85" s="185"/>
      <c r="AI85" s="184"/>
      <c r="AJ85" s="185"/>
      <c r="AK85" s="184"/>
      <c r="AL85" s="185"/>
      <c r="AM85" s="184"/>
      <c r="AN85" s="185"/>
      <c r="AO85" s="184"/>
      <c r="AP85" s="185"/>
      <c r="AQ85" s="184"/>
      <c r="AR85" s="185"/>
      <c r="AS85" s="184"/>
      <c r="AT85" s="185"/>
      <c r="AU85" s="184"/>
      <c r="AV85" s="185"/>
      <c r="AW85" s="184"/>
      <c r="AX85" s="185"/>
      <c r="AY85" s="184"/>
      <c r="AZ85" s="185"/>
      <c r="BA85" s="184"/>
      <c r="BB85" s="185"/>
      <c r="BC85" s="184"/>
      <c r="BD85" s="185"/>
      <c r="BE85" s="184"/>
      <c r="BF85" s="185"/>
      <c r="BG85" s="184"/>
      <c r="BH85" s="185"/>
      <c r="BI85" s="184"/>
      <c r="BJ85" s="185"/>
      <c r="BK85" s="184"/>
      <c r="BL85" s="185"/>
      <c r="BM85" s="184"/>
      <c r="BN85" s="185"/>
      <c r="BO85" s="184"/>
      <c r="BP85" s="185"/>
      <c r="BQ85" s="184"/>
      <c r="BR85" s="185"/>
      <c r="BS85" s="184"/>
      <c r="BT85" s="185"/>
      <c r="BU85" s="184"/>
      <c r="BV85" s="185"/>
      <c r="BW85" s="184"/>
      <c r="BX85" s="185"/>
      <c r="BY85" s="184"/>
      <c r="BZ85" s="185"/>
      <c r="CA85" s="184"/>
      <c r="CB85" s="185"/>
      <c r="CC85" s="184"/>
      <c r="CD85" s="185"/>
      <c r="CE85" s="184"/>
      <c r="CF85" s="185"/>
      <c r="CG85" s="184"/>
      <c r="CH85" s="185"/>
      <c r="CI85" s="184"/>
      <c r="CJ85" s="185"/>
      <c r="CK85" s="184"/>
      <c r="CL85" s="185"/>
      <c r="CM85" s="184"/>
      <c r="CN85" s="185"/>
      <c r="CO85" s="184"/>
      <c r="CP85" s="185"/>
      <c r="CQ85" s="184"/>
      <c r="CR85" s="185"/>
      <c r="CS85" s="184"/>
      <c r="CT85" s="185"/>
      <c r="CU85" s="184"/>
      <c r="CV85" s="185"/>
      <c r="CW85" s="184"/>
      <c r="CX85" s="185"/>
      <c r="CY85" s="184"/>
      <c r="CZ85" s="185"/>
      <c r="DA85" s="184"/>
      <c r="DB85" s="185"/>
      <c r="DC85" s="184"/>
      <c r="DD85" s="185"/>
      <c r="DE85" s="184"/>
      <c r="DF85" s="185"/>
      <c r="DG85" s="184"/>
      <c r="DH85" s="185"/>
      <c r="DI85" s="184"/>
      <c r="DJ85" s="185"/>
      <c r="DK85" s="184"/>
      <c r="DL85" s="185"/>
      <c r="DM85" s="184"/>
      <c r="DN85" s="185"/>
      <c r="DO85" s="184"/>
      <c r="DP85" s="185"/>
      <c r="DQ85" s="184"/>
      <c r="DR85" s="185"/>
      <c r="DS85" s="184"/>
      <c r="DT85" s="185"/>
      <c r="DU85" s="184"/>
      <c r="DV85" s="185"/>
    </row>
    <row r="86" spans="1:126" x14ac:dyDescent="0.2">
      <c r="A86" s="183" t="s">
        <v>944</v>
      </c>
      <c r="B86" s="183" t="s">
        <v>945</v>
      </c>
      <c r="C86" s="184">
        <f t="shared" si="342"/>
        <v>0</v>
      </c>
      <c r="D86" s="185">
        <f t="shared" si="338"/>
        <v>0</v>
      </c>
      <c r="E86" s="184">
        <f t="shared" si="538"/>
        <v>0</v>
      </c>
      <c r="F86" s="185">
        <f t="shared" si="539"/>
        <v>0</v>
      </c>
      <c r="G86" s="184">
        <f t="shared" si="442"/>
        <v>0</v>
      </c>
      <c r="H86" s="185">
        <f t="shared" si="442"/>
        <v>0</v>
      </c>
      <c r="I86" s="184"/>
      <c r="J86" s="185"/>
      <c r="K86" s="184"/>
      <c r="L86" s="185"/>
      <c r="M86" s="184"/>
      <c r="N86" s="185"/>
      <c r="O86" s="184"/>
      <c r="P86" s="185"/>
      <c r="Q86" s="184"/>
      <c r="R86" s="185"/>
      <c r="S86" s="184"/>
      <c r="T86" s="185"/>
      <c r="U86" s="184"/>
      <c r="V86" s="185"/>
      <c r="W86" s="184"/>
      <c r="X86" s="185"/>
      <c r="Y86" s="184"/>
      <c r="Z86" s="185"/>
      <c r="AA86" s="184"/>
      <c r="AB86" s="185"/>
      <c r="AC86" s="184"/>
      <c r="AD86" s="185"/>
      <c r="AE86" s="184"/>
      <c r="AF86" s="185"/>
      <c r="AG86" s="184"/>
      <c r="AH86" s="185"/>
      <c r="AI86" s="184"/>
      <c r="AJ86" s="185"/>
      <c r="AK86" s="184"/>
      <c r="AL86" s="185"/>
      <c r="AM86" s="184"/>
      <c r="AN86" s="185"/>
      <c r="AO86" s="184"/>
      <c r="AP86" s="185"/>
      <c r="AQ86" s="184"/>
      <c r="AR86" s="185"/>
      <c r="AS86" s="184"/>
      <c r="AT86" s="185"/>
      <c r="AU86" s="184"/>
      <c r="AV86" s="185"/>
      <c r="AW86" s="184"/>
      <c r="AX86" s="185"/>
      <c r="AY86" s="184"/>
      <c r="AZ86" s="185"/>
      <c r="BA86" s="184"/>
      <c r="BB86" s="185"/>
      <c r="BC86" s="184"/>
      <c r="BD86" s="185"/>
      <c r="BE86" s="184"/>
      <c r="BF86" s="185"/>
      <c r="BG86" s="184"/>
      <c r="BH86" s="185"/>
      <c r="BI86" s="184"/>
      <c r="BJ86" s="185"/>
      <c r="BK86" s="184"/>
      <c r="BL86" s="185"/>
      <c r="BM86" s="184"/>
      <c r="BN86" s="185"/>
      <c r="BO86" s="184"/>
      <c r="BP86" s="185"/>
      <c r="BQ86" s="184"/>
      <c r="BR86" s="185"/>
      <c r="BS86" s="184"/>
      <c r="BT86" s="185"/>
      <c r="BU86" s="184"/>
      <c r="BV86" s="185"/>
      <c r="BW86" s="184"/>
      <c r="BX86" s="185"/>
      <c r="BY86" s="184"/>
      <c r="BZ86" s="185"/>
      <c r="CA86" s="184"/>
      <c r="CB86" s="185"/>
      <c r="CC86" s="184"/>
      <c r="CD86" s="185"/>
      <c r="CE86" s="184"/>
      <c r="CF86" s="185"/>
      <c r="CG86" s="184"/>
      <c r="CH86" s="185"/>
      <c r="CI86" s="184"/>
      <c r="CJ86" s="185"/>
      <c r="CK86" s="184"/>
      <c r="CL86" s="185"/>
      <c r="CM86" s="184"/>
      <c r="CN86" s="185"/>
      <c r="CO86" s="184"/>
      <c r="CP86" s="185"/>
      <c r="CQ86" s="184"/>
      <c r="CR86" s="185"/>
      <c r="CS86" s="184"/>
      <c r="CT86" s="185"/>
      <c r="CU86" s="184"/>
      <c r="CV86" s="185"/>
      <c r="CW86" s="184"/>
      <c r="CX86" s="185"/>
      <c r="CY86" s="184"/>
      <c r="CZ86" s="185"/>
      <c r="DA86" s="184"/>
      <c r="DB86" s="185"/>
      <c r="DC86" s="184"/>
      <c r="DD86" s="185"/>
      <c r="DE86" s="184"/>
      <c r="DF86" s="185"/>
      <c r="DG86" s="184"/>
      <c r="DH86" s="185"/>
      <c r="DI86" s="184"/>
      <c r="DJ86" s="185"/>
      <c r="DK86" s="184"/>
      <c r="DL86" s="185"/>
      <c r="DM86" s="184"/>
      <c r="DN86" s="185"/>
      <c r="DO86" s="184"/>
      <c r="DP86" s="185"/>
      <c r="DQ86" s="184"/>
      <c r="DR86" s="185"/>
      <c r="DS86" s="184"/>
      <c r="DT86" s="185"/>
      <c r="DU86" s="184"/>
      <c r="DV86" s="185"/>
    </row>
    <row r="87" spans="1:126" x14ac:dyDescent="0.2">
      <c r="A87" s="183" t="s">
        <v>946</v>
      </c>
      <c r="B87" s="183" t="s">
        <v>947</v>
      </c>
      <c r="C87" s="184">
        <f t="shared" si="342"/>
        <v>1800</v>
      </c>
      <c r="D87" s="185">
        <f t="shared" si="338"/>
        <v>1800</v>
      </c>
      <c r="E87" s="184">
        <f t="shared" si="538"/>
        <v>0</v>
      </c>
      <c r="F87" s="185">
        <f t="shared" si="539"/>
        <v>1800</v>
      </c>
      <c r="G87" s="184">
        <f t="shared" si="442"/>
        <v>0</v>
      </c>
      <c r="H87" s="185">
        <f t="shared" si="442"/>
        <v>0</v>
      </c>
      <c r="I87" s="184"/>
      <c r="J87" s="185"/>
      <c r="K87" s="184"/>
      <c r="L87" s="185">
        <v>1800</v>
      </c>
      <c r="M87" s="184"/>
      <c r="N87" s="185"/>
      <c r="O87" s="184"/>
      <c r="P87" s="185"/>
      <c r="Q87" s="184"/>
      <c r="R87" s="185"/>
      <c r="S87" s="184"/>
      <c r="T87" s="185"/>
      <c r="U87" s="184"/>
      <c r="V87" s="185"/>
      <c r="W87" s="184"/>
      <c r="X87" s="185"/>
      <c r="Y87" s="184"/>
      <c r="Z87" s="185"/>
      <c r="AA87" s="184"/>
      <c r="AB87" s="185"/>
      <c r="AC87" s="184"/>
      <c r="AD87" s="185"/>
      <c r="AE87" s="184"/>
      <c r="AF87" s="185"/>
      <c r="AG87" s="184"/>
      <c r="AH87" s="185"/>
      <c r="AI87" s="184"/>
      <c r="AJ87" s="185"/>
      <c r="AK87" s="184"/>
      <c r="AL87" s="185"/>
      <c r="AM87" s="184"/>
      <c r="AN87" s="185"/>
      <c r="AO87" s="184"/>
      <c r="AP87" s="185"/>
      <c r="AQ87" s="184"/>
      <c r="AR87" s="185"/>
      <c r="AS87" s="184"/>
      <c r="AT87" s="185"/>
      <c r="AU87" s="184"/>
      <c r="AV87" s="185"/>
      <c r="AW87" s="184"/>
      <c r="AX87" s="185"/>
      <c r="AY87" s="184"/>
      <c r="AZ87" s="185"/>
      <c r="BA87" s="184"/>
      <c r="BB87" s="185"/>
      <c r="BC87" s="184"/>
      <c r="BD87" s="185"/>
      <c r="BE87" s="184"/>
      <c r="BF87" s="185"/>
      <c r="BG87" s="184"/>
      <c r="BH87" s="185"/>
      <c r="BI87" s="184"/>
      <c r="BJ87" s="185"/>
      <c r="BK87" s="184"/>
      <c r="BL87" s="185"/>
      <c r="BM87" s="184"/>
      <c r="BN87" s="185"/>
      <c r="BO87" s="184"/>
      <c r="BP87" s="185"/>
      <c r="BQ87" s="184"/>
      <c r="BR87" s="185"/>
      <c r="BS87" s="184"/>
      <c r="BT87" s="185"/>
      <c r="BU87" s="184"/>
      <c r="BV87" s="185"/>
      <c r="BW87" s="184"/>
      <c r="BX87" s="185"/>
      <c r="BY87" s="184"/>
      <c r="BZ87" s="185"/>
      <c r="CA87" s="184"/>
      <c r="CB87" s="185"/>
      <c r="CC87" s="184"/>
      <c r="CD87" s="185"/>
      <c r="CE87" s="184"/>
      <c r="CF87" s="185"/>
      <c r="CG87" s="184"/>
      <c r="CH87" s="185"/>
      <c r="CI87" s="184"/>
      <c r="CJ87" s="185"/>
      <c r="CK87" s="184"/>
      <c r="CL87" s="185"/>
      <c r="CM87" s="184"/>
      <c r="CN87" s="185"/>
      <c r="CO87" s="184"/>
      <c r="CP87" s="185"/>
      <c r="CQ87" s="184"/>
      <c r="CR87" s="185"/>
      <c r="CS87" s="184"/>
      <c r="CT87" s="185"/>
      <c r="CU87" s="184"/>
      <c r="CV87" s="185"/>
      <c r="CW87" s="184"/>
      <c r="CX87" s="185"/>
      <c r="CY87" s="184"/>
      <c r="CZ87" s="185"/>
      <c r="DA87" s="184"/>
      <c r="DB87" s="185"/>
      <c r="DC87" s="184"/>
      <c r="DD87" s="185"/>
      <c r="DE87" s="184"/>
      <c r="DF87" s="185"/>
      <c r="DG87" s="184"/>
      <c r="DH87" s="185"/>
      <c r="DI87" s="184"/>
      <c r="DJ87" s="185"/>
      <c r="DK87" s="184"/>
      <c r="DL87" s="185"/>
      <c r="DM87" s="184"/>
      <c r="DN87" s="185"/>
      <c r="DO87" s="184"/>
      <c r="DP87" s="185"/>
      <c r="DQ87" s="184"/>
      <c r="DR87" s="185"/>
      <c r="DS87" s="184"/>
      <c r="DT87" s="185"/>
      <c r="DU87" s="184"/>
      <c r="DV87" s="185"/>
    </row>
    <row r="88" spans="1:126" x14ac:dyDescent="0.2">
      <c r="A88" s="186" t="s">
        <v>948</v>
      </c>
      <c r="B88" s="186" t="s">
        <v>343</v>
      </c>
      <c r="C88" s="187">
        <f t="shared" ref="C88:I88" si="540">SUM(C80:C87)</f>
        <v>1800</v>
      </c>
      <c r="D88" s="188">
        <f t="shared" si="540"/>
        <v>1800</v>
      </c>
      <c r="E88" s="187">
        <f t="shared" si="540"/>
        <v>0</v>
      </c>
      <c r="F88" s="188">
        <f t="shared" si="540"/>
        <v>1800</v>
      </c>
      <c r="G88" s="187">
        <f t="shared" si="540"/>
        <v>0</v>
      </c>
      <c r="H88" s="188">
        <f t="shared" si="540"/>
        <v>0</v>
      </c>
      <c r="I88" s="187">
        <f t="shared" si="540"/>
        <v>0</v>
      </c>
      <c r="J88" s="188">
        <f t="shared" ref="J88:AO88" si="541">SUM(J80:J87)</f>
        <v>0</v>
      </c>
      <c r="K88" s="187">
        <f t="shared" si="541"/>
        <v>0</v>
      </c>
      <c r="L88" s="188">
        <f t="shared" si="541"/>
        <v>1800</v>
      </c>
      <c r="M88" s="187">
        <f t="shared" si="541"/>
        <v>0</v>
      </c>
      <c r="N88" s="188">
        <f t="shared" si="541"/>
        <v>0</v>
      </c>
      <c r="O88" s="187">
        <f t="shared" si="541"/>
        <v>0</v>
      </c>
      <c r="P88" s="188">
        <f t="shared" si="541"/>
        <v>0</v>
      </c>
      <c r="Q88" s="187">
        <f t="shared" si="541"/>
        <v>0</v>
      </c>
      <c r="R88" s="188">
        <f t="shared" si="541"/>
        <v>0</v>
      </c>
      <c r="S88" s="187">
        <f t="shared" si="541"/>
        <v>0</v>
      </c>
      <c r="T88" s="188">
        <f t="shared" ref="T88" si="542">SUM(T80:T87)</f>
        <v>0</v>
      </c>
      <c r="U88" s="187">
        <f t="shared" si="541"/>
        <v>0</v>
      </c>
      <c r="V88" s="188">
        <f t="shared" ref="V88" si="543">SUM(V80:V87)</f>
        <v>0</v>
      </c>
      <c r="W88" s="187">
        <f t="shared" si="541"/>
        <v>0</v>
      </c>
      <c r="X88" s="188">
        <f t="shared" si="541"/>
        <v>0</v>
      </c>
      <c r="Y88" s="187">
        <f t="shared" si="541"/>
        <v>0</v>
      </c>
      <c r="Z88" s="188">
        <f t="shared" ref="Z88" si="544">SUM(Z80:Z87)</f>
        <v>0</v>
      </c>
      <c r="AA88" s="187">
        <f t="shared" si="541"/>
        <v>0</v>
      </c>
      <c r="AB88" s="188">
        <f t="shared" ref="AB88" si="545">SUM(AB80:AB87)</f>
        <v>0</v>
      </c>
      <c r="AC88" s="187">
        <f t="shared" si="541"/>
        <v>0</v>
      </c>
      <c r="AD88" s="188">
        <f t="shared" ref="AD88" si="546">SUM(AD80:AD87)</f>
        <v>0</v>
      </c>
      <c r="AE88" s="187">
        <f t="shared" si="541"/>
        <v>0</v>
      </c>
      <c r="AF88" s="188">
        <f t="shared" ref="AF88:AH88" si="547">SUM(AF80:AF87)</f>
        <v>0</v>
      </c>
      <c r="AG88" s="187"/>
      <c r="AH88" s="188">
        <f t="shared" si="547"/>
        <v>0</v>
      </c>
      <c r="AI88" s="187">
        <f>SUM(AI80:AI87)</f>
        <v>0</v>
      </c>
      <c r="AJ88" s="188">
        <f>SUM(AJ80:AJ87)</f>
        <v>0</v>
      </c>
      <c r="AK88" s="187">
        <f t="shared" si="541"/>
        <v>0</v>
      </c>
      <c r="AL88" s="188">
        <f t="shared" ref="AL88" si="548">SUM(AL80:AL87)</f>
        <v>0</v>
      </c>
      <c r="AM88" s="187">
        <f t="shared" si="541"/>
        <v>0</v>
      </c>
      <c r="AN88" s="188"/>
      <c r="AO88" s="187">
        <f t="shared" si="541"/>
        <v>0</v>
      </c>
      <c r="AP88" s="188">
        <f t="shared" ref="AP88" si="549">SUM(AP80:AP87)</f>
        <v>0</v>
      </c>
      <c r="AQ88" s="187">
        <f t="shared" ref="AQ88:DS88" si="550">SUM(AQ80:AQ87)</f>
        <v>0</v>
      </c>
      <c r="AR88" s="188">
        <f t="shared" ref="AR88" si="551">SUM(AR80:AR87)</f>
        <v>0</v>
      </c>
      <c r="AS88" s="187">
        <f t="shared" si="550"/>
        <v>0</v>
      </c>
      <c r="AT88" s="188">
        <f t="shared" ref="AT88" si="552">SUM(AT80:AT87)</f>
        <v>0</v>
      </c>
      <c r="AU88" s="187">
        <f t="shared" si="550"/>
        <v>0</v>
      </c>
      <c r="AV88" s="188">
        <f t="shared" ref="AV88" si="553">SUM(AV80:AV87)</f>
        <v>0</v>
      </c>
      <c r="AW88" s="187">
        <f t="shared" si="550"/>
        <v>0</v>
      </c>
      <c r="AX88" s="188">
        <f t="shared" ref="AX88" si="554">SUM(AX80:AX87)</f>
        <v>0</v>
      </c>
      <c r="AY88" s="187">
        <f t="shared" si="550"/>
        <v>0</v>
      </c>
      <c r="AZ88" s="188">
        <f t="shared" ref="AZ88" si="555">SUM(AZ80:AZ87)</f>
        <v>0</v>
      </c>
      <c r="BA88" s="187">
        <f t="shared" si="550"/>
        <v>0</v>
      </c>
      <c r="BB88" s="188">
        <f t="shared" ref="BB88" si="556">SUM(BB80:BB87)</f>
        <v>0</v>
      </c>
      <c r="BC88" s="187">
        <f t="shared" si="550"/>
        <v>0</v>
      </c>
      <c r="BD88" s="188">
        <f t="shared" ref="BD88" si="557">SUM(BD80:BD87)</f>
        <v>0</v>
      </c>
      <c r="BE88" s="187">
        <f t="shared" si="550"/>
        <v>0</v>
      </c>
      <c r="BF88" s="188">
        <f t="shared" ref="BF88" si="558">SUM(BF80:BF87)</f>
        <v>0</v>
      </c>
      <c r="BG88" s="187">
        <f t="shared" si="550"/>
        <v>0</v>
      </c>
      <c r="BH88" s="188">
        <f t="shared" ref="BH88" si="559">SUM(BH80:BH87)</f>
        <v>0</v>
      </c>
      <c r="BI88" s="187">
        <f t="shared" si="550"/>
        <v>0</v>
      </c>
      <c r="BJ88" s="188">
        <f t="shared" ref="BJ88" si="560">SUM(BJ80:BJ87)</f>
        <v>0</v>
      </c>
      <c r="BK88" s="187">
        <f t="shared" si="550"/>
        <v>0</v>
      </c>
      <c r="BL88" s="188">
        <f t="shared" ref="BL88" si="561">SUM(BL80:BL87)</f>
        <v>0</v>
      </c>
      <c r="BM88" s="187">
        <f t="shared" si="550"/>
        <v>0</v>
      </c>
      <c r="BN88" s="188">
        <f t="shared" ref="BN88" si="562">SUM(BN80:BN87)</f>
        <v>0</v>
      </c>
      <c r="BO88" s="187">
        <f t="shared" si="550"/>
        <v>0</v>
      </c>
      <c r="BP88" s="188">
        <f t="shared" ref="BP88" si="563">SUM(BP80:BP87)</f>
        <v>0</v>
      </c>
      <c r="BQ88" s="187">
        <f t="shared" si="550"/>
        <v>0</v>
      </c>
      <c r="BR88" s="188">
        <f t="shared" ref="BR88" si="564">SUM(BR80:BR87)</f>
        <v>0</v>
      </c>
      <c r="BS88" s="187">
        <f t="shared" si="550"/>
        <v>0</v>
      </c>
      <c r="BT88" s="188">
        <f t="shared" ref="BT88" si="565">SUM(BT80:BT87)</f>
        <v>0</v>
      </c>
      <c r="BU88" s="187">
        <f t="shared" si="550"/>
        <v>0</v>
      </c>
      <c r="BV88" s="188">
        <f t="shared" ref="BV88" si="566">SUM(BV80:BV87)</f>
        <v>0</v>
      </c>
      <c r="BW88" s="187">
        <f t="shared" si="550"/>
        <v>0</v>
      </c>
      <c r="BX88" s="188">
        <f t="shared" ref="BX88" si="567">SUM(BX80:BX87)</f>
        <v>0</v>
      </c>
      <c r="BY88" s="187">
        <f t="shared" si="550"/>
        <v>0</v>
      </c>
      <c r="BZ88" s="188">
        <f t="shared" ref="BZ88" si="568">SUM(BZ80:BZ87)</f>
        <v>0</v>
      </c>
      <c r="CA88" s="187">
        <f t="shared" si="550"/>
        <v>0</v>
      </c>
      <c r="CB88" s="188">
        <f t="shared" ref="CB88" si="569">SUM(CB80:CB87)</f>
        <v>0</v>
      </c>
      <c r="CC88" s="187">
        <f t="shared" si="550"/>
        <v>0</v>
      </c>
      <c r="CD88" s="188">
        <f t="shared" ref="CD88" si="570">SUM(CD80:CD87)</f>
        <v>0</v>
      </c>
      <c r="CE88" s="187">
        <f>SUM(CE80:CE87)</f>
        <v>0</v>
      </c>
      <c r="CF88" s="188">
        <f>SUM(CF80:CF87)</f>
        <v>0</v>
      </c>
      <c r="CG88" s="187">
        <f t="shared" si="550"/>
        <v>0</v>
      </c>
      <c r="CH88" s="188">
        <f t="shared" ref="CH88" si="571">SUM(CH80:CH87)</f>
        <v>0</v>
      </c>
      <c r="CI88" s="187">
        <f t="shared" si="550"/>
        <v>0</v>
      </c>
      <c r="CJ88" s="188">
        <f t="shared" ref="CJ88" si="572">SUM(CJ80:CJ87)</f>
        <v>0</v>
      </c>
      <c r="CK88" s="187">
        <f t="shared" si="550"/>
        <v>0</v>
      </c>
      <c r="CL88" s="188">
        <f t="shared" ref="CL88" si="573">SUM(CL80:CL87)</f>
        <v>0</v>
      </c>
      <c r="CM88" s="187">
        <f t="shared" si="550"/>
        <v>0</v>
      </c>
      <c r="CN88" s="188">
        <f t="shared" ref="CN88" si="574">SUM(CN80:CN87)</f>
        <v>0</v>
      </c>
      <c r="CO88" s="187">
        <f t="shared" si="550"/>
        <v>0</v>
      </c>
      <c r="CP88" s="188">
        <f t="shared" ref="CP88" si="575">SUM(CP80:CP87)</f>
        <v>0</v>
      </c>
      <c r="CQ88" s="187">
        <f t="shared" si="550"/>
        <v>0</v>
      </c>
      <c r="CR88" s="188">
        <f t="shared" ref="CR88" si="576">SUM(CR80:CR87)</f>
        <v>0</v>
      </c>
      <c r="CS88" s="187">
        <f t="shared" si="550"/>
        <v>0</v>
      </c>
      <c r="CT88" s="188">
        <f t="shared" ref="CT88" si="577">SUM(CT80:CT87)</f>
        <v>0</v>
      </c>
      <c r="CU88" s="187">
        <f t="shared" si="550"/>
        <v>0</v>
      </c>
      <c r="CV88" s="188">
        <f t="shared" ref="CV88" si="578">SUM(CV80:CV87)</f>
        <v>0</v>
      </c>
      <c r="CW88" s="187">
        <f t="shared" si="550"/>
        <v>0</v>
      </c>
      <c r="CX88" s="188">
        <f t="shared" ref="CX88" si="579">SUM(CX80:CX87)</f>
        <v>0</v>
      </c>
      <c r="CY88" s="187">
        <f t="shared" si="550"/>
        <v>0</v>
      </c>
      <c r="CZ88" s="188"/>
      <c r="DA88" s="187">
        <f t="shared" si="550"/>
        <v>0</v>
      </c>
      <c r="DB88" s="188"/>
      <c r="DC88" s="187">
        <f t="shared" si="550"/>
        <v>0</v>
      </c>
      <c r="DD88" s="188">
        <f t="shared" ref="DD88" si="580">SUM(DD80:DD87)</f>
        <v>0</v>
      </c>
      <c r="DE88" s="187">
        <f t="shared" si="550"/>
        <v>0</v>
      </c>
      <c r="DF88" s="188">
        <f t="shared" ref="DF88" si="581">SUM(DF80:DF87)</f>
        <v>0</v>
      </c>
      <c r="DG88" s="187">
        <f t="shared" si="550"/>
        <v>0</v>
      </c>
      <c r="DH88" s="188">
        <f t="shared" ref="DH88" si="582">SUM(DH80:DH87)</f>
        <v>0</v>
      </c>
      <c r="DI88" s="187">
        <f t="shared" si="550"/>
        <v>0</v>
      </c>
      <c r="DJ88" s="188">
        <f t="shared" ref="DJ88" si="583">SUM(DJ80:DJ87)</f>
        <v>0</v>
      </c>
      <c r="DK88" s="187">
        <f t="shared" si="550"/>
        <v>0</v>
      </c>
      <c r="DL88" s="188">
        <f t="shared" ref="DL88" si="584">SUM(DL80:DL87)</f>
        <v>0</v>
      </c>
      <c r="DM88" s="187">
        <f t="shared" si="550"/>
        <v>0</v>
      </c>
      <c r="DN88" s="188">
        <f t="shared" ref="DN88" si="585">SUM(DN80:DN87)</f>
        <v>0</v>
      </c>
      <c r="DO88" s="187">
        <f t="shared" si="550"/>
        <v>0</v>
      </c>
      <c r="DP88" s="188">
        <f t="shared" ref="DP88" si="586">SUM(DP80:DP87)</f>
        <v>0</v>
      </c>
      <c r="DQ88" s="187">
        <f t="shared" si="550"/>
        <v>0</v>
      </c>
      <c r="DR88" s="188"/>
      <c r="DS88" s="187">
        <f t="shared" si="550"/>
        <v>0</v>
      </c>
      <c r="DT88" s="188">
        <f t="shared" ref="DT88" si="587">SUM(DT80:DT87)</f>
        <v>0</v>
      </c>
      <c r="DU88" s="187"/>
      <c r="DV88" s="188"/>
    </row>
    <row r="89" spans="1:126" x14ac:dyDescent="0.2">
      <c r="A89" s="183" t="s">
        <v>949</v>
      </c>
      <c r="B89" s="183" t="s">
        <v>950</v>
      </c>
      <c r="C89" s="184">
        <f t="shared" si="342"/>
        <v>0</v>
      </c>
      <c r="D89" s="185">
        <f t="shared" si="338"/>
        <v>0</v>
      </c>
      <c r="E89" s="184">
        <f t="shared" ref="E89:E105" si="588">K89+M89+O88:O89+Q89+S89+U89+W89+Y89+AA89+AC89+AE89+AI89</f>
        <v>0</v>
      </c>
      <c r="F89" s="185">
        <f t="shared" ref="F89:F105" si="589">L89+N89+P88:P89+R89+T89+V89+X89+Z89+AB89+AD89+AF89+AJ89+AH89</f>
        <v>0</v>
      </c>
      <c r="G89" s="184">
        <f t="shared" si="442"/>
        <v>0</v>
      </c>
      <c r="H89" s="185">
        <f t="shared" si="442"/>
        <v>0</v>
      </c>
      <c r="I89" s="184"/>
      <c r="J89" s="185"/>
      <c r="K89" s="184"/>
      <c r="L89" s="185"/>
      <c r="M89" s="184"/>
      <c r="N89" s="185"/>
      <c r="O89" s="184"/>
      <c r="P89" s="185"/>
      <c r="Q89" s="184"/>
      <c r="R89" s="185"/>
      <c r="S89" s="184"/>
      <c r="T89" s="185"/>
      <c r="U89" s="184"/>
      <c r="V89" s="185"/>
      <c r="W89" s="184"/>
      <c r="X89" s="185"/>
      <c r="Y89" s="184"/>
      <c r="Z89" s="185"/>
      <c r="AA89" s="184"/>
      <c r="AB89" s="185"/>
      <c r="AC89" s="184"/>
      <c r="AD89" s="185"/>
      <c r="AE89" s="184"/>
      <c r="AF89" s="185"/>
      <c r="AG89" s="184"/>
      <c r="AH89" s="185"/>
      <c r="AI89" s="184"/>
      <c r="AJ89" s="185"/>
      <c r="AK89" s="184"/>
      <c r="AL89" s="185"/>
      <c r="AM89" s="184"/>
      <c r="AN89" s="185"/>
      <c r="AO89" s="184"/>
      <c r="AP89" s="185"/>
      <c r="AQ89" s="184"/>
      <c r="AR89" s="185"/>
      <c r="AS89" s="184"/>
      <c r="AT89" s="185"/>
      <c r="AU89" s="184"/>
      <c r="AV89" s="185"/>
      <c r="AW89" s="184"/>
      <c r="AX89" s="185"/>
      <c r="AY89" s="184"/>
      <c r="AZ89" s="185"/>
      <c r="BA89" s="184"/>
      <c r="BB89" s="185"/>
      <c r="BC89" s="184"/>
      <c r="BD89" s="185"/>
      <c r="BE89" s="184"/>
      <c r="BF89" s="185"/>
      <c r="BG89" s="184"/>
      <c r="BH89" s="185"/>
      <c r="BI89" s="184"/>
      <c r="BJ89" s="185"/>
      <c r="BK89" s="184"/>
      <c r="BL89" s="185"/>
      <c r="BM89" s="184"/>
      <c r="BN89" s="185"/>
      <c r="BO89" s="184"/>
      <c r="BP89" s="185"/>
      <c r="BQ89" s="184"/>
      <c r="BR89" s="185"/>
      <c r="BS89" s="184"/>
      <c r="BT89" s="185"/>
      <c r="BU89" s="184"/>
      <c r="BV89" s="185"/>
      <c r="BW89" s="184"/>
      <c r="BX89" s="185"/>
      <c r="BY89" s="184"/>
      <c r="BZ89" s="185"/>
      <c r="CA89" s="184"/>
      <c r="CB89" s="185"/>
      <c r="CC89" s="184"/>
      <c r="CD89" s="185"/>
      <c r="CE89" s="184"/>
      <c r="CF89" s="185"/>
      <c r="CG89" s="184"/>
      <c r="CH89" s="185"/>
      <c r="CI89" s="184"/>
      <c r="CJ89" s="185"/>
      <c r="CK89" s="184"/>
      <c r="CL89" s="185"/>
      <c r="CM89" s="184"/>
      <c r="CN89" s="185"/>
      <c r="CO89" s="184"/>
      <c r="CP89" s="185"/>
      <c r="CQ89" s="184"/>
      <c r="CR89" s="185"/>
      <c r="CS89" s="184"/>
      <c r="CT89" s="185"/>
      <c r="CU89" s="184"/>
      <c r="CV89" s="185"/>
      <c r="CW89" s="184"/>
      <c r="CX89" s="185"/>
      <c r="CY89" s="184"/>
      <c r="CZ89" s="185"/>
      <c r="DA89" s="184"/>
      <c r="DB89" s="185"/>
      <c r="DC89" s="184"/>
      <c r="DD89" s="185"/>
      <c r="DE89" s="184"/>
      <c r="DF89" s="185"/>
      <c r="DG89" s="184"/>
      <c r="DH89" s="185"/>
      <c r="DI89" s="184"/>
      <c r="DJ89" s="185"/>
      <c r="DK89" s="184"/>
      <c r="DL89" s="185"/>
      <c r="DM89" s="184"/>
      <c r="DN89" s="185"/>
      <c r="DO89" s="184"/>
      <c r="DP89" s="185"/>
      <c r="DQ89" s="184"/>
      <c r="DR89" s="185"/>
      <c r="DS89" s="184"/>
      <c r="DT89" s="185"/>
      <c r="DU89" s="184"/>
      <c r="DV89" s="185"/>
    </row>
    <row r="90" spans="1:126" x14ac:dyDescent="0.2">
      <c r="A90" s="183" t="s">
        <v>951</v>
      </c>
      <c r="B90" s="193" t="s">
        <v>952</v>
      </c>
      <c r="C90" s="184">
        <f t="shared" si="342"/>
        <v>0</v>
      </c>
      <c r="D90" s="185">
        <f t="shared" si="338"/>
        <v>0</v>
      </c>
      <c r="E90" s="184">
        <f t="shared" si="588"/>
        <v>0</v>
      </c>
      <c r="F90" s="185">
        <f t="shared" si="589"/>
        <v>0</v>
      </c>
      <c r="G90" s="184">
        <f t="shared" si="442"/>
        <v>0</v>
      </c>
      <c r="H90" s="185">
        <f t="shared" si="442"/>
        <v>0</v>
      </c>
      <c r="I90" s="184"/>
      <c r="J90" s="185"/>
      <c r="K90" s="184"/>
      <c r="L90" s="185"/>
      <c r="M90" s="184"/>
      <c r="N90" s="185"/>
      <c r="O90" s="184"/>
      <c r="P90" s="185"/>
      <c r="Q90" s="184"/>
      <c r="R90" s="185"/>
      <c r="S90" s="184"/>
      <c r="T90" s="185"/>
      <c r="U90" s="184"/>
      <c r="V90" s="185"/>
      <c r="W90" s="184"/>
      <c r="X90" s="185"/>
      <c r="Y90" s="184"/>
      <c r="Z90" s="185"/>
      <c r="AA90" s="184"/>
      <c r="AB90" s="185"/>
      <c r="AC90" s="184"/>
      <c r="AD90" s="185"/>
      <c r="AE90" s="184"/>
      <c r="AF90" s="185"/>
      <c r="AG90" s="184"/>
      <c r="AH90" s="185"/>
      <c r="AI90" s="184"/>
      <c r="AJ90" s="185"/>
      <c r="AK90" s="184"/>
      <c r="AL90" s="185"/>
      <c r="AM90" s="184"/>
      <c r="AN90" s="185"/>
      <c r="AO90" s="184"/>
      <c r="AP90" s="185"/>
      <c r="AQ90" s="184"/>
      <c r="AR90" s="185"/>
      <c r="AS90" s="184"/>
      <c r="AT90" s="185"/>
      <c r="AU90" s="184"/>
      <c r="AV90" s="185"/>
      <c r="AW90" s="184"/>
      <c r="AX90" s="185"/>
      <c r="AY90" s="184"/>
      <c r="AZ90" s="185"/>
      <c r="BA90" s="184"/>
      <c r="BB90" s="185"/>
      <c r="BC90" s="184"/>
      <c r="BD90" s="185"/>
      <c r="BE90" s="184"/>
      <c r="BF90" s="185"/>
      <c r="BG90" s="184"/>
      <c r="BH90" s="185"/>
      <c r="BI90" s="184"/>
      <c r="BJ90" s="185"/>
      <c r="BK90" s="184"/>
      <c r="BL90" s="185"/>
      <c r="BM90" s="184"/>
      <c r="BN90" s="185"/>
      <c r="BO90" s="184"/>
      <c r="BP90" s="185"/>
      <c r="BQ90" s="184"/>
      <c r="BR90" s="185"/>
      <c r="BS90" s="184"/>
      <c r="BT90" s="185"/>
      <c r="BU90" s="184"/>
      <c r="BV90" s="185"/>
      <c r="BW90" s="184"/>
      <c r="BX90" s="185"/>
      <c r="BY90" s="184"/>
      <c r="BZ90" s="185"/>
      <c r="CA90" s="184"/>
      <c r="CB90" s="185"/>
      <c r="CC90" s="184"/>
      <c r="CD90" s="185"/>
      <c r="CE90" s="184"/>
      <c r="CF90" s="185"/>
      <c r="CG90" s="184"/>
      <c r="CH90" s="185"/>
      <c r="CI90" s="184"/>
      <c r="CJ90" s="185"/>
      <c r="CK90" s="184"/>
      <c r="CL90" s="185"/>
      <c r="CM90" s="184"/>
      <c r="CN90" s="185"/>
      <c r="CO90" s="184"/>
      <c r="CP90" s="185"/>
      <c r="CQ90" s="184"/>
      <c r="CR90" s="185"/>
      <c r="CS90" s="184"/>
      <c r="CT90" s="185"/>
      <c r="CU90" s="184"/>
      <c r="CV90" s="185"/>
      <c r="CW90" s="184"/>
      <c r="CX90" s="185"/>
      <c r="CY90" s="184"/>
      <c r="CZ90" s="185"/>
      <c r="DA90" s="184"/>
      <c r="DB90" s="185"/>
      <c r="DC90" s="184"/>
      <c r="DD90" s="185"/>
      <c r="DE90" s="184"/>
      <c r="DF90" s="185"/>
      <c r="DG90" s="184"/>
      <c r="DH90" s="185"/>
      <c r="DI90" s="184"/>
      <c r="DJ90" s="185"/>
      <c r="DK90" s="184"/>
      <c r="DL90" s="185"/>
      <c r="DM90" s="184"/>
      <c r="DN90" s="185"/>
      <c r="DO90" s="184"/>
      <c r="DP90" s="185"/>
      <c r="DQ90" s="184"/>
      <c r="DR90" s="185"/>
      <c r="DS90" s="184"/>
      <c r="DT90" s="185"/>
      <c r="DU90" s="184"/>
      <c r="DV90" s="185"/>
    </row>
    <row r="91" spans="1:126" x14ac:dyDescent="0.2">
      <c r="A91" s="183" t="s">
        <v>953</v>
      </c>
      <c r="B91" s="183" t="s">
        <v>954</v>
      </c>
      <c r="C91" s="184">
        <f t="shared" si="342"/>
        <v>0</v>
      </c>
      <c r="D91" s="185">
        <f t="shared" si="338"/>
        <v>0</v>
      </c>
      <c r="E91" s="184">
        <f t="shared" si="588"/>
        <v>0</v>
      </c>
      <c r="F91" s="185">
        <f t="shared" si="589"/>
        <v>0</v>
      </c>
      <c r="G91" s="184">
        <f t="shared" si="442"/>
        <v>0</v>
      </c>
      <c r="H91" s="185">
        <f t="shared" si="442"/>
        <v>0</v>
      </c>
      <c r="I91" s="184"/>
      <c r="J91" s="185"/>
      <c r="K91" s="184"/>
      <c r="L91" s="185"/>
      <c r="M91" s="184"/>
      <c r="N91" s="185"/>
      <c r="O91" s="184"/>
      <c r="P91" s="185"/>
      <c r="Q91" s="184"/>
      <c r="R91" s="185"/>
      <c r="S91" s="184"/>
      <c r="T91" s="185"/>
      <c r="U91" s="184"/>
      <c r="V91" s="185"/>
      <c r="W91" s="184"/>
      <c r="X91" s="185"/>
      <c r="Y91" s="184"/>
      <c r="Z91" s="185"/>
      <c r="AA91" s="184"/>
      <c r="AB91" s="185"/>
      <c r="AC91" s="184"/>
      <c r="AD91" s="185"/>
      <c r="AE91" s="184"/>
      <c r="AF91" s="185"/>
      <c r="AG91" s="184"/>
      <c r="AH91" s="185"/>
      <c r="AI91" s="184"/>
      <c r="AJ91" s="185"/>
      <c r="AK91" s="184"/>
      <c r="AL91" s="185"/>
      <c r="AM91" s="184"/>
      <c r="AN91" s="185"/>
      <c r="AO91" s="184"/>
      <c r="AP91" s="185"/>
      <c r="AQ91" s="184"/>
      <c r="AR91" s="185"/>
      <c r="AS91" s="184"/>
      <c r="AT91" s="185"/>
      <c r="AU91" s="184"/>
      <c r="AV91" s="185"/>
      <c r="AW91" s="184"/>
      <c r="AX91" s="185"/>
      <c r="AY91" s="184"/>
      <c r="AZ91" s="185"/>
      <c r="BA91" s="184"/>
      <c r="BB91" s="185"/>
      <c r="BC91" s="184"/>
      <c r="BD91" s="185"/>
      <c r="BE91" s="184"/>
      <c r="BF91" s="185"/>
      <c r="BG91" s="184"/>
      <c r="BH91" s="185"/>
      <c r="BI91" s="184"/>
      <c r="BJ91" s="185"/>
      <c r="BK91" s="184"/>
      <c r="BL91" s="185"/>
      <c r="BM91" s="184"/>
      <c r="BN91" s="185"/>
      <c r="BO91" s="184"/>
      <c r="BP91" s="185"/>
      <c r="BQ91" s="184"/>
      <c r="BR91" s="185"/>
      <c r="BS91" s="184"/>
      <c r="BT91" s="185"/>
      <c r="BU91" s="184"/>
      <c r="BV91" s="185"/>
      <c r="BW91" s="184"/>
      <c r="BX91" s="185"/>
      <c r="BY91" s="184"/>
      <c r="BZ91" s="185"/>
      <c r="CA91" s="184"/>
      <c r="CB91" s="185"/>
      <c r="CC91" s="184"/>
      <c r="CD91" s="185"/>
      <c r="CE91" s="184"/>
      <c r="CF91" s="185"/>
      <c r="CG91" s="184"/>
      <c r="CH91" s="185"/>
      <c r="CI91" s="184"/>
      <c r="CJ91" s="185"/>
      <c r="CK91" s="184"/>
      <c r="CL91" s="185"/>
      <c r="CM91" s="184"/>
      <c r="CN91" s="185"/>
      <c r="CO91" s="184"/>
      <c r="CP91" s="185"/>
      <c r="CQ91" s="184"/>
      <c r="CR91" s="185"/>
      <c r="CS91" s="184"/>
      <c r="CT91" s="185"/>
      <c r="CU91" s="184"/>
      <c r="CV91" s="185"/>
      <c r="CW91" s="184"/>
      <c r="CX91" s="185"/>
      <c r="CY91" s="184"/>
      <c r="CZ91" s="185"/>
      <c r="DA91" s="184"/>
      <c r="DB91" s="185"/>
      <c r="DC91" s="184"/>
      <c r="DD91" s="185"/>
      <c r="DE91" s="184"/>
      <c r="DF91" s="185"/>
      <c r="DG91" s="184"/>
      <c r="DH91" s="185"/>
      <c r="DI91" s="184"/>
      <c r="DJ91" s="185"/>
      <c r="DK91" s="184"/>
      <c r="DL91" s="185"/>
      <c r="DM91" s="184"/>
      <c r="DN91" s="185"/>
      <c r="DO91" s="184"/>
      <c r="DP91" s="185"/>
      <c r="DQ91" s="184"/>
      <c r="DR91" s="185"/>
      <c r="DS91" s="184"/>
      <c r="DT91" s="185"/>
      <c r="DU91" s="184"/>
      <c r="DV91" s="185"/>
    </row>
    <row r="92" spans="1:126" x14ac:dyDescent="0.2">
      <c r="A92" s="183" t="s">
        <v>955</v>
      </c>
      <c r="B92" s="183" t="s">
        <v>956</v>
      </c>
      <c r="C92" s="184">
        <f t="shared" si="342"/>
        <v>0</v>
      </c>
      <c r="D92" s="185">
        <f t="shared" si="338"/>
        <v>0</v>
      </c>
      <c r="E92" s="184">
        <f t="shared" si="588"/>
        <v>0</v>
      </c>
      <c r="F92" s="185">
        <f t="shared" si="589"/>
        <v>0</v>
      </c>
      <c r="G92" s="184">
        <f t="shared" si="442"/>
        <v>0</v>
      </c>
      <c r="H92" s="185">
        <f t="shared" si="442"/>
        <v>0</v>
      </c>
      <c r="I92" s="184"/>
      <c r="J92" s="185"/>
      <c r="K92" s="184"/>
      <c r="L92" s="185"/>
      <c r="M92" s="184"/>
      <c r="N92" s="185"/>
      <c r="O92" s="184"/>
      <c r="P92" s="185"/>
      <c r="Q92" s="184"/>
      <c r="R92" s="185"/>
      <c r="S92" s="184"/>
      <c r="T92" s="185"/>
      <c r="U92" s="184"/>
      <c r="V92" s="185"/>
      <c r="W92" s="184"/>
      <c r="X92" s="185"/>
      <c r="Y92" s="184"/>
      <c r="Z92" s="185"/>
      <c r="AA92" s="184"/>
      <c r="AB92" s="185"/>
      <c r="AC92" s="184"/>
      <c r="AD92" s="185"/>
      <c r="AE92" s="184"/>
      <c r="AF92" s="185"/>
      <c r="AG92" s="184"/>
      <c r="AH92" s="185"/>
      <c r="AI92" s="184"/>
      <c r="AJ92" s="185"/>
      <c r="AK92" s="184"/>
      <c r="AL92" s="185"/>
      <c r="AM92" s="184"/>
      <c r="AN92" s="185"/>
      <c r="AO92" s="184"/>
      <c r="AP92" s="185"/>
      <c r="AQ92" s="184"/>
      <c r="AR92" s="185"/>
      <c r="AS92" s="184"/>
      <c r="AT92" s="185"/>
      <c r="AU92" s="184"/>
      <c r="AV92" s="185"/>
      <c r="AW92" s="184"/>
      <c r="AX92" s="185"/>
      <c r="AY92" s="184"/>
      <c r="AZ92" s="185"/>
      <c r="BA92" s="184"/>
      <c r="BB92" s="185"/>
      <c r="BC92" s="184"/>
      <c r="BD92" s="185"/>
      <c r="BE92" s="184"/>
      <c r="BF92" s="185"/>
      <c r="BG92" s="184"/>
      <c r="BH92" s="185"/>
      <c r="BI92" s="184"/>
      <c r="BJ92" s="185"/>
      <c r="BK92" s="184"/>
      <c r="BL92" s="185"/>
      <c r="BM92" s="184"/>
      <c r="BN92" s="185"/>
      <c r="BO92" s="184"/>
      <c r="BP92" s="185"/>
      <c r="BQ92" s="184"/>
      <c r="BR92" s="185"/>
      <c r="BS92" s="184"/>
      <c r="BT92" s="185"/>
      <c r="BU92" s="184"/>
      <c r="BV92" s="185"/>
      <c r="BW92" s="184"/>
      <c r="BX92" s="185"/>
      <c r="BY92" s="184"/>
      <c r="BZ92" s="185"/>
      <c r="CA92" s="184"/>
      <c r="CB92" s="185"/>
      <c r="CC92" s="184"/>
      <c r="CD92" s="185"/>
      <c r="CE92" s="184"/>
      <c r="CF92" s="185"/>
      <c r="CG92" s="184"/>
      <c r="CH92" s="185"/>
      <c r="CI92" s="184"/>
      <c r="CJ92" s="185"/>
      <c r="CK92" s="184"/>
      <c r="CL92" s="185"/>
      <c r="CM92" s="184"/>
      <c r="CN92" s="185"/>
      <c r="CO92" s="184"/>
      <c r="CP92" s="185"/>
      <c r="CQ92" s="184"/>
      <c r="CR92" s="185"/>
      <c r="CS92" s="184"/>
      <c r="CT92" s="185"/>
      <c r="CU92" s="184"/>
      <c r="CV92" s="185"/>
      <c r="CW92" s="184"/>
      <c r="CX92" s="185"/>
      <c r="CY92" s="184"/>
      <c r="CZ92" s="185"/>
      <c r="DA92" s="184"/>
      <c r="DB92" s="185"/>
      <c r="DC92" s="184"/>
      <c r="DD92" s="185"/>
      <c r="DE92" s="184"/>
      <c r="DF92" s="185"/>
      <c r="DG92" s="184"/>
      <c r="DH92" s="185"/>
      <c r="DI92" s="184"/>
      <c r="DJ92" s="185"/>
      <c r="DK92" s="184"/>
      <c r="DL92" s="185"/>
      <c r="DM92" s="184"/>
      <c r="DN92" s="185"/>
      <c r="DO92" s="184"/>
      <c r="DP92" s="185"/>
      <c r="DQ92" s="184"/>
      <c r="DR92" s="185"/>
      <c r="DS92" s="184"/>
      <c r="DT92" s="185"/>
      <c r="DU92" s="184"/>
      <c r="DV92" s="185"/>
    </row>
    <row r="93" spans="1:126" x14ac:dyDescent="0.2">
      <c r="A93" s="183" t="s">
        <v>957</v>
      </c>
      <c r="B93" s="183" t="s">
        <v>958</v>
      </c>
      <c r="C93" s="184">
        <f t="shared" si="342"/>
        <v>0</v>
      </c>
      <c r="D93" s="185">
        <f t="shared" si="338"/>
        <v>0</v>
      </c>
      <c r="E93" s="184">
        <f t="shared" si="588"/>
        <v>0</v>
      </c>
      <c r="F93" s="185">
        <f t="shared" si="589"/>
        <v>0</v>
      </c>
      <c r="G93" s="184">
        <f t="shared" si="442"/>
        <v>0</v>
      </c>
      <c r="H93" s="185">
        <f t="shared" si="442"/>
        <v>0</v>
      </c>
      <c r="I93" s="184"/>
      <c r="J93" s="185"/>
      <c r="K93" s="184"/>
      <c r="L93" s="185"/>
      <c r="M93" s="184"/>
      <c r="N93" s="185"/>
      <c r="O93" s="184"/>
      <c r="P93" s="185"/>
      <c r="Q93" s="184"/>
      <c r="R93" s="185"/>
      <c r="S93" s="184"/>
      <c r="T93" s="185"/>
      <c r="U93" s="184"/>
      <c r="V93" s="185"/>
      <c r="W93" s="184"/>
      <c r="X93" s="185"/>
      <c r="Y93" s="184"/>
      <c r="Z93" s="185"/>
      <c r="AA93" s="184"/>
      <c r="AB93" s="185"/>
      <c r="AC93" s="184"/>
      <c r="AD93" s="185"/>
      <c r="AE93" s="184"/>
      <c r="AF93" s="185"/>
      <c r="AG93" s="184"/>
      <c r="AH93" s="185"/>
      <c r="AI93" s="184"/>
      <c r="AJ93" s="185"/>
      <c r="AK93" s="184"/>
      <c r="AL93" s="185"/>
      <c r="AM93" s="184"/>
      <c r="AN93" s="185"/>
      <c r="AO93" s="184"/>
      <c r="AP93" s="185"/>
      <c r="AQ93" s="184"/>
      <c r="AR93" s="185"/>
      <c r="AS93" s="184"/>
      <c r="AT93" s="185"/>
      <c r="AU93" s="184"/>
      <c r="AV93" s="185"/>
      <c r="AW93" s="184"/>
      <c r="AX93" s="185"/>
      <c r="AY93" s="184"/>
      <c r="AZ93" s="185"/>
      <c r="BA93" s="184"/>
      <c r="BB93" s="185"/>
      <c r="BC93" s="184"/>
      <c r="BD93" s="185"/>
      <c r="BE93" s="184"/>
      <c r="BF93" s="185"/>
      <c r="BG93" s="184"/>
      <c r="BH93" s="185"/>
      <c r="BI93" s="184"/>
      <c r="BJ93" s="185"/>
      <c r="BK93" s="184"/>
      <c r="BL93" s="185"/>
      <c r="BM93" s="184"/>
      <c r="BN93" s="185"/>
      <c r="BO93" s="184"/>
      <c r="BP93" s="185"/>
      <c r="BQ93" s="184"/>
      <c r="BR93" s="185"/>
      <c r="BS93" s="184"/>
      <c r="BT93" s="185"/>
      <c r="BU93" s="184"/>
      <c r="BV93" s="185"/>
      <c r="BW93" s="184"/>
      <c r="BX93" s="185"/>
      <c r="BY93" s="184"/>
      <c r="BZ93" s="185"/>
      <c r="CA93" s="184"/>
      <c r="CB93" s="185"/>
      <c r="CC93" s="184"/>
      <c r="CD93" s="185"/>
      <c r="CE93" s="184"/>
      <c r="CF93" s="185"/>
      <c r="CG93" s="184"/>
      <c r="CH93" s="185"/>
      <c r="CI93" s="184"/>
      <c r="CJ93" s="185"/>
      <c r="CK93" s="184"/>
      <c r="CL93" s="185"/>
      <c r="CM93" s="184"/>
      <c r="CN93" s="185"/>
      <c r="CO93" s="184"/>
      <c r="CP93" s="185"/>
      <c r="CQ93" s="184"/>
      <c r="CR93" s="185"/>
      <c r="CS93" s="184"/>
      <c r="CT93" s="185"/>
      <c r="CU93" s="184"/>
      <c r="CV93" s="185"/>
      <c r="CW93" s="184"/>
      <c r="CX93" s="185"/>
      <c r="CY93" s="184"/>
      <c r="CZ93" s="185"/>
      <c r="DA93" s="184"/>
      <c r="DB93" s="185"/>
      <c r="DC93" s="184"/>
      <c r="DD93" s="185"/>
      <c r="DE93" s="184"/>
      <c r="DF93" s="185"/>
      <c r="DG93" s="184"/>
      <c r="DH93" s="185"/>
      <c r="DI93" s="184"/>
      <c r="DJ93" s="185"/>
      <c r="DK93" s="184"/>
      <c r="DL93" s="185"/>
      <c r="DM93" s="184"/>
      <c r="DN93" s="185"/>
      <c r="DO93" s="184"/>
      <c r="DP93" s="185"/>
      <c r="DQ93" s="184"/>
      <c r="DR93" s="185"/>
      <c r="DS93" s="184"/>
      <c r="DT93" s="185"/>
      <c r="DU93" s="184"/>
      <c r="DV93" s="185"/>
    </row>
    <row r="94" spans="1:126" x14ac:dyDescent="0.2">
      <c r="A94" s="183" t="s">
        <v>959</v>
      </c>
      <c r="B94" s="183" t="s">
        <v>960</v>
      </c>
      <c r="C94" s="184">
        <f t="shared" si="342"/>
        <v>0</v>
      </c>
      <c r="D94" s="185">
        <f t="shared" si="338"/>
        <v>0</v>
      </c>
      <c r="E94" s="184">
        <f t="shared" si="588"/>
        <v>0</v>
      </c>
      <c r="F94" s="185">
        <f t="shared" si="589"/>
        <v>0</v>
      </c>
      <c r="G94" s="184">
        <f t="shared" si="442"/>
        <v>0</v>
      </c>
      <c r="H94" s="185">
        <f t="shared" si="442"/>
        <v>0</v>
      </c>
      <c r="I94" s="184"/>
      <c r="J94" s="185"/>
      <c r="K94" s="184"/>
      <c r="L94" s="185"/>
      <c r="M94" s="184"/>
      <c r="N94" s="185"/>
      <c r="O94" s="184"/>
      <c r="P94" s="185"/>
      <c r="Q94" s="184"/>
      <c r="R94" s="185"/>
      <c r="S94" s="184"/>
      <c r="T94" s="185"/>
      <c r="U94" s="184"/>
      <c r="V94" s="185"/>
      <c r="W94" s="184"/>
      <c r="X94" s="185"/>
      <c r="Y94" s="184"/>
      <c r="Z94" s="185"/>
      <c r="AA94" s="184"/>
      <c r="AB94" s="185"/>
      <c r="AC94" s="184"/>
      <c r="AD94" s="185"/>
      <c r="AE94" s="184"/>
      <c r="AF94" s="185"/>
      <c r="AG94" s="184"/>
      <c r="AH94" s="185"/>
      <c r="AI94" s="184"/>
      <c r="AJ94" s="185"/>
      <c r="AK94" s="184"/>
      <c r="AL94" s="185"/>
      <c r="AM94" s="184"/>
      <c r="AN94" s="185"/>
      <c r="AO94" s="184"/>
      <c r="AP94" s="185"/>
      <c r="AQ94" s="184"/>
      <c r="AR94" s="185"/>
      <c r="AS94" s="184"/>
      <c r="AT94" s="185"/>
      <c r="AU94" s="184"/>
      <c r="AV94" s="185"/>
      <c r="AW94" s="184"/>
      <c r="AX94" s="185"/>
      <c r="AY94" s="184"/>
      <c r="AZ94" s="185"/>
      <c r="BA94" s="184"/>
      <c r="BB94" s="185"/>
      <c r="BC94" s="184"/>
      <c r="BD94" s="185"/>
      <c r="BE94" s="184"/>
      <c r="BF94" s="185"/>
      <c r="BG94" s="184"/>
      <c r="BH94" s="185"/>
      <c r="BI94" s="184"/>
      <c r="BJ94" s="185"/>
      <c r="BK94" s="184"/>
      <c r="BL94" s="185"/>
      <c r="BM94" s="184"/>
      <c r="BN94" s="185"/>
      <c r="BO94" s="184"/>
      <c r="BP94" s="185"/>
      <c r="BQ94" s="184"/>
      <c r="BR94" s="185"/>
      <c r="BS94" s="184"/>
      <c r="BT94" s="185"/>
      <c r="BU94" s="184"/>
      <c r="BV94" s="185"/>
      <c r="BW94" s="184"/>
      <c r="BX94" s="185"/>
      <c r="BY94" s="184"/>
      <c r="BZ94" s="185"/>
      <c r="CA94" s="184"/>
      <c r="CB94" s="185"/>
      <c r="CC94" s="184"/>
      <c r="CD94" s="185"/>
      <c r="CE94" s="184"/>
      <c r="CF94" s="185"/>
      <c r="CG94" s="184"/>
      <c r="CH94" s="185"/>
      <c r="CI94" s="184"/>
      <c r="CJ94" s="185"/>
      <c r="CK94" s="184"/>
      <c r="CL94" s="185"/>
      <c r="CM94" s="184"/>
      <c r="CN94" s="185"/>
      <c r="CO94" s="184"/>
      <c r="CP94" s="185"/>
      <c r="CQ94" s="184"/>
      <c r="CR94" s="185"/>
      <c r="CS94" s="184"/>
      <c r="CT94" s="185"/>
      <c r="CU94" s="184"/>
      <c r="CV94" s="185"/>
      <c r="CW94" s="184"/>
      <c r="CX94" s="185"/>
      <c r="CY94" s="184"/>
      <c r="CZ94" s="185"/>
      <c r="DA94" s="184"/>
      <c r="DB94" s="185"/>
      <c r="DC94" s="184"/>
      <c r="DD94" s="185"/>
      <c r="DE94" s="184"/>
      <c r="DF94" s="185"/>
      <c r="DG94" s="184"/>
      <c r="DH94" s="185"/>
      <c r="DI94" s="184"/>
      <c r="DJ94" s="185"/>
      <c r="DK94" s="184"/>
      <c r="DL94" s="185"/>
      <c r="DM94" s="184"/>
      <c r="DN94" s="185"/>
      <c r="DO94" s="184"/>
      <c r="DP94" s="185"/>
      <c r="DQ94" s="184"/>
      <c r="DR94" s="185"/>
      <c r="DS94" s="184"/>
      <c r="DT94" s="185"/>
      <c r="DU94" s="184"/>
      <c r="DV94" s="185"/>
    </row>
    <row r="95" spans="1:126" x14ac:dyDescent="0.2">
      <c r="A95" s="183" t="s">
        <v>961</v>
      </c>
      <c r="B95" s="183" t="s">
        <v>962</v>
      </c>
      <c r="C95" s="184">
        <f t="shared" si="342"/>
        <v>0</v>
      </c>
      <c r="D95" s="185">
        <f t="shared" si="338"/>
        <v>0</v>
      </c>
      <c r="E95" s="184">
        <f t="shared" si="588"/>
        <v>0</v>
      </c>
      <c r="F95" s="185">
        <f t="shared" si="589"/>
        <v>0</v>
      </c>
      <c r="G95" s="184">
        <f t="shared" si="442"/>
        <v>0</v>
      </c>
      <c r="H95" s="185">
        <f t="shared" si="442"/>
        <v>0</v>
      </c>
      <c r="I95" s="184"/>
      <c r="J95" s="185"/>
      <c r="K95" s="184"/>
      <c r="L95" s="185"/>
      <c r="M95" s="184"/>
      <c r="N95" s="185"/>
      <c r="O95" s="184"/>
      <c r="P95" s="185"/>
      <c r="Q95" s="184"/>
      <c r="R95" s="185"/>
      <c r="S95" s="184"/>
      <c r="T95" s="185"/>
      <c r="U95" s="184"/>
      <c r="V95" s="185"/>
      <c r="W95" s="184"/>
      <c r="X95" s="185"/>
      <c r="Y95" s="184"/>
      <c r="Z95" s="185"/>
      <c r="AA95" s="184"/>
      <c r="AB95" s="185"/>
      <c r="AC95" s="184"/>
      <c r="AD95" s="185"/>
      <c r="AE95" s="184"/>
      <c r="AF95" s="185"/>
      <c r="AG95" s="184"/>
      <c r="AH95" s="185"/>
      <c r="AI95" s="184"/>
      <c r="AJ95" s="185"/>
      <c r="AK95" s="184"/>
      <c r="AL95" s="185"/>
      <c r="AM95" s="184"/>
      <c r="AN95" s="185"/>
      <c r="AO95" s="184"/>
      <c r="AP95" s="185"/>
      <c r="AQ95" s="184"/>
      <c r="AR95" s="185"/>
      <c r="AS95" s="184"/>
      <c r="AT95" s="185"/>
      <c r="AU95" s="184"/>
      <c r="AV95" s="185"/>
      <c r="AW95" s="184"/>
      <c r="AX95" s="185"/>
      <c r="AY95" s="184"/>
      <c r="AZ95" s="185"/>
      <c r="BA95" s="184"/>
      <c r="BB95" s="185"/>
      <c r="BC95" s="184"/>
      <c r="BD95" s="185"/>
      <c r="BE95" s="184"/>
      <c r="BF95" s="185"/>
      <c r="BG95" s="184"/>
      <c r="BH95" s="185"/>
      <c r="BI95" s="184"/>
      <c r="BJ95" s="185"/>
      <c r="BK95" s="184"/>
      <c r="BL95" s="185"/>
      <c r="BM95" s="184"/>
      <c r="BN95" s="185"/>
      <c r="BO95" s="184"/>
      <c r="BP95" s="185"/>
      <c r="BQ95" s="184"/>
      <c r="BR95" s="185"/>
      <c r="BS95" s="184"/>
      <c r="BT95" s="185"/>
      <c r="BU95" s="184"/>
      <c r="BV95" s="185"/>
      <c r="BW95" s="184"/>
      <c r="BX95" s="185"/>
      <c r="BY95" s="184"/>
      <c r="BZ95" s="185"/>
      <c r="CA95" s="184"/>
      <c r="CB95" s="185"/>
      <c r="CC95" s="184"/>
      <c r="CD95" s="185"/>
      <c r="CE95" s="184"/>
      <c r="CF95" s="185"/>
      <c r="CG95" s="184"/>
      <c r="CH95" s="185"/>
      <c r="CI95" s="184"/>
      <c r="CJ95" s="185"/>
      <c r="CK95" s="184"/>
      <c r="CL95" s="185"/>
      <c r="CM95" s="184"/>
      <c r="CN95" s="185"/>
      <c r="CO95" s="184"/>
      <c r="CP95" s="185"/>
      <c r="CQ95" s="184"/>
      <c r="CR95" s="185"/>
      <c r="CS95" s="184"/>
      <c r="CT95" s="185"/>
      <c r="CU95" s="184"/>
      <c r="CV95" s="185"/>
      <c r="CW95" s="184"/>
      <c r="CX95" s="185"/>
      <c r="CY95" s="184"/>
      <c r="CZ95" s="185"/>
      <c r="DA95" s="184"/>
      <c r="DB95" s="185"/>
      <c r="DC95" s="184"/>
      <c r="DD95" s="185"/>
      <c r="DE95" s="184"/>
      <c r="DF95" s="185"/>
      <c r="DG95" s="184"/>
      <c r="DH95" s="185"/>
      <c r="DI95" s="184"/>
      <c r="DJ95" s="185"/>
      <c r="DK95" s="184"/>
      <c r="DL95" s="185"/>
      <c r="DM95" s="184"/>
      <c r="DN95" s="185"/>
      <c r="DO95" s="184"/>
      <c r="DP95" s="185"/>
      <c r="DQ95" s="184"/>
      <c r="DR95" s="185"/>
      <c r="DS95" s="184"/>
      <c r="DT95" s="185"/>
      <c r="DU95" s="184"/>
      <c r="DV95" s="185"/>
    </row>
    <row r="96" spans="1:126" x14ac:dyDescent="0.2">
      <c r="A96" s="183" t="s">
        <v>963</v>
      </c>
      <c r="B96" s="183" t="s">
        <v>964</v>
      </c>
      <c r="C96" s="184">
        <f t="shared" si="342"/>
        <v>0</v>
      </c>
      <c r="D96" s="185">
        <f t="shared" si="338"/>
        <v>0</v>
      </c>
      <c r="E96" s="184">
        <f t="shared" si="588"/>
        <v>0</v>
      </c>
      <c r="F96" s="185">
        <f t="shared" si="589"/>
        <v>0</v>
      </c>
      <c r="G96" s="184">
        <f t="shared" si="442"/>
        <v>0</v>
      </c>
      <c r="H96" s="185">
        <f t="shared" si="442"/>
        <v>0</v>
      </c>
      <c r="I96" s="184"/>
      <c r="J96" s="185"/>
      <c r="K96" s="184"/>
      <c r="L96" s="185"/>
      <c r="M96" s="184"/>
      <c r="N96" s="185"/>
      <c r="O96" s="184"/>
      <c r="P96" s="185"/>
      <c r="Q96" s="184"/>
      <c r="R96" s="185"/>
      <c r="S96" s="184"/>
      <c r="T96" s="185"/>
      <c r="U96" s="184"/>
      <c r="V96" s="185"/>
      <c r="W96" s="184"/>
      <c r="X96" s="185"/>
      <c r="Y96" s="184"/>
      <c r="Z96" s="185"/>
      <c r="AA96" s="184"/>
      <c r="AB96" s="185"/>
      <c r="AC96" s="184"/>
      <c r="AD96" s="185"/>
      <c r="AE96" s="184"/>
      <c r="AF96" s="185"/>
      <c r="AG96" s="184"/>
      <c r="AH96" s="185"/>
      <c r="AI96" s="184"/>
      <c r="AJ96" s="185"/>
      <c r="AK96" s="184"/>
      <c r="AL96" s="185"/>
      <c r="AM96" s="184"/>
      <c r="AN96" s="185"/>
      <c r="AO96" s="184"/>
      <c r="AP96" s="185"/>
      <c r="AQ96" s="184"/>
      <c r="AR96" s="185"/>
      <c r="AS96" s="184"/>
      <c r="AT96" s="185"/>
      <c r="AU96" s="184"/>
      <c r="AV96" s="185"/>
      <c r="AW96" s="184"/>
      <c r="AX96" s="185"/>
      <c r="AY96" s="184"/>
      <c r="AZ96" s="185"/>
      <c r="BA96" s="184"/>
      <c r="BB96" s="185"/>
      <c r="BC96" s="184"/>
      <c r="BD96" s="185"/>
      <c r="BE96" s="184"/>
      <c r="BF96" s="185"/>
      <c r="BG96" s="184"/>
      <c r="BH96" s="185"/>
      <c r="BI96" s="184"/>
      <c r="BJ96" s="185"/>
      <c r="BK96" s="184"/>
      <c r="BL96" s="185"/>
      <c r="BM96" s="184"/>
      <c r="BN96" s="185"/>
      <c r="BO96" s="184"/>
      <c r="BP96" s="185"/>
      <c r="BQ96" s="184"/>
      <c r="BR96" s="185"/>
      <c r="BS96" s="184"/>
      <c r="BT96" s="185"/>
      <c r="BU96" s="184"/>
      <c r="BV96" s="185"/>
      <c r="BW96" s="184"/>
      <c r="BX96" s="185"/>
      <c r="BY96" s="184"/>
      <c r="BZ96" s="185"/>
      <c r="CA96" s="184"/>
      <c r="CB96" s="185"/>
      <c r="CC96" s="184"/>
      <c r="CD96" s="185"/>
      <c r="CE96" s="184"/>
      <c r="CF96" s="185"/>
      <c r="CG96" s="184"/>
      <c r="CH96" s="185"/>
      <c r="CI96" s="184"/>
      <c r="CJ96" s="185"/>
      <c r="CK96" s="184"/>
      <c r="CL96" s="185"/>
      <c r="CM96" s="184"/>
      <c r="CN96" s="185"/>
      <c r="CO96" s="184"/>
      <c r="CP96" s="185"/>
      <c r="CQ96" s="184"/>
      <c r="CR96" s="185"/>
      <c r="CS96" s="184"/>
      <c r="CT96" s="185"/>
      <c r="CU96" s="184"/>
      <c r="CV96" s="185"/>
      <c r="CW96" s="184"/>
      <c r="CX96" s="185"/>
      <c r="CY96" s="184"/>
      <c r="CZ96" s="185"/>
      <c r="DA96" s="184"/>
      <c r="DB96" s="185"/>
      <c r="DC96" s="184"/>
      <c r="DD96" s="185"/>
      <c r="DE96" s="184"/>
      <c r="DF96" s="185"/>
      <c r="DG96" s="184"/>
      <c r="DH96" s="185"/>
      <c r="DI96" s="184"/>
      <c r="DJ96" s="185"/>
      <c r="DK96" s="184"/>
      <c r="DL96" s="185"/>
      <c r="DM96" s="184"/>
      <c r="DN96" s="185"/>
      <c r="DO96" s="184"/>
      <c r="DP96" s="185"/>
      <c r="DQ96" s="184"/>
      <c r="DR96" s="185"/>
      <c r="DS96" s="184"/>
      <c r="DT96" s="185"/>
      <c r="DU96" s="184"/>
      <c r="DV96" s="185"/>
    </row>
    <row r="97" spans="1:126" x14ac:dyDescent="0.2">
      <c r="A97" s="183" t="s">
        <v>965</v>
      </c>
      <c r="B97" s="183" t="s">
        <v>760</v>
      </c>
      <c r="C97" s="184">
        <f t="shared" si="342"/>
        <v>0</v>
      </c>
      <c r="D97" s="185">
        <f t="shared" si="338"/>
        <v>0</v>
      </c>
      <c r="E97" s="184">
        <f t="shared" si="588"/>
        <v>0</v>
      </c>
      <c r="F97" s="185">
        <f t="shared" si="589"/>
        <v>0</v>
      </c>
      <c r="G97" s="184">
        <f t="shared" si="442"/>
        <v>0</v>
      </c>
      <c r="H97" s="185">
        <f t="shared" si="442"/>
        <v>0</v>
      </c>
      <c r="I97" s="184"/>
      <c r="J97" s="185"/>
      <c r="K97" s="184"/>
      <c r="L97" s="185"/>
      <c r="M97" s="184"/>
      <c r="N97" s="185"/>
      <c r="O97" s="184"/>
      <c r="P97" s="185"/>
      <c r="Q97" s="184"/>
      <c r="R97" s="185"/>
      <c r="S97" s="184"/>
      <c r="T97" s="185"/>
      <c r="U97" s="184"/>
      <c r="V97" s="185"/>
      <c r="W97" s="184"/>
      <c r="X97" s="185"/>
      <c r="Y97" s="184"/>
      <c r="Z97" s="185"/>
      <c r="AA97" s="184"/>
      <c r="AB97" s="185"/>
      <c r="AC97" s="184"/>
      <c r="AD97" s="185"/>
      <c r="AE97" s="184"/>
      <c r="AF97" s="185"/>
      <c r="AG97" s="184"/>
      <c r="AH97" s="185"/>
      <c r="AI97" s="184"/>
      <c r="AJ97" s="185"/>
      <c r="AK97" s="184"/>
      <c r="AL97" s="185"/>
      <c r="AM97" s="184"/>
      <c r="AN97" s="185"/>
      <c r="AO97" s="184"/>
      <c r="AP97" s="185"/>
      <c r="AQ97" s="184"/>
      <c r="AR97" s="185"/>
      <c r="AS97" s="184"/>
      <c r="AT97" s="185"/>
      <c r="AU97" s="184"/>
      <c r="AV97" s="185"/>
      <c r="AW97" s="184"/>
      <c r="AX97" s="185"/>
      <c r="AY97" s="184"/>
      <c r="AZ97" s="185"/>
      <c r="BA97" s="184"/>
      <c r="BB97" s="185"/>
      <c r="BC97" s="184"/>
      <c r="BD97" s="185"/>
      <c r="BE97" s="184"/>
      <c r="BF97" s="185"/>
      <c r="BG97" s="184"/>
      <c r="BH97" s="185"/>
      <c r="BI97" s="184"/>
      <c r="BJ97" s="185"/>
      <c r="BK97" s="184"/>
      <c r="BL97" s="185"/>
      <c r="BM97" s="184"/>
      <c r="BN97" s="185"/>
      <c r="BO97" s="184"/>
      <c r="BP97" s="185"/>
      <c r="BQ97" s="184"/>
      <c r="BR97" s="185"/>
      <c r="BS97" s="184"/>
      <c r="BT97" s="185"/>
      <c r="BU97" s="184"/>
      <c r="BV97" s="185"/>
      <c r="BW97" s="184"/>
      <c r="BX97" s="185"/>
      <c r="BY97" s="184"/>
      <c r="BZ97" s="185"/>
      <c r="CA97" s="184"/>
      <c r="CB97" s="185"/>
      <c r="CC97" s="184"/>
      <c r="CD97" s="185"/>
      <c r="CE97" s="184"/>
      <c r="CF97" s="185"/>
      <c r="CG97" s="184"/>
      <c r="CH97" s="185"/>
      <c r="CI97" s="184"/>
      <c r="CJ97" s="185"/>
      <c r="CK97" s="184"/>
      <c r="CL97" s="185"/>
      <c r="CM97" s="184"/>
      <c r="CN97" s="185"/>
      <c r="CO97" s="184"/>
      <c r="CP97" s="185"/>
      <c r="CQ97" s="184"/>
      <c r="CR97" s="185"/>
      <c r="CS97" s="184"/>
      <c r="CT97" s="185"/>
      <c r="CU97" s="184"/>
      <c r="CV97" s="185"/>
      <c r="CW97" s="184"/>
      <c r="CX97" s="185"/>
      <c r="CY97" s="184"/>
      <c r="CZ97" s="185"/>
      <c r="DA97" s="184"/>
      <c r="DB97" s="185"/>
      <c r="DC97" s="184"/>
      <c r="DD97" s="185"/>
      <c r="DE97" s="184"/>
      <c r="DF97" s="185"/>
      <c r="DG97" s="184"/>
      <c r="DH97" s="185"/>
      <c r="DI97" s="184"/>
      <c r="DJ97" s="185"/>
      <c r="DK97" s="184"/>
      <c r="DL97" s="185"/>
      <c r="DM97" s="184"/>
      <c r="DN97" s="185"/>
      <c r="DO97" s="184"/>
      <c r="DP97" s="185"/>
      <c r="DQ97" s="184"/>
      <c r="DR97" s="185"/>
      <c r="DS97" s="184"/>
      <c r="DT97" s="185"/>
      <c r="DU97" s="184"/>
      <c r="DV97" s="185"/>
    </row>
    <row r="98" spans="1:126" x14ac:dyDescent="0.2">
      <c r="A98" s="183" t="s">
        <v>966</v>
      </c>
      <c r="B98" s="183" t="s">
        <v>967</v>
      </c>
      <c r="C98" s="184" t="e">
        <f t="shared" si="342"/>
        <v>#REF!</v>
      </c>
      <c r="D98" s="185" t="e">
        <f t="shared" si="338"/>
        <v>#REF!</v>
      </c>
      <c r="E98" s="184">
        <f t="shared" si="588"/>
        <v>0</v>
      </c>
      <c r="F98" s="185">
        <f t="shared" si="589"/>
        <v>0</v>
      </c>
      <c r="G98" s="184">
        <f t="shared" si="442"/>
        <v>0</v>
      </c>
      <c r="H98" s="185">
        <f t="shared" si="442"/>
        <v>0</v>
      </c>
      <c r="I98" s="184">
        <f>'[3]2B Önk kiad'!D36</f>
        <v>2312651</v>
      </c>
      <c r="J98" s="185" t="e">
        <f>'3A PH'!#REF!+'4H VG bev kiad'!#REF!+'4A Walla'!#REF!+'4B Nyitnikék'!#REF!+'4C Bóbita'!#REF!+'4D MMMH'!#REF!+'4E Könyvtár'!#REF!+'4F Segítő Kéz'!#REF!</f>
        <v>#REF!</v>
      </c>
      <c r="K98" s="184"/>
      <c r="L98" s="185"/>
      <c r="M98" s="184"/>
      <c r="N98" s="185"/>
      <c r="O98" s="184"/>
      <c r="P98" s="185"/>
      <c r="Q98" s="184"/>
      <c r="R98" s="185"/>
      <c r="S98" s="184"/>
      <c r="T98" s="185"/>
      <c r="U98" s="184"/>
      <c r="V98" s="185"/>
      <c r="W98" s="184"/>
      <c r="X98" s="185"/>
      <c r="Y98" s="184"/>
      <c r="Z98" s="185"/>
      <c r="AA98" s="184"/>
      <c r="AB98" s="185"/>
      <c r="AC98" s="184"/>
      <c r="AD98" s="185"/>
      <c r="AE98" s="184"/>
      <c r="AF98" s="185"/>
      <c r="AG98" s="184"/>
      <c r="AH98" s="185"/>
      <c r="AI98" s="184"/>
      <c r="AJ98" s="185"/>
      <c r="AK98" s="184"/>
      <c r="AL98" s="185"/>
      <c r="AM98" s="184"/>
      <c r="AN98" s="185"/>
      <c r="AO98" s="184"/>
      <c r="AP98" s="185"/>
      <c r="AQ98" s="184"/>
      <c r="AR98" s="185"/>
      <c r="AS98" s="184"/>
      <c r="AT98" s="185"/>
      <c r="AU98" s="184"/>
      <c r="AV98" s="185"/>
      <c r="AW98" s="184"/>
      <c r="AX98" s="185"/>
      <c r="AY98" s="184"/>
      <c r="AZ98" s="185"/>
      <c r="BA98" s="184"/>
      <c r="BB98" s="185"/>
      <c r="BC98" s="184"/>
      <c r="BD98" s="185"/>
      <c r="BE98" s="184"/>
      <c r="BF98" s="185"/>
      <c r="BG98" s="184"/>
      <c r="BH98" s="185"/>
      <c r="BI98" s="184"/>
      <c r="BJ98" s="185"/>
      <c r="BK98" s="184"/>
      <c r="BL98" s="185"/>
      <c r="BM98" s="184"/>
      <c r="BN98" s="185"/>
      <c r="BO98" s="184"/>
      <c r="BP98" s="185"/>
      <c r="BQ98" s="184"/>
      <c r="BR98" s="185"/>
      <c r="BS98" s="184"/>
      <c r="BT98" s="185"/>
      <c r="BU98" s="184"/>
      <c r="BV98" s="185"/>
      <c r="BW98" s="184"/>
      <c r="BX98" s="185"/>
      <c r="BY98" s="184"/>
      <c r="BZ98" s="185"/>
      <c r="CA98" s="184"/>
      <c r="CB98" s="185"/>
      <c r="CC98" s="184"/>
      <c r="CD98" s="185"/>
      <c r="CE98" s="184"/>
      <c r="CF98" s="185"/>
      <c r="CG98" s="184"/>
      <c r="CH98" s="185"/>
      <c r="CI98" s="184"/>
      <c r="CJ98" s="185"/>
      <c r="CK98" s="184"/>
      <c r="CL98" s="185"/>
      <c r="CM98" s="184"/>
      <c r="CN98" s="185"/>
      <c r="CO98" s="184"/>
      <c r="CP98" s="185"/>
      <c r="CQ98" s="184"/>
      <c r="CR98" s="185"/>
      <c r="CS98" s="184"/>
      <c r="CT98" s="185"/>
      <c r="CU98" s="184"/>
      <c r="CV98" s="185"/>
      <c r="CW98" s="184"/>
      <c r="CX98" s="185"/>
      <c r="CY98" s="184"/>
      <c r="CZ98" s="185"/>
      <c r="DA98" s="184"/>
      <c r="DB98" s="185"/>
      <c r="DC98" s="184"/>
      <c r="DD98" s="185"/>
      <c r="DE98" s="184"/>
      <c r="DF98" s="185"/>
      <c r="DG98" s="184"/>
      <c r="DH98" s="185"/>
      <c r="DI98" s="184"/>
      <c r="DJ98" s="185"/>
      <c r="DK98" s="184"/>
      <c r="DL98" s="185"/>
      <c r="DM98" s="184"/>
      <c r="DN98" s="185"/>
      <c r="DO98" s="184"/>
      <c r="DP98" s="185"/>
      <c r="DQ98" s="184"/>
      <c r="DR98" s="185"/>
      <c r="DS98" s="184"/>
      <c r="DT98" s="185"/>
      <c r="DU98" s="184"/>
      <c r="DV98" s="185"/>
    </row>
    <row r="99" spans="1:126" x14ac:dyDescent="0.2">
      <c r="A99" s="183" t="s">
        <v>968</v>
      </c>
      <c r="B99" s="183" t="s">
        <v>762</v>
      </c>
      <c r="C99" s="184">
        <f t="shared" si="342"/>
        <v>1050000</v>
      </c>
      <c r="D99" s="185">
        <f t="shared" si="338"/>
        <v>450000</v>
      </c>
      <c r="E99" s="184">
        <f t="shared" si="588"/>
        <v>0</v>
      </c>
      <c r="F99" s="185">
        <f t="shared" si="589"/>
        <v>0</v>
      </c>
      <c r="G99" s="184">
        <f t="shared" si="442"/>
        <v>0</v>
      </c>
      <c r="H99" s="185">
        <f t="shared" si="442"/>
        <v>0</v>
      </c>
      <c r="I99" s="184">
        <v>600000</v>
      </c>
      <c r="J99" s="185">
        <v>450000</v>
      </c>
      <c r="K99" s="184"/>
      <c r="L99" s="185"/>
      <c r="M99" s="184"/>
      <c r="N99" s="185"/>
      <c r="O99" s="184"/>
      <c r="P99" s="185"/>
      <c r="Q99" s="184"/>
      <c r="R99" s="185"/>
      <c r="S99" s="184"/>
      <c r="T99" s="185"/>
      <c r="U99" s="184"/>
      <c r="V99" s="185"/>
      <c r="W99" s="184"/>
      <c r="X99" s="185"/>
      <c r="Y99" s="184"/>
      <c r="Z99" s="185"/>
      <c r="AA99" s="184"/>
      <c r="AB99" s="185"/>
      <c r="AC99" s="184"/>
      <c r="AD99" s="185"/>
      <c r="AE99" s="184"/>
      <c r="AF99" s="185"/>
      <c r="AG99" s="184"/>
      <c r="AH99" s="185"/>
      <c r="AI99" s="184"/>
      <c r="AJ99" s="185"/>
      <c r="AK99" s="184"/>
      <c r="AL99" s="185"/>
      <c r="AM99" s="184"/>
      <c r="AN99" s="185"/>
      <c r="AO99" s="184"/>
      <c r="AP99" s="185"/>
      <c r="AQ99" s="184"/>
      <c r="AR99" s="185"/>
      <c r="AS99" s="184"/>
      <c r="AT99" s="185"/>
      <c r="AU99" s="184"/>
      <c r="AV99" s="185"/>
      <c r="AW99" s="184"/>
      <c r="AX99" s="185"/>
      <c r="AY99" s="184"/>
      <c r="AZ99" s="185"/>
      <c r="BA99" s="184"/>
      <c r="BB99" s="185"/>
      <c r="BC99" s="184"/>
      <c r="BD99" s="185"/>
      <c r="BE99" s="184"/>
      <c r="BF99" s="185"/>
      <c r="BG99" s="184"/>
      <c r="BH99" s="185"/>
      <c r="BI99" s="184"/>
      <c r="BJ99" s="185"/>
      <c r="BK99" s="184"/>
      <c r="BL99" s="185"/>
      <c r="BM99" s="184"/>
      <c r="BN99" s="185"/>
      <c r="BO99" s="184"/>
      <c r="BP99" s="185"/>
      <c r="BQ99" s="184"/>
      <c r="BR99" s="185"/>
      <c r="BS99" s="184"/>
      <c r="BT99" s="185"/>
      <c r="BU99" s="184"/>
      <c r="BV99" s="185"/>
      <c r="BW99" s="184"/>
      <c r="BX99" s="185"/>
      <c r="BY99" s="184"/>
      <c r="BZ99" s="185"/>
      <c r="CA99" s="184"/>
      <c r="CB99" s="185"/>
      <c r="CC99" s="184"/>
      <c r="CD99" s="185"/>
      <c r="CE99" s="184"/>
      <c r="CF99" s="185"/>
      <c r="CG99" s="184"/>
      <c r="CH99" s="185"/>
      <c r="CI99" s="184"/>
      <c r="CJ99" s="185"/>
      <c r="CK99" s="184"/>
      <c r="CL99" s="185"/>
      <c r="CM99" s="184"/>
      <c r="CN99" s="185"/>
      <c r="CO99" s="184"/>
      <c r="CP99" s="185"/>
      <c r="CQ99" s="184"/>
      <c r="CR99" s="185"/>
      <c r="CS99" s="184"/>
      <c r="CT99" s="185"/>
      <c r="CU99" s="184"/>
      <c r="CV99" s="185"/>
      <c r="CW99" s="184"/>
      <c r="CX99" s="185"/>
      <c r="CY99" s="184"/>
      <c r="CZ99" s="185"/>
      <c r="DA99" s="184"/>
      <c r="DB99" s="185"/>
      <c r="DC99" s="184"/>
      <c r="DD99" s="185"/>
      <c r="DE99" s="184"/>
      <c r="DF99" s="185"/>
      <c r="DG99" s="184"/>
      <c r="DH99" s="185"/>
      <c r="DI99" s="184"/>
      <c r="DJ99" s="185"/>
      <c r="DK99" s="184"/>
      <c r="DL99" s="185"/>
      <c r="DM99" s="184"/>
      <c r="DN99" s="185"/>
      <c r="DO99" s="184"/>
      <c r="DP99" s="185"/>
      <c r="DQ99" s="184"/>
      <c r="DR99" s="185"/>
      <c r="DS99" s="184"/>
      <c r="DT99" s="185"/>
      <c r="DU99" s="184"/>
      <c r="DV99" s="185"/>
    </row>
    <row r="100" spans="1:126" x14ac:dyDescent="0.2">
      <c r="A100" s="183" t="s">
        <v>969</v>
      </c>
      <c r="B100" s="183" t="s">
        <v>970</v>
      </c>
      <c r="C100" s="184">
        <f t="shared" si="342"/>
        <v>0</v>
      </c>
      <c r="D100" s="185">
        <f t="shared" si="338"/>
        <v>0</v>
      </c>
      <c r="E100" s="184">
        <f t="shared" si="588"/>
        <v>0</v>
      </c>
      <c r="F100" s="185">
        <f t="shared" si="589"/>
        <v>0</v>
      </c>
      <c r="G100" s="184">
        <f t="shared" si="442"/>
        <v>0</v>
      </c>
      <c r="H100" s="185">
        <f t="shared" si="442"/>
        <v>0</v>
      </c>
      <c r="I100" s="184"/>
      <c r="J100" s="185"/>
      <c r="K100" s="184"/>
      <c r="L100" s="185"/>
      <c r="M100" s="184"/>
      <c r="N100" s="185"/>
      <c r="O100" s="184"/>
      <c r="P100" s="185"/>
      <c r="Q100" s="184"/>
      <c r="R100" s="185"/>
      <c r="S100" s="184"/>
      <c r="T100" s="185"/>
      <c r="U100" s="184"/>
      <c r="V100" s="185"/>
      <c r="W100" s="184"/>
      <c r="X100" s="185"/>
      <c r="Y100" s="184"/>
      <c r="Z100" s="185"/>
      <c r="AA100" s="184"/>
      <c r="AB100" s="185"/>
      <c r="AC100" s="184"/>
      <c r="AD100" s="185"/>
      <c r="AE100" s="184"/>
      <c r="AF100" s="185"/>
      <c r="AG100" s="184"/>
      <c r="AH100" s="185"/>
      <c r="AI100" s="184"/>
      <c r="AJ100" s="185"/>
      <c r="AK100" s="184"/>
      <c r="AL100" s="185"/>
      <c r="AM100" s="184"/>
      <c r="AN100" s="185"/>
      <c r="AO100" s="184"/>
      <c r="AP100" s="185"/>
      <c r="AQ100" s="184"/>
      <c r="AR100" s="185"/>
      <c r="AS100" s="184"/>
      <c r="AT100" s="185"/>
      <c r="AU100" s="184"/>
      <c r="AV100" s="185"/>
      <c r="AW100" s="184"/>
      <c r="AX100" s="185"/>
      <c r="AY100" s="184"/>
      <c r="AZ100" s="185"/>
      <c r="BA100" s="184"/>
      <c r="BB100" s="185"/>
      <c r="BC100" s="184"/>
      <c r="BD100" s="185"/>
      <c r="BE100" s="184"/>
      <c r="BF100" s="185"/>
      <c r="BG100" s="184"/>
      <c r="BH100" s="185"/>
      <c r="BI100" s="184"/>
      <c r="BJ100" s="185"/>
      <c r="BK100" s="184"/>
      <c r="BL100" s="185"/>
      <c r="BM100" s="184"/>
      <c r="BN100" s="185"/>
      <c r="BO100" s="184"/>
      <c r="BP100" s="185"/>
      <c r="BQ100" s="184"/>
      <c r="BR100" s="185"/>
      <c r="BS100" s="184"/>
      <c r="BT100" s="185"/>
      <c r="BU100" s="184"/>
      <c r="BV100" s="185"/>
      <c r="BW100" s="184"/>
      <c r="BX100" s="185"/>
      <c r="BY100" s="184"/>
      <c r="BZ100" s="185"/>
      <c r="CA100" s="184"/>
      <c r="CB100" s="185"/>
      <c r="CC100" s="184"/>
      <c r="CD100" s="185"/>
      <c r="CE100" s="184"/>
      <c r="CF100" s="185"/>
      <c r="CG100" s="184"/>
      <c r="CH100" s="185"/>
      <c r="CI100" s="184"/>
      <c r="CJ100" s="185"/>
      <c r="CK100" s="184"/>
      <c r="CL100" s="185"/>
      <c r="CM100" s="184"/>
      <c r="CN100" s="185"/>
      <c r="CO100" s="184"/>
      <c r="CP100" s="185"/>
      <c r="CQ100" s="184"/>
      <c r="CR100" s="185"/>
      <c r="CS100" s="184"/>
      <c r="CT100" s="185"/>
      <c r="CU100" s="184"/>
      <c r="CV100" s="185"/>
      <c r="CW100" s="184"/>
      <c r="CX100" s="185"/>
      <c r="CY100" s="184"/>
      <c r="CZ100" s="185"/>
      <c r="DA100" s="184"/>
      <c r="DB100" s="185"/>
      <c r="DC100" s="184"/>
      <c r="DD100" s="185"/>
      <c r="DE100" s="184"/>
      <c r="DF100" s="185"/>
      <c r="DG100" s="184"/>
      <c r="DH100" s="185"/>
      <c r="DI100" s="184"/>
      <c r="DJ100" s="185"/>
      <c r="DK100" s="184"/>
      <c r="DL100" s="185"/>
      <c r="DM100" s="184"/>
      <c r="DN100" s="185"/>
      <c r="DO100" s="184"/>
      <c r="DP100" s="185"/>
      <c r="DQ100" s="184"/>
      <c r="DR100" s="185"/>
      <c r="DS100" s="184"/>
      <c r="DT100" s="185"/>
      <c r="DU100" s="184"/>
      <c r="DV100" s="185"/>
    </row>
    <row r="101" spans="1:126" x14ac:dyDescent="0.2">
      <c r="A101" s="183" t="s">
        <v>971</v>
      </c>
      <c r="B101" s="183" t="s">
        <v>972</v>
      </c>
      <c r="C101" s="184">
        <f t="shared" si="342"/>
        <v>0</v>
      </c>
      <c r="D101" s="185">
        <f t="shared" si="338"/>
        <v>0</v>
      </c>
      <c r="E101" s="184">
        <f t="shared" si="588"/>
        <v>0</v>
      </c>
      <c r="F101" s="185">
        <f t="shared" si="589"/>
        <v>0</v>
      </c>
      <c r="G101" s="184">
        <f t="shared" si="442"/>
        <v>0</v>
      </c>
      <c r="H101" s="185">
        <f t="shared" si="442"/>
        <v>0</v>
      </c>
      <c r="I101" s="184"/>
      <c r="J101" s="185"/>
      <c r="K101" s="184"/>
      <c r="L101" s="185"/>
      <c r="M101" s="184"/>
      <c r="N101" s="185"/>
      <c r="O101" s="184"/>
      <c r="P101" s="185"/>
      <c r="Q101" s="184"/>
      <c r="R101" s="185"/>
      <c r="S101" s="184"/>
      <c r="T101" s="185"/>
      <c r="U101" s="184"/>
      <c r="V101" s="185"/>
      <c r="W101" s="184"/>
      <c r="X101" s="185"/>
      <c r="Y101" s="184"/>
      <c r="Z101" s="185"/>
      <c r="AA101" s="184"/>
      <c r="AB101" s="185"/>
      <c r="AC101" s="184"/>
      <c r="AD101" s="185"/>
      <c r="AE101" s="184"/>
      <c r="AF101" s="185"/>
      <c r="AG101" s="184"/>
      <c r="AH101" s="185"/>
      <c r="AI101" s="184"/>
      <c r="AJ101" s="185"/>
      <c r="AK101" s="184"/>
      <c r="AL101" s="185"/>
      <c r="AM101" s="184"/>
      <c r="AN101" s="185"/>
      <c r="AO101" s="184"/>
      <c r="AP101" s="185"/>
      <c r="AQ101" s="184"/>
      <c r="AR101" s="185"/>
      <c r="AS101" s="184"/>
      <c r="AT101" s="185"/>
      <c r="AU101" s="184"/>
      <c r="AV101" s="185"/>
      <c r="AW101" s="184"/>
      <c r="AX101" s="185"/>
      <c r="AY101" s="184"/>
      <c r="AZ101" s="185"/>
      <c r="BA101" s="184"/>
      <c r="BB101" s="185"/>
      <c r="BC101" s="184"/>
      <c r="BD101" s="185"/>
      <c r="BE101" s="184"/>
      <c r="BF101" s="185"/>
      <c r="BG101" s="184"/>
      <c r="BH101" s="185"/>
      <c r="BI101" s="184"/>
      <c r="BJ101" s="185"/>
      <c r="BK101" s="184"/>
      <c r="BL101" s="185"/>
      <c r="BM101" s="184"/>
      <c r="BN101" s="185"/>
      <c r="BO101" s="184"/>
      <c r="BP101" s="185"/>
      <c r="BQ101" s="184"/>
      <c r="BR101" s="185"/>
      <c r="BS101" s="184"/>
      <c r="BT101" s="185"/>
      <c r="BU101" s="184"/>
      <c r="BV101" s="185"/>
      <c r="BW101" s="184"/>
      <c r="BX101" s="185"/>
      <c r="BY101" s="184"/>
      <c r="BZ101" s="185"/>
      <c r="CA101" s="184"/>
      <c r="CB101" s="185"/>
      <c r="CC101" s="184"/>
      <c r="CD101" s="185"/>
      <c r="CE101" s="184"/>
      <c r="CF101" s="185"/>
      <c r="CG101" s="184"/>
      <c r="CH101" s="185"/>
      <c r="CI101" s="184"/>
      <c r="CJ101" s="185"/>
      <c r="CK101" s="184"/>
      <c r="CL101" s="185"/>
      <c r="CM101" s="184"/>
      <c r="CN101" s="185"/>
      <c r="CO101" s="184"/>
      <c r="CP101" s="185"/>
      <c r="CQ101" s="184"/>
      <c r="CR101" s="185"/>
      <c r="CS101" s="184"/>
      <c r="CT101" s="185"/>
      <c r="CU101" s="184"/>
      <c r="CV101" s="185"/>
      <c r="CW101" s="184"/>
      <c r="CX101" s="185"/>
      <c r="CY101" s="184"/>
      <c r="CZ101" s="185"/>
      <c r="DA101" s="184"/>
      <c r="DB101" s="185"/>
      <c r="DC101" s="184"/>
      <c r="DD101" s="185"/>
      <c r="DE101" s="184"/>
      <c r="DF101" s="185"/>
      <c r="DG101" s="184"/>
      <c r="DH101" s="185"/>
      <c r="DI101" s="184"/>
      <c r="DJ101" s="185"/>
      <c r="DK101" s="184"/>
      <c r="DL101" s="185"/>
      <c r="DM101" s="184"/>
      <c r="DN101" s="185"/>
      <c r="DO101" s="184"/>
      <c r="DP101" s="185"/>
      <c r="DQ101" s="184"/>
      <c r="DR101" s="185"/>
      <c r="DS101" s="184"/>
      <c r="DT101" s="185"/>
      <c r="DU101" s="184"/>
      <c r="DV101" s="185"/>
    </row>
    <row r="102" spans="1:126" x14ac:dyDescent="0.2">
      <c r="A102" s="183" t="s">
        <v>973</v>
      </c>
      <c r="B102" s="183" t="s">
        <v>974</v>
      </c>
      <c r="C102" s="184">
        <f t="shared" si="342"/>
        <v>0</v>
      </c>
      <c r="D102" s="185">
        <f t="shared" si="338"/>
        <v>0</v>
      </c>
      <c r="E102" s="184">
        <f t="shared" si="588"/>
        <v>0</v>
      </c>
      <c r="F102" s="185">
        <f t="shared" si="589"/>
        <v>0</v>
      </c>
      <c r="G102" s="184">
        <f t="shared" si="442"/>
        <v>0</v>
      </c>
      <c r="H102" s="185">
        <f t="shared" si="442"/>
        <v>0</v>
      </c>
      <c r="I102" s="184"/>
      <c r="J102" s="185"/>
      <c r="K102" s="184"/>
      <c r="L102" s="185"/>
      <c r="M102" s="184"/>
      <c r="N102" s="185"/>
      <c r="O102" s="184"/>
      <c r="P102" s="185"/>
      <c r="Q102" s="184"/>
      <c r="R102" s="185"/>
      <c r="S102" s="184"/>
      <c r="T102" s="185"/>
      <c r="U102" s="184"/>
      <c r="V102" s="185"/>
      <c r="W102" s="184"/>
      <c r="X102" s="185"/>
      <c r="Y102" s="184"/>
      <c r="Z102" s="185"/>
      <c r="AA102" s="184"/>
      <c r="AB102" s="185"/>
      <c r="AC102" s="184"/>
      <c r="AD102" s="185"/>
      <c r="AE102" s="184"/>
      <c r="AF102" s="185"/>
      <c r="AG102" s="184"/>
      <c r="AH102" s="185"/>
      <c r="AI102" s="184"/>
      <c r="AJ102" s="185"/>
      <c r="AK102" s="184"/>
      <c r="AL102" s="185"/>
      <c r="AM102" s="184"/>
      <c r="AN102" s="185"/>
      <c r="AO102" s="184"/>
      <c r="AP102" s="185"/>
      <c r="AQ102" s="184"/>
      <c r="AR102" s="185"/>
      <c r="AS102" s="184"/>
      <c r="AT102" s="185"/>
      <c r="AU102" s="184"/>
      <c r="AV102" s="185"/>
      <c r="AW102" s="184"/>
      <c r="AX102" s="185"/>
      <c r="AY102" s="184"/>
      <c r="AZ102" s="185"/>
      <c r="BA102" s="184"/>
      <c r="BB102" s="185"/>
      <c r="BC102" s="184"/>
      <c r="BD102" s="185"/>
      <c r="BE102" s="184"/>
      <c r="BF102" s="185"/>
      <c r="BG102" s="184"/>
      <c r="BH102" s="185"/>
      <c r="BI102" s="184"/>
      <c r="BJ102" s="185"/>
      <c r="BK102" s="184"/>
      <c r="BL102" s="185"/>
      <c r="BM102" s="184"/>
      <c r="BN102" s="185"/>
      <c r="BO102" s="184"/>
      <c r="BP102" s="185"/>
      <c r="BQ102" s="184"/>
      <c r="BR102" s="185"/>
      <c r="BS102" s="184"/>
      <c r="BT102" s="185"/>
      <c r="BU102" s="184"/>
      <c r="BV102" s="185"/>
      <c r="BW102" s="184"/>
      <c r="BX102" s="185"/>
      <c r="BY102" s="184"/>
      <c r="BZ102" s="185"/>
      <c r="CA102" s="184"/>
      <c r="CB102" s="185"/>
      <c r="CC102" s="184"/>
      <c r="CD102" s="185"/>
      <c r="CE102" s="184"/>
      <c r="CF102" s="185"/>
      <c r="CG102" s="184"/>
      <c r="CH102" s="185"/>
      <c r="CI102" s="184"/>
      <c r="CJ102" s="185"/>
      <c r="CK102" s="184"/>
      <c r="CL102" s="185"/>
      <c r="CM102" s="184"/>
      <c r="CN102" s="185"/>
      <c r="CO102" s="184"/>
      <c r="CP102" s="185"/>
      <c r="CQ102" s="184"/>
      <c r="CR102" s="185"/>
      <c r="CS102" s="184"/>
      <c r="CT102" s="185"/>
      <c r="CU102" s="184"/>
      <c r="CV102" s="185"/>
      <c r="CW102" s="184"/>
      <c r="CX102" s="185"/>
      <c r="CY102" s="184"/>
      <c r="CZ102" s="185"/>
      <c r="DA102" s="184"/>
      <c r="DB102" s="185"/>
      <c r="DC102" s="184"/>
      <c r="DD102" s="185"/>
      <c r="DE102" s="184"/>
      <c r="DF102" s="185"/>
      <c r="DG102" s="184"/>
      <c r="DH102" s="185"/>
      <c r="DI102" s="184"/>
      <c r="DJ102" s="185"/>
      <c r="DK102" s="184"/>
      <c r="DL102" s="185"/>
      <c r="DM102" s="184"/>
      <c r="DN102" s="185"/>
      <c r="DO102" s="184"/>
      <c r="DP102" s="185"/>
      <c r="DQ102" s="184"/>
      <c r="DR102" s="185"/>
      <c r="DS102" s="184"/>
      <c r="DT102" s="185"/>
      <c r="DU102" s="184"/>
      <c r="DV102" s="185"/>
    </row>
    <row r="103" spans="1:126" x14ac:dyDescent="0.2">
      <c r="A103" s="183" t="s">
        <v>975</v>
      </c>
      <c r="B103" s="183" t="s">
        <v>976</v>
      </c>
      <c r="C103" s="184">
        <f t="shared" si="342"/>
        <v>0</v>
      </c>
      <c r="D103" s="185">
        <f t="shared" si="338"/>
        <v>0</v>
      </c>
      <c r="E103" s="184">
        <f t="shared" si="588"/>
        <v>0</v>
      </c>
      <c r="F103" s="185">
        <f t="shared" si="589"/>
        <v>0</v>
      </c>
      <c r="G103" s="184">
        <f t="shared" si="442"/>
        <v>0</v>
      </c>
      <c r="H103" s="185">
        <f t="shared" si="442"/>
        <v>0</v>
      </c>
      <c r="I103" s="184"/>
      <c r="J103" s="185"/>
      <c r="K103" s="184"/>
      <c r="L103" s="185"/>
      <c r="M103" s="184"/>
      <c r="N103" s="185"/>
      <c r="O103" s="184"/>
      <c r="P103" s="185"/>
      <c r="Q103" s="184"/>
      <c r="R103" s="185"/>
      <c r="S103" s="184"/>
      <c r="T103" s="185"/>
      <c r="U103" s="184"/>
      <c r="V103" s="185"/>
      <c r="W103" s="184"/>
      <c r="X103" s="185"/>
      <c r="Y103" s="184"/>
      <c r="Z103" s="185"/>
      <c r="AA103" s="184"/>
      <c r="AB103" s="185"/>
      <c r="AC103" s="184"/>
      <c r="AD103" s="185"/>
      <c r="AE103" s="184"/>
      <c r="AF103" s="185"/>
      <c r="AG103" s="184"/>
      <c r="AH103" s="185"/>
      <c r="AI103" s="184"/>
      <c r="AJ103" s="185"/>
      <c r="AK103" s="184"/>
      <c r="AL103" s="185"/>
      <c r="AM103" s="184"/>
      <c r="AN103" s="185"/>
      <c r="AO103" s="184"/>
      <c r="AP103" s="185"/>
      <c r="AQ103" s="184"/>
      <c r="AR103" s="185"/>
      <c r="AS103" s="184"/>
      <c r="AT103" s="185"/>
      <c r="AU103" s="184"/>
      <c r="AV103" s="185"/>
      <c r="AW103" s="184"/>
      <c r="AX103" s="185"/>
      <c r="AY103" s="184"/>
      <c r="AZ103" s="185"/>
      <c r="BA103" s="184"/>
      <c r="BB103" s="185"/>
      <c r="BC103" s="184"/>
      <c r="BD103" s="185"/>
      <c r="BE103" s="184"/>
      <c r="BF103" s="185"/>
      <c r="BG103" s="184"/>
      <c r="BH103" s="185"/>
      <c r="BI103" s="184"/>
      <c r="BJ103" s="185"/>
      <c r="BK103" s="184"/>
      <c r="BL103" s="185"/>
      <c r="BM103" s="184"/>
      <c r="BN103" s="185"/>
      <c r="BO103" s="184"/>
      <c r="BP103" s="185"/>
      <c r="BQ103" s="184"/>
      <c r="BR103" s="185"/>
      <c r="BS103" s="184"/>
      <c r="BT103" s="185"/>
      <c r="BU103" s="184"/>
      <c r="BV103" s="185"/>
      <c r="BW103" s="184"/>
      <c r="BX103" s="185"/>
      <c r="BY103" s="184"/>
      <c r="BZ103" s="185"/>
      <c r="CA103" s="184"/>
      <c r="CB103" s="185"/>
      <c r="CC103" s="184"/>
      <c r="CD103" s="185"/>
      <c r="CE103" s="184"/>
      <c r="CF103" s="185"/>
      <c r="CG103" s="184"/>
      <c r="CH103" s="185"/>
      <c r="CI103" s="184"/>
      <c r="CJ103" s="185"/>
      <c r="CK103" s="184"/>
      <c r="CL103" s="185"/>
      <c r="CM103" s="184"/>
      <c r="CN103" s="185"/>
      <c r="CO103" s="184"/>
      <c r="CP103" s="185"/>
      <c r="CQ103" s="184"/>
      <c r="CR103" s="185"/>
      <c r="CS103" s="184"/>
      <c r="CT103" s="185"/>
      <c r="CU103" s="184"/>
      <c r="CV103" s="185"/>
      <c r="CW103" s="184"/>
      <c r="CX103" s="185"/>
      <c r="CY103" s="184"/>
      <c r="CZ103" s="185"/>
      <c r="DA103" s="184"/>
      <c r="DB103" s="185"/>
      <c r="DC103" s="184"/>
      <c r="DD103" s="185"/>
      <c r="DE103" s="184"/>
      <c r="DF103" s="185"/>
      <c r="DG103" s="184"/>
      <c r="DH103" s="185"/>
      <c r="DI103" s="184"/>
      <c r="DJ103" s="185"/>
      <c r="DK103" s="184"/>
      <c r="DL103" s="185"/>
      <c r="DM103" s="184"/>
      <c r="DN103" s="185"/>
      <c r="DO103" s="184"/>
      <c r="DP103" s="185"/>
      <c r="DQ103" s="184"/>
      <c r="DR103" s="185"/>
      <c r="DS103" s="184"/>
      <c r="DT103" s="185"/>
      <c r="DU103" s="184"/>
      <c r="DV103" s="185"/>
    </row>
    <row r="104" spans="1:126" x14ac:dyDescent="0.2">
      <c r="A104" s="183" t="s">
        <v>977</v>
      </c>
      <c r="B104" s="183" t="s">
        <v>978</v>
      </c>
      <c r="C104" s="184">
        <f t="shared" si="342"/>
        <v>0</v>
      </c>
      <c r="D104" s="185">
        <f t="shared" si="338"/>
        <v>0</v>
      </c>
      <c r="E104" s="184">
        <f t="shared" si="588"/>
        <v>0</v>
      </c>
      <c r="F104" s="185">
        <f t="shared" si="589"/>
        <v>0</v>
      </c>
      <c r="G104" s="184">
        <f t="shared" si="442"/>
        <v>0</v>
      </c>
      <c r="H104" s="185">
        <f t="shared" si="442"/>
        <v>0</v>
      </c>
      <c r="I104" s="184"/>
      <c r="J104" s="185"/>
      <c r="K104" s="184"/>
      <c r="L104" s="185"/>
      <c r="M104" s="184"/>
      <c r="N104" s="185"/>
      <c r="O104" s="184"/>
      <c r="P104" s="185"/>
      <c r="Q104" s="184"/>
      <c r="R104" s="185"/>
      <c r="S104" s="184"/>
      <c r="T104" s="185"/>
      <c r="U104" s="184"/>
      <c r="V104" s="185"/>
      <c r="W104" s="184"/>
      <c r="X104" s="185"/>
      <c r="Y104" s="184"/>
      <c r="Z104" s="185"/>
      <c r="AA104" s="184"/>
      <c r="AB104" s="185"/>
      <c r="AC104" s="184"/>
      <c r="AD104" s="185"/>
      <c r="AE104" s="184"/>
      <c r="AF104" s="185"/>
      <c r="AG104" s="184"/>
      <c r="AH104" s="185"/>
      <c r="AI104" s="184"/>
      <c r="AJ104" s="185"/>
      <c r="AK104" s="184"/>
      <c r="AL104" s="185"/>
      <c r="AM104" s="184"/>
      <c r="AN104" s="185"/>
      <c r="AO104" s="184"/>
      <c r="AP104" s="185"/>
      <c r="AQ104" s="184"/>
      <c r="AR104" s="185"/>
      <c r="AS104" s="184"/>
      <c r="AT104" s="185"/>
      <c r="AU104" s="184"/>
      <c r="AV104" s="185"/>
      <c r="AW104" s="184"/>
      <c r="AX104" s="185"/>
      <c r="AY104" s="184"/>
      <c r="AZ104" s="185"/>
      <c r="BA104" s="184"/>
      <c r="BB104" s="185"/>
      <c r="BC104" s="184"/>
      <c r="BD104" s="185"/>
      <c r="BE104" s="184"/>
      <c r="BF104" s="185"/>
      <c r="BG104" s="184"/>
      <c r="BH104" s="185"/>
      <c r="BI104" s="184"/>
      <c r="BJ104" s="185"/>
      <c r="BK104" s="184"/>
      <c r="BL104" s="185"/>
      <c r="BM104" s="184"/>
      <c r="BN104" s="185"/>
      <c r="BO104" s="184"/>
      <c r="BP104" s="185"/>
      <c r="BQ104" s="184"/>
      <c r="BR104" s="185"/>
      <c r="BS104" s="184"/>
      <c r="BT104" s="185"/>
      <c r="BU104" s="184"/>
      <c r="BV104" s="185"/>
      <c r="BW104" s="184"/>
      <c r="BX104" s="185"/>
      <c r="BY104" s="184"/>
      <c r="BZ104" s="185"/>
      <c r="CA104" s="184"/>
      <c r="CB104" s="185"/>
      <c r="CC104" s="184"/>
      <c r="CD104" s="185"/>
      <c r="CE104" s="184"/>
      <c r="CF104" s="185"/>
      <c r="CG104" s="184"/>
      <c r="CH104" s="185"/>
      <c r="CI104" s="184"/>
      <c r="CJ104" s="185"/>
      <c r="CK104" s="184"/>
      <c r="CL104" s="185"/>
      <c r="CM104" s="184"/>
      <c r="CN104" s="185"/>
      <c r="CO104" s="184"/>
      <c r="CP104" s="185"/>
      <c r="CQ104" s="184"/>
      <c r="CR104" s="185"/>
      <c r="CS104" s="184"/>
      <c r="CT104" s="185"/>
      <c r="CU104" s="184"/>
      <c r="CV104" s="185"/>
      <c r="CW104" s="184"/>
      <c r="CX104" s="185"/>
      <c r="CY104" s="184"/>
      <c r="CZ104" s="185"/>
      <c r="DA104" s="184"/>
      <c r="DB104" s="185"/>
      <c r="DC104" s="184"/>
      <c r="DD104" s="185"/>
      <c r="DE104" s="184"/>
      <c r="DF104" s="185"/>
      <c r="DG104" s="184"/>
      <c r="DH104" s="185"/>
      <c r="DI104" s="184"/>
      <c r="DJ104" s="185"/>
      <c r="DK104" s="184"/>
      <c r="DL104" s="185"/>
      <c r="DM104" s="184"/>
      <c r="DN104" s="185"/>
      <c r="DO104" s="184"/>
      <c r="DP104" s="185"/>
      <c r="DQ104" s="184"/>
      <c r="DR104" s="185"/>
      <c r="DS104" s="184"/>
      <c r="DT104" s="185"/>
      <c r="DU104" s="184"/>
      <c r="DV104" s="185"/>
    </row>
    <row r="105" spans="1:126" x14ac:dyDescent="0.2">
      <c r="A105" s="183" t="s">
        <v>979</v>
      </c>
      <c r="B105" s="183" t="s">
        <v>980</v>
      </c>
      <c r="C105" s="184">
        <f t="shared" si="342"/>
        <v>0</v>
      </c>
      <c r="D105" s="185">
        <f t="shared" si="338"/>
        <v>0</v>
      </c>
      <c r="E105" s="184">
        <f t="shared" si="588"/>
        <v>0</v>
      </c>
      <c r="F105" s="185">
        <f t="shared" si="589"/>
        <v>0</v>
      </c>
      <c r="G105" s="184">
        <f t="shared" si="442"/>
        <v>0</v>
      </c>
      <c r="H105" s="185">
        <f t="shared" si="442"/>
        <v>0</v>
      </c>
      <c r="I105" s="184"/>
      <c r="J105" s="185"/>
      <c r="K105" s="184"/>
      <c r="L105" s="185"/>
      <c r="M105" s="184"/>
      <c r="N105" s="185"/>
      <c r="O105" s="184"/>
      <c r="P105" s="185"/>
      <c r="Q105" s="184"/>
      <c r="R105" s="185"/>
      <c r="S105" s="184"/>
      <c r="T105" s="185"/>
      <c r="U105" s="184"/>
      <c r="V105" s="185"/>
      <c r="W105" s="184"/>
      <c r="X105" s="185"/>
      <c r="Y105" s="184"/>
      <c r="Z105" s="185"/>
      <c r="AA105" s="184"/>
      <c r="AB105" s="185"/>
      <c r="AC105" s="184"/>
      <c r="AD105" s="185"/>
      <c r="AE105" s="184"/>
      <c r="AF105" s="185"/>
      <c r="AG105" s="184"/>
      <c r="AH105" s="185"/>
      <c r="AI105" s="184"/>
      <c r="AJ105" s="185"/>
      <c r="AK105" s="184"/>
      <c r="AL105" s="185"/>
      <c r="AM105" s="184"/>
      <c r="AN105" s="185"/>
      <c r="AO105" s="184"/>
      <c r="AP105" s="185"/>
      <c r="AQ105" s="184"/>
      <c r="AR105" s="185"/>
      <c r="AS105" s="184"/>
      <c r="AT105" s="185"/>
      <c r="AU105" s="184"/>
      <c r="AV105" s="185"/>
      <c r="AW105" s="184"/>
      <c r="AX105" s="185"/>
      <c r="AY105" s="184"/>
      <c r="AZ105" s="185"/>
      <c r="BA105" s="184"/>
      <c r="BB105" s="185"/>
      <c r="BC105" s="184"/>
      <c r="BD105" s="185"/>
      <c r="BE105" s="184"/>
      <c r="BF105" s="185"/>
      <c r="BG105" s="184"/>
      <c r="BH105" s="185"/>
      <c r="BI105" s="184"/>
      <c r="BJ105" s="185"/>
      <c r="BK105" s="184"/>
      <c r="BL105" s="185"/>
      <c r="BM105" s="184"/>
      <c r="BN105" s="185"/>
      <c r="BO105" s="184"/>
      <c r="BP105" s="185"/>
      <c r="BQ105" s="184"/>
      <c r="BR105" s="185"/>
      <c r="BS105" s="184"/>
      <c r="BT105" s="185"/>
      <c r="BU105" s="184"/>
      <c r="BV105" s="185"/>
      <c r="BW105" s="184"/>
      <c r="BX105" s="185"/>
      <c r="BY105" s="184"/>
      <c r="BZ105" s="185"/>
      <c r="CA105" s="184"/>
      <c r="CB105" s="185"/>
      <c r="CC105" s="184"/>
      <c r="CD105" s="185"/>
      <c r="CE105" s="184"/>
      <c r="CF105" s="185"/>
      <c r="CG105" s="184"/>
      <c r="CH105" s="185"/>
      <c r="CI105" s="184"/>
      <c r="CJ105" s="185"/>
      <c r="CK105" s="184"/>
      <c r="CL105" s="185"/>
      <c r="CM105" s="184"/>
      <c r="CN105" s="185"/>
      <c r="CO105" s="184"/>
      <c r="CP105" s="185"/>
      <c r="CQ105" s="184"/>
      <c r="CR105" s="185"/>
      <c r="CS105" s="184"/>
      <c r="CT105" s="185"/>
      <c r="CU105" s="184"/>
      <c r="CV105" s="185"/>
      <c r="CW105" s="184"/>
      <c r="CX105" s="185"/>
      <c r="CY105" s="184"/>
      <c r="CZ105" s="185"/>
      <c r="DA105" s="184"/>
      <c r="DB105" s="185"/>
      <c r="DC105" s="184"/>
      <c r="DD105" s="185"/>
      <c r="DE105" s="184"/>
      <c r="DF105" s="185"/>
      <c r="DG105" s="184"/>
      <c r="DH105" s="185"/>
      <c r="DI105" s="184"/>
      <c r="DJ105" s="185"/>
      <c r="DK105" s="184"/>
      <c r="DL105" s="185"/>
      <c r="DM105" s="184"/>
      <c r="DN105" s="185"/>
      <c r="DO105" s="184"/>
      <c r="DP105" s="185"/>
      <c r="DQ105" s="184"/>
      <c r="DR105" s="185"/>
      <c r="DS105" s="184"/>
      <c r="DT105" s="185"/>
      <c r="DU105" s="184"/>
      <c r="DV105" s="185"/>
    </row>
    <row r="106" spans="1:126" x14ac:dyDescent="0.2">
      <c r="A106" s="186" t="s">
        <v>981</v>
      </c>
      <c r="B106" s="186" t="s">
        <v>982</v>
      </c>
      <c r="C106" s="187" t="e">
        <f t="shared" ref="C106:I106" si="590">SUM(C89:C105)</f>
        <v>#REF!</v>
      </c>
      <c r="D106" s="188" t="e">
        <f t="shared" si="590"/>
        <v>#REF!</v>
      </c>
      <c r="E106" s="187">
        <f t="shared" si="590"/>
        <v>0</v>
      </c>
      <c r="F106" s="188">
        <f t="shared" si="590"/>
        <v>0</v>
      </c>
      <c r="G106" s="187">
        <f t="shared" si="590"/>
        <v>0</v>
      </c>
      <c r="H106" s="188">
        <f t="shared" si="590"/>
        <v>0</v>
      </c>
      <c r="I106" s="187">
        <f t="shared" si="590"/>
        <v>2912651</v>
      </c>
      <c r="J106" s="188" t="e">
        <f t="shared" ref="J106:AO106" si="591">SUM(J89:J105)</f>
        <v>#REF!</v>
      </c>
      <c r="K106" s="187">
        <f t="shared" si="591"/>
        <v>0</v>
      </c>
      <c r="L106" s="188">
        <f t="shared" si="591"/>
        <v>0</v>
      </c>
      <c r="M106" s="187">
        <f t="shared" si="591"/>
        <v>0</v>
      </c>
      <c r="N106" s="188">
        <f t="shared" si="591"/>
        <v>0</v>
      </c>
      <c r="O106" s="187">
        <f t="shared" si="591"/>
        <v>0</v>
      </c>
      <c r="P106" s="188">
        <f t="shared" si="591"/>
        <v>0</v>
      </c>
      <c r="Q106" s="187">
        <f t="shared" si="591"/>
        <v>0</v>
      </c>
      <c r="R106" s="188">
        <f t="shared" si="591"/>
        <v>0</v>
      </c>
      <c r="S106" s="187">
        <f t="shared" si="591"/>
        <v>0</v>
      </c>
      <c r="T106" s="188">
        <f t="shared" ref="T106" si="592">SUM(T89:T105)</f>
        <v>0</v>
      </c>
      <c r="U106" s="187">
        <f t="shared" si="591"/>
        <v>0</v>
      </c>
      <c r="V106" s="188">
        <f t="shared" ref="V106" si="593">SUM(V89:V105)</f>
        <v>0</v>
      </c>
      <c r="W106" s="187">
        <f t="shared" si="591"/>
        <v>0</v>
      </c>
      <c r="X106" s="188">
        <f t="shared" si="591"/>
        <v>0</v>
      </c>
      <c r="Y106" s="187">
        <f t="shared" si="591"/>
        <v>0</v>
      </c>
      <c r="Z106" s="188">
        <f t="shared" ref="Z106" si="594">SUM(Z89:Z105)</f>
        <v>0</v>
      </c>
      <c r="AA106" s="187">
        <f t="shared" si="591"/>
        <v>0</v>
      </c>
      <c r="AB106" s="188">
        <f t="shared" ref="AB106" si="595">SUM(AB89:AB105)</f>
        <v>0</v>
      </c>
      <c r="AC106" s="187">
        <f t="shared" si="591"/>
        <v>0</v>
      </c>
      <c r="AD106" s="188">
        <f t="shared" ref="AD106" si="596">SUM(AD89:AD105)</f>
        <v>0</v>
      </c>
      <c r="AE106" s="187">
        <f t="shared" si="591"/>
        <v>0</v>
      </c>
      <c r="AF106" s="188">
        <f t="shared" ref="AF106:AH106" si="597">SUM(AF89:AF105)</f>
        <v>0</v>
      </c>
      <c r="AG106" s="187"/>
      <c r="AH106" s="188">
        <f t="shared" si="597"/>
        <v>0</v>
      </c>
      <c r="AI106" s="187">
        <f>SUM(AI89:AI105)</f>
        <v>0</v>
      </c>
      <c r="AJ106" s="188">
        <f>SUM(AJ89:AJ105)</f>
        <v>0</v>
      </c>
      <c r="AK106" s="187">
        <f t="shared" si="591"/>
        <v>0</v>
      </c>
      <c r="AL106" s="188">
        <f t="shared" ref="AL106" si="598">SUM(AL89:AL105)</f>
        <v>0</v>
      </c>
      <c r="AM106" s="187">
        <f t="shared" si="591"/>
        <v>0</v>
      </c>
      <c r="AN106" s="188"/>
      <c r="AO106" s="187">
        <f t="shared" si="591"/>
        <v>0</v>
      </c>
      <c r="AP106" s="188">
        <f t="shared" ref="AP106" si="599">SUM(AP89:AP105)</f>
        <v>0</v>
      </c>
      <c r="AQ106" s="187">
        <f t="shared" ref="AQ106:DS106" si="600">SUM(AQ89:AQ105)</f>
        <v>0</v>
      </c>
      <c r="AR106" s="188">
        <f t="shared" ref="AR106" si="601">SUM(AR89:AR105)</f>
        <v>0</v>
      </c>
      <c r="AS106" s="187">
        <f t="shared" si="600"/>
        <v>0</v>
      </c>
      <c r="AT106" s="188">
        <f t="shared" ref="AT106" si="602">SUM(AT89:AT105)</f>
        <v>0</v>
      </c>
      <c r="AU106" s="187">
        <f t="shared" si="600"/>
        <v>0</v>
      </c>
      <c r="AV106" s="188">
        <f t="shared" ref="AV106" si="603">SUM(AV89:AV105)</f>
        <v>0</v>
      </c>
      <c r="AW106" s="187">
        <f t="shared" si="600"/>
        <v>0</v>
      </c>
      <c r="AX106" s="188">
        <f t="shared" ref="AX106" si="604">SUM(AX89:AX105)</f>
        <v>0</v>
      </c>
      <c r="AY106" s="187">
        <f t="shared" si="600"/>
        <v>0</v>
      </c>
      <c r="AZ106" s="188">
        <f t="shared" ref="AZ106" si="605">SUM(AZ89:AZ105)</f>
        <v>0</v>
      </c>
      <c r="BA106" s="187">
        <f t="shared" si="600"/>
        <v>0</v>
      </c>
      <c r="BB106" s="188">
        <f t="shared" ref="BB106" si="606">SUM(BB89:BB105)</f>
        <v>0</v>
      </c>
      <c r="BC106" s="187">
        <f t="shared" si="600"/>
        <v>0</v>
      </c>
      <c r="BD106" s="188">
        <f t="shared" ref="BD106" si="607">SUM(BD89:BD105)</f>
        <v>0</v>
      </c>
      <c r="BE106" s="187">
        <f t="shared" si="600"/>
        <v>0</v>
      </c>
      <c r="BF106" s="188">
        <f t="shared" ref="BF106" si="608">SUM(BF89:BF105)</f>
        <v>0</v>
      </c>
      <c r="BG106" s="187">
        <f t="shared" si="600"/>
        <v>0</v>
      </c>
      <c r="BH106" s="188">
        <f t="shared" ref="BH106" si="609">SUM(BH89:BH105)</f>
        <v>0</v>
      </c>
      <c r="BI106" s="187">
        <f t="shared" si="600"/>
        <v>0</v>
      </c>
      <c r="BJ106" s="188">
        <f t="shared" ref="BJ106" si="610">SUM(BJ89:BJ105)</f>
        <v>0</v>
      </c>
      <c r="BK106" s="187">
        <f t="shared" si="600"/>
        <v>0</v>
      </c>
      <c r="BL106" s="188">
        <f t="shared" ref="BL106" si="611">SUM(BL89:BL105)</f>
        <v>0</v>
      </c>
      <c r="BM106" s="187">
        <f t="shared" si="600"/>
        <v>0</v>
      </c>
      <c r="BN106" s="188">
        <f t="shared" ref="BN106" si="612">SUM(BN89:BN105)</f>
        <v>0</v>
      </c>
      <c r="BO106" s="187">
        <f t="shared" si="600"/>
        <v>0</v>
      </c>
      <c r="BP106" s="188">
        <f t="shared" ref="BP106" si="613">SUM(BP89:BP105)</f>
        <v>0</v>
      </c>
      <c r="BQ106" s="187">
        <f t="shared" si="600"/>
        <v>0</v>
      </c>
      <c r="BR106" s="188">
        <f t="shared" ref="BR106" si="614">SUM(BR89:BR105)</f>
        <v>0</v>
      </c>
      <c r="BS106" s="187">
        <f t="shared" si="600"/>
        <v>0</v>
      </c>
      <c r="BT106" s="188">
        <f t="shared" ref="BT106" si="615">SUM(BT89:BT105)</f>
        <v>0</v>
      </c>
      <c r="BU106" s="187">
        <f t="shared" si="600"/>
        <v>0</v>
      </c>
      <c r="BV106" s="188">
        <f t="shared" ref="BV106" si="616">SUM(BV89:BV105)</f>
        <v>0</v>
      </c>
      <c r="BW106" s="187">
        <f t="shared" si="600"/>
        <v>0</v>
      </c>
      <c r="BX106" s="188">
        <f t="shared" ref="BX106" si="617">SUM(BX89:BX105)</f>
        <v>0</v>
      </c>
      <c r="BY106" s="187">
        <f t="shared" si="600"/>
        <v>0</v>
      </c>
      <c r="BZ106" s="188">
        <f t="shared" ref="BZ106" si="618">SUM(BZ89:BZ105)</f>
        <v>0</v>
      </c>
      <c r="CA106" s="187">
        <f t="shared" si="600"/>
        <v>0</v>
      </c>
      <c r="CB106" s="188">
        <f t="shared" ref="CB106" si="619">SUM(CB89:CB105)</f>
        <v>0</v>
      </c>
      <c r="CC106" s="187">
        <f t="shared" si="600"/>
        <v>0</v>
      </c>
      <c r="CD106" s="188">
        <f t="shared" ref="CD106" si="620">SUM(CD89:CD105)</f>
        <v>0</v>
      </c>
      <c r="CE106" s="187">
        <f>SUM(CE89:CE105)</f>
        <v>0</v>
      </c>
      <c r="CF106" s="188">
        <f>SUM(CF89:CF105)</f>
        <v>0</v>
      </c>
      <c r="CG106" s="187">
        <f t="shared" si="600"/>
        <v>0</v>
      </c>
      <c r="CH106" s="188">
        <f t="shared" ref="CH106" si="621">SUM(CH89:CH105)</f>
        <v>0</v>
      </c>
      <c r="CI106" s="187">
        <f t="shared" si="600"/>
        <v>0</v>
      </c>
      <c r="CJ106" s="188">
        <f t="shared" ref="CJ106" si="622">SUM(CJ89:CJ105)</f>
        <v>0</v>
      </c>
      <c r="CK106" s="187">
        <f t="shared" si="600"/>
        <v>0</v>
      </c>
      <c r="CL106" s="188">
        <f t="shared" ref="CL106" si="623">SUM(CL89:CL105)</f>
        <v>0</v>
      </c>
      <c r="CM106" s="187">
        <f t="shared" si="600"/>
        <v>0</v>
      </c>
      <c r="CN106" s="188">
        <f t="shared" ref="CN106" si="624">SUM(CN89:CN105)</f>
        <v>0</v>
      </c>
      <c r="CO106" s="187">
        <f t="shared" si="600"/>
        <v>0</v>
      </c>
      <c r="CP106" s="188">
        <f t="shared" ref="CP106" si="625">SUM(CP89:CP105)</f>
        <v>0</v>
      </c>
      <c r="CQ106" s="187">
        <f t="shared" si="600"/>
        <v>0</v>
      </c>
      <c r="CR106" s="188">
        <f t="shared" ref="CR106" si="626">SUM(CR89:CR105)</f>
        <v>0</v>
      </c>
      <c r="CS106" s="187">
        <f t="shared" si="600"/>
        <v>0</v>
      </c>
      <c r="CT106" s="188">
        <f t="shared" ref="CT106" si="627">SUM(CT89:CT105)</f>
        <v>0</v>
      </c>
      <c r="CU106" s="187">
        <f t="shared" si="600"/>
        <v>0</v>
      </c>
      <c r="CV106" s="188">
        <f t="shared" ref="CV106" si="628">SUM(CV89:CV105)</f>
        <v>0</v>
      </c>
      <c r="CW106" s="187">
        <f t="shared" si="600"/>
        <v>0</v>
      </c>
      <c r="CX106" s="188">
        <f t="shared" ref="CX106" si="629">SUM(CX89:CX105)</f>
        <v>0</v>
      </c>
      <c r="CY106" s="187">
        <f t="shared" si="600"/>
        <v>0</v>
      </c>
      <c r="CZ106" s="188"/>
      <c r="DA106" s="187">
        <f t="shared" si="600"/>
        <v>0</v>
      </c>
      <c r="DB106" s="188"/>
      <c r="DC106" s="187">
        <f t="shared" si="600"/>
        <v>0</v>
      </c>
      <c r="DD106" s="188">
        <f t="shared" ref="DD106" si="630">SUM(DD89:DD105)</f>
        <v>0</v>
      </c>
      <c r="DE106" s="187">
        <f t="shared" si="600"/>
        <v>0</v>
      </c>
      <c r="DF106" s="188">
        <f t="shared" ref="DF106" si="631">SUM(DF89:DF105)</f>
        <v>0</v>
      </c>
      <c r="DG106" s="187">
        <f t="shared" si="600"/>
        <v>0</v>
      </c>
      <c r="DH106" s="188">
        <f t="shared" ref="DH106" si="632">SUM(DH89:DH105)</f>
        <v>0</v>
      </c>
      <c r="DI106" s="187">
        <f t="shared" si="600"/>
        <v>0</v>
      </c>
      <c r="DJ106" s="188">
        <f t="shared" ref="DJ106" si="633">SUM(DJ89:DJ105)</f>
        <v>0</v>
      </c>
      <c r="DK106" s="187">
        <f t="shared" si="600"/>
        <v>0</v>
      </c>
      <c r="DL106" s="188">
        <f t="shared" ref="DL106" si="634">SUM(DL89:DL105)</f>
        <v>0</v>
      </c>
      <c r="DM106" s="187">
        <f t="shared" si="600"/>
        <v>0</v>
      </c>
      <c r="DN106" s="188">
        <f t="shared" ref="DN106" si="635">SUM(DN89:DN105)</f>
        <v>0</v>
      </c>
      <c r="DO106" s="187">
        <f t="shared" si="600"/>
        <v>0</v>
      </c>
      <c r="DP106" s="188">
        <f t="shared" ref="DP106" si="636">SUM(DP89:DP105)</f>
        <v>0</v>
      </c>
      <c r="DQ106" s="187">
        <f t="shared" si="600"/>
        <v>0</v>
      </c>
      <c r="DR106" s="188"/>
      <c r="DS106" s="187">
        <f t="shared" si="600"/>
        <v>0</v>
      </c>
      <c r="DT106" s="188">
        <f t="shared" ref="DT106" si="637">SUM(DT89:DT105)</f>
        <v>0</v>
      </c>
      <c r="DU106" s="187"/>
      <c r="DV106" s="188"/>
    </row>
    <row r="107" spans="1:126" x14ac:dyDescent="0.2">
      <c r="A107" s="1057" t="s">
        <v>983</v>
      </c>
      <c r="B107" s="1057"/>
      <c r="C107" s="194" t="e">
        <f t="shared" ref="C107:BO107" si="638">C44+C53+C66+C74+C79+C88+C106+C18+C19</f>
        <v>#REF!</v>
      </c>
      <c r="D107" s="195" t="e">
        <f t="shared" si="638"/>
        <v>#REF!</v>
      </c>
      <c r="E107" s="194">
        <f t="shared" si="638"/>
        <v>823805</v>
      </c>
      <c r="F107" s="195" t="e">
        <f t="shared" si="638"/>
        <v>#REF!</v>
      </c>
      <c r="G107" s="194">
        <f t="shared" si="638"/>
        <v>782823</v>
      </c>
      <c r="H107" s="195" t="e">
        <f>H44+H53+H66+H74+H79+H88+H106+H18+H19</f>
        <v>#REF!</v>
      </c>
      <c r="I107" s="194">
        <f t="shared" si="638"/>
        <v>2912651</v>
      </c>
      <c r="J107" s="195" t="e">
        <f t="shared" si="638"/>
        <v>#REF!</v>
      </c>
      <c r="K107" s="194">
        <f t="shared" si="638"/>
        <v>20986</v>
      </c>
      <c r="L107" s="195">
        <f t="shared" si="638"/>
        <v>21800</v>
      </c>
      <c r="M107" s="194">
        <f t="shared" si="638"/>
        <v>2540</v>
      </c>
      <c r="N107" s="195">
        <f t="shared" si="638"/>
        <v>4040</v>
      </c>
      <c r="O107" s="194">
        <f>O44+O53+O66+O74+O79+O88+O106+O18+O19</f>
        <v>19942</v>
      </c>
      <c r="P107" s="195">
        <f>P44+P53+P66+P74+P79+P88+P106+P18+P19</f>
        <v>18518</v>
      </c>
      <c r="Q107" s="194">
        <f t="shared" si="638"/>
        <v>29069</v>
      </c>
      <c r="R107" s="195">
        <f t="shared" si="638"/>
        <v>31943</v>
      </c>
      <c r="S107" s="194">
        <f t="shared" si="638"/>
        <v>0</v>
      </c>
      <c r="T107" s="195">
        <f t="shared" ref="T107" si="639">T44+T53+T66+T74+T79+T88+T106+T18+T19</f>
        <v>1000</v>
      </c>
      <c r="U107" s="194">
        <f t="shared" si="638"/>
        <v>0</v>
      </c>
      <c r="V107" s="195">
        <f t="shared" ref="V107" si="640">V44+V53+V66+V74+V79+V88+V106+V18+V19</f>
        <v>100</v>
      </c>
      <c r="W107" s="194">
        <f t="shared" si="638"/>
        <v>2413</v>
      </c>
      <c r="X107" s="195">
        <f t="shared" si="638"/>
        <v>2713</v>
      </c>
      <c r="Y107" s="194">
        <f t="shared" si="638"/>
        <v>1000</v>
      </c>
      <c r="Z107" s="195">
        <f t="shared" ref="Z107" si="641">Z44+Z53+Z66+Z74+Z79+Z88+Z106+Z18+Z19</f>
        <v>6526</v>
      </c>
      <c r="AA107" s="194">
        <f t="shared" si="638"/>
        <v>5115</v>
      </c>
      <c r="AB107" s="195">
        <f t="shared" ref="AB107" si="642">AB44+AB53+AB66+AB74+AB79+AB88+AB106+AB18+AB19</f>
        <v>4988</v>
      </c>
      <c r="AC107" s="194">
        <f t="shared" si="638"/>
        <v>400</v>
      </c>
      <c r="AD107" s="195">
        <f t="shared" ref="AD107" si="643">AD44+AD53+AD66+AD74+AD79+AD88+AD106+AD18+AD19</f>
        <v>400</v>
      </c>
      <c r="AE107" s="194">
        <f t="shared" si="638"/>
        <v>718340</v>
      </c>
      <c r="AF107" s="195" t="e">
        <f t="shared" ref="AF107:AH107" si="644">AF44+AF53+AF66+AF74+AF79+AF88+AF106+AF18+AF19</f>
        <v>#REF!</v>
      </c>
      <c r="AG107" s="194"/>
      <c r="AH107" s="195">
        <f t="shared" si="644"/>
        <v>60643</v>
      </c>
      <c r="AI107" s="194">
        <f t="shared" si="638"/>
        <v>24000</v>
      </c>
      <c r="AJ107" s="195">
        <f t="shared" ref="AJ107" si="645">AJ44+AJ53+AJ66+AJ74+AJ79+AJ88+AJ106+AJ18+AJ19</f>
        <v>21160</v>
      </c>
      <c r="AK107" s="194">
        <f t="shared" si="638"/>
        <v>3744</v>
      </c>
      <c r="AL107" s="195">
        <f t="shared" ref="AL107" si="646">AL44+AL53+AL66+AL74+AL79+AL88+AL106+AL18+AL19</f>
        <v>3744</v>
      </c>
      <c r="AM107" s="194">
        <f t="shared" si="638"/>
        <v>0</v>
      </c>
      <c r="AN107" s="195"/>
      <c r="AO107" s="194">
        <f t="shared" si="638"/>
        <v>4000</v>
      </c>
      <c r="AP107" s="195">
        <f t="shared" ref="AP107" si="647">AP44+AP53+AP66+AP74+AP79+AP88+AP106+AP18+AP19</f>
        <v>8061</v>
      </c>
      <c r="AQ107" s="194">
        <f t="shared" si="638"/>
        <v>1500</v>
      </c>
      <c r="AR107" s="195">
        <f t="shared" ref="AR107" si="648">AR44+AR53+AR66+AR74+AR79+AR88+AR106+AR18+AR19</f>
        <v>3500</v>
      </c>
      <c r="AS107" s="194">
        <f t="shared" si="638"/>
        <v>1000</v>
      </c>
      <c r="AT107" s="195">
        <f t="shared" ref="AT107" si="649">AT44+AT53+AT66+AT74+AT79+AT88+AT106+AT18+AT19</f>
        <v>5200</v>
      </c>
      <c r="AU107" s="194">
        <f t="shared" si="638"/>
        <v>0</v>
      </c>
      <c r="AV107" s="195">
        <f t="shared" ref="AV107" si="650">AV44+AV53+AV66+AV74+AV79+AV88+AV106+AV18+AV19</f>
        <v>0</v>
      </c>
      <c r="AW107" s="194">
        <f t="shared" si="638"/>
        <v>2811</v>
      </c>
      <c r="AX107" s="195">
        <f t="shared" ref="AX107" si="651">AX44+AX53+AX66+AX74+AX79+AX88+AX106+AX18+AX19</f>
        <v>2811</v>
      </c>
      <c r="AY107" s="194">
        <f t="shared" si="638"/>
        <v>1595</v>
      </c>
      <c r="AZ107" s="195">
        <f t="shared" ref="AZ107" si="652">AZ44+AZ53+AZ66+AZ74+AZ79+AZ88+AZ106+AZ18+AZ19</f>
        <v>1595</v>
      </c>
      <c r="BA107" s="194">
        <f t="shared" si="638"/>
        <v>6000</v>
      </c>
      <c r="BB107" s="195">
        <f t="shared" ref="BB107" si="653">BB44+BB53+BB66+BB74+BB79+BB88+BB106+BB18+BB19</f>
        <v>7620</v>
      </c>
      <c r="BC107" s="194">
        <f t="shared" si="638"/>
        <v>875</v>
      </c>
      <c r="BD107" s="195">
        <f t="shared" ref="BD107" si="654">BD44+BD53+BD66+BD74+BD79+BD88+BD106+BD18+BD19</f>
        <v>1750</v>
      </c>
      <c r="BE107" s="194">
        <f t="shared" si="638"/>
        <v>914</v>
      </c>
      <c r="BF107" s="195">
        <f t="shared" ref="BF107" si="655">BF44+BF53+BF66+BF74+BF79+BF88+BF106+BF18+BF19</f>
        <v>1829</v>
      </c>
      <c r="BG107" s="194">
        <f t="shared" si="638"/>
        <v>2400</v>
      </c>
      <c r="BH107" s="195">
        <f t="shared" ref="BH107" si="656">BH44+BH53+BH66+BH74+BH79+BH88+BH106+BH18+BH19</f>
        <v>2400</v>
      </c>
      <c r="BI107" s="194">
        <f t="shared" si="638"/>
        <v>2421</v>
      </c>
      <c r="BJ107" s="195">
        <f t="shared" ref="BJ107" si="657">BJ44+BJ53+BJ66+BJ74+BJ79+BJ88+BJ106+BJ18+BJ19</f>
        <v>2421</v>
      </c>
      <c r="BK107" s="194">
        <f t="shared" si="638"/>
        <v>2136</v>
      </c>
      <c r="BL107" s="195">
        <f t="shared" ref="BL107" si="658">BL44+BL53+BL66+BL74+BL79+BL88+BL106+BL18+BL19</f>
        <v>0</v>
      </c>
      <c r="BM107" s="194">
        <f t="shared" si="638"/>
        <v>1200</v>
      </c>
      <c r="BN107" s="195">
        <f t="shared" ref="BN107" si="659">BN44+BN53+BN66+BN74+BN79+BN88+BN106+BN18+BN19</f>
        <v>1500</v>
      </c>
      <c r="BO107" s="194">
        <f t="shared" si="638"/>
        <v>15000</v>
      </c>
      <c r="BP107" s="195">
        <f t="shared" ref="BP107" si="660">BP44+BP53+BP66+BP74+BP79+BP88+BP106+BP18+BP19</f>
        <v>18847</v>
      </c>
      <c r="BQ107" s="194">
        <f t="shared" ref="BQ107:DU107" si="661">BQ44+BQ53+BQ66+BQ74+BQ79+BQ88+BQ106+BQ18+BQ19</f>
        <v>11818</v>
      </c>
      <c r="BR107" s="195">
        <f t="shared" ref="BR107" si="662">BR44+BR53+BR66+BR74+BR79+BR88+BR106+BR18+BR19</f>
        <v>8163</v>
      </c>
      <c r="BS107" s="194">
        <f t="shared" si="661"/>
        <v>2000</v>
      </c>
      <c r="BT107" s="195">
        <f t="shared" ref="BT107" si="663">BT44+BT53+BT66+BT74+BT79+BT88+BT106+BT18+BT19</f>
        <v>2623</v>
      </c>
      <c r="BU107" s="194">
        <f t="shared" si="661"/>
        <v>19120</v>
      </c>
      <c r="BV107" s="195">
        <f t="shared" ref="BV107" si="664">BV44+BV53+BV66+BV74+BV79+BV88+BV106+BV18+BV19</f>
        <v>19120</v>
      </c>
      <c r="BW107" s="194">
        <f t="shared" si="661"/>
        <v>2000</v>
      </c>
      <c r="BX107" s="195">
        <f t="shared" ref="BX107" si="665">BX44+BX53+BX66+BX74+BX79+BX88+BX106+BX18+BX19</f>
        <v>2000</v>
      </c>
      <c r="BY107" s="194">
        <f t="shared" si="661"/>
        <v>3766</v>
      </c>
      <c r="BZ107" s="195">
        <f t="shared" ref="BZ107" si="666">BZ44+BZ53+BZ66+BZ74+BZ79+BZ88+BZ106+BZ18+BZ19</f>
        <v>1000</v>
      </c>
      <c r="CA107" s="194">
        <f t="shared" si="661"/>
        <v>7560</v>
      </c>
      <c r="CB107" s="195">
        <f t="shared" ref="CB107" si="667">CB44+CB53+CB66+CB74+CB79+CB88+CB106+CB18+CB19</f>
        <v>4440</v>
      </c>
      <c r="CC107" s="194">
        <f t="shared" si="661"/>
        <v>5400</v>
      </c>
      <c r="CD107" s="195">
        <f t="shared" ref="CD107" si="668">CD44+CD53+CD66+CD74+CD79+CD88+CD106+CD18+CD19</f>
        <v>5400</v>
      </c>
      <c r="CE107" s="194">
        <f>CE44+CE53+CE66+CE74+CE79+CE88+CE106+CE18+CE19</f>
        <v>400</v>
      </c>
      <c r="CF107" s="195">
        <f>CF44+CF53+CF66+CF74+CF79+CF88+CF106+CF18+CF19</f>
        <v>400</v>
      </c>
      <c r="CG107" s="194">
        <f t="shared" si="661"/>
        <v>0</v>
      </c>
      <c r="CH107" s="195">
        <f t="shared" ref="CH107" si="669">CH44+CH53+CH66+CH74+CH79+CH88+CH106+CH18+CH19</f>
        <v>0</v>
      </c>
      <c r="CI107" s="194">
        <f t="shared" si="661"/>
        <v>256163</v>
      </c>
      <c r="CJ107" s="195">
        <f t="shared" ref="CJ107" si="670">CJ44+CJ53+CJ66+CJ74+CJ79+CJ88+CJ106+CJ18+CJ19</f>
        <v>195415</v>
      </c>
      <c r="CK107" s="194">
        <f t="shared" si="661"/>
        <v>24888</v>
      </c>
      <c r="CL107" s="195">
        <f t="shared" ref="CL107" si="671">CL44+CL53+CL66+CL74+CL79+CL88+CL106+CL18+CL19</f>
        <v>27269</v>
      </c>
      <c r="CM107" s="194">
        <f t="shared" si="661"/>
        <v>3000</v>
      </c>
      <c r="CN107" s="195">
        <f t="shared" ref="CN107" si="672">CN44+CN53+CN66+CN74+CN79+CN88+CN106+CN18+CN19</f>
        <v>1500</v>
      </c>
      <c r="CO107" s="194">
        <f t="shared" si="661"/>
        <v>6500</v>
      </c>
      <c r="CP107" s="195">
        <f t="shared" ref="CP107" si="673">CP44+CP53+CP66+CP74+CP79+CP88+CP106+CP18+CP19</f>
        <v>6500</v>
      </c>
      <c r="CQ107" s="194">
        <f t="shared" si="661"/>
        <v>2572</v>
      </c>
      <c r="CR107" s="195">
        <f t="shared" ref="CR107" si="674">CR44+CR53+CR66+CR74+CR79+CR88+CR106+CR18+CR19</f>
        <v>2572</v>
      </c>
      <c r="CS107" s="194">
        <f t="shared" si="661"/>
        <v>0</v>
      </c>
      <c r="CT107" s="195">
        <f t="shared" ref="CT107" si="675">CT44+CT53+CT66+CT74+CT79+CT88+CT106+CT18+CT19</f>
        <v>15890</v>
      </c>
      <c r="CU107" s="194">
        <f t="shared" si="661"/>
        <v>31500</v>
      </c>
      <c r="CV107" s="195">
        <f t="shared" ref="CV107" si="676">CV44+CV53+CV66+CV74+CV79+CV88+CV106+CV18+CV19</f>
        <v>31500</v>
      </c>
      <c r="CW107" s="194">
        <f t="shared" si="661"/>
        <v>9500</v>
      </c>
      <c r="CX107" s="195">
        <f t="shared" ref="CX107" si="677">CX44+CX53+CX66+CX74+CX79+CX88+CX106+CX18+CX19</f>
        <v>14760</v>
      </c>
      <c r="CY107" s="194">
        <f t="shared" si="661"/>
        <v>0</v>
      </c>
      <c r="CZ107" s="195"/>
      <c r="DA107" s="194">
        <f t="shared" si="661"/>
        <v>0</v>
      </c>
      <c r="DB107" s="195"/>
      <c r="DC107" s="194">
        <f t="shared" si="661"/>
        <v>1710</v>
      </c>
      <c r="DD107" s="195">
        <f t="shared" ref="DD107" si="678">DD44+DD53+DD66+DD74+DD79+DD88+DD106+DD18+DD19</f>
        <v>2470</v>
      </c>
      <c r="DE107" s="194">
        <f t="shared" si="661"/>
        <v>32000</v>
      </c>
      <c r="DF107" s="195">
        <f t="shared" ref="DF107" si="679">DF44+DF53+DF66+DF74+DF79+DF88+DF106+DF18+DF19</f>
        <v>18840</v>
      </c>
      <c r="DG107" s="194">
        <f t="shared" si="661"/>
        <v>6000</v>
      </c>
      <c r="DH107" s="195">
        <f t="shared" ref="DH107" si="680">DH44+DH53+DH66+DH74+DH79+DH88+DH106+DH18+DH19</f>
        <v>40397</v>
      </c>
      <c r="DI107" s="194">
        <f t="shared" si="661"/>
        <v>263547</v>
      </c>
      <c r="DJ107" s="195" t="e">
        <f t="shared" ref="DJ107" si="681">DJ44+DJ53+DJ66+DJ74+DJ79+DJ88+DJ106+DJ18+DJ19</f>
        <v>#REF!</v>
      </c>
      <c r="DK107" s="194">
        <f t="shared" si="661"/>
        <v>29040</v>
      </c>
      <c r="DL107" s="195">
        <f t="shared" ref="DL107" si="682">DL44+DL53+DL66+DL74+DL79+DL88+DL106+DL18+DL19</f>
        <v>17000</v>
      </c>
      <c r="DM107" s="194">
        <f t="shared" si="661"/>
        <v>2000</v>
      </c>
      <c r="DN107" s="195">
        <f t="shared" ref="DN107" si="683">DN44+DN53+DN66+DN74+DN79+DN88+DN106+DN18+DN19</f>
        <v>5000</v>
      </c>
      <c r="DO107" s="194">
        <f t="shared" si="661"/>
        <v>1000</v>
      </c>
      <c r="DP107" s="195">
        <f t="shared" ref="DP107" si="684">DP44+DP53+DP66+DP74+DP79+DP88+DP106+DP18+DP19</f>
        <v>1000</v>
      </c>
      <c r="DQ107" s="194">
        <f t="shared" si="661"/>
        <v>0</v>
      </c>
      <c r="DR107" s="195"/>
      <c r="DS107" s="194">
        <f t="shared" si="661"/>
        <v>15543</v>
      </c>
      <c r="DT107" s="195">
        <f t="shared" ref="DT107" si="685">DT44+DT53+DT66+DT74+DT79+DT88+DT106+DT18+DT19</f>
        <v>23314</v>
      </c>
      <c r="DU107" s="194">
        <f t="shared" si="661"/>
        <v>200</v>
      </c>
      <c r="DV107" s="195">
        <f t="shared" ref="DV107" si="686">DV44+DV53+DV66+DV74+DV79+DV88+DV106+DV18+DV19</f>
        <v>200</v>
      </c>
    </row>
  </sheetData>
  <mergeCells count="1">
    <mergeCell ref="A107:B107"/>
  </mergeCells>
  <pageMargins left="0.78749999999999998" right="0.78749999999999998" top="0.78749999999999998" bottom="0.78749999999999998" header="9.8611111111111108E-2" footer="9.8611111111111108E-2"/>
  <pageSetup paperSize="9" fitToHeight="0" orientation="portrait" useFirstPageNumber="1" r:id="rId1"/>
  <headerFooter alignWithMargins="0">
    <oddHeader>&amp;CRovatrend lista</oddHeader>
    <oddFooter>&amp;Coldal: &amp;P/&amp;N
exportálva: 2014-01-13 13:57 (2105 MP)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T172"/>
  <sheetViews>
    <sheetView topLeftCell="B1" zoomScale="150" zoomScaleNormal="150" zoomScaleSheetLayoutView="100" workbookViewId="0">
      <pane xSplit="2" ySplit="3" topLeftCell="D142" activePane="bottomRight" state="frozen"/>
      <selection activeCell="B1" sqref="B1"/>
      <selection pane="topRight" activeCell="D1" sqref="D1"/>
      <selection pane="bottomLeft" activeCell="B4" sqref="B4"/>
      <selection pane="bottomRight" activeCell="M120" sqref="M120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2" width="10.7109375" style="6" customWidth="1"/>
    <col min="13" max="13" width="12" style="6" customWidth="1"/>
    <col min="14" max="16384" width="11.7109375" style="5"/>
  </cols>
  <sheetData>
    <row r="1" spans="1:13" s="1" customFormat="1" ht="12.75" customHeight="1" x14ac:dyDescent="0.25">
      <c r="A1" s="1060" t="s">
        <v>606</v>
      </c>
      <c r="B1" s="1061"/>
      <c r="C1" s="1061"/>
      <c r="D1" s="1061"/>
      <c r="E1" s="1061"/>
      <c r="F1" s="1061"/>
      <c r="G1" s="1061"/>
      <c r="H1" s="1061"/>
      <c r="I1" s="1061"/>
      <c r="J1" s="1061"/>
      <c r="K1" s="1061"/>
      <c r="L1" s="1061"/>
      <c r="M1" s="1061"/>
    </row>
    <row r="2" spans="1:13" s="1" customFormat="1" ht="14.1" customHeight="1" x14ac:dyDescent="0.25">
      <c r="A2" s="1022" t="s">
        <v>0</v>
      </c>
      <c r="B2" s="1023" t="s">
        <v>1</v>
      </c>
      <c r="C2" s="1022" t="s">
        <v>2</v>
      </c>
      <c r="D2" s="1024" t="s">
        <v>260</v>
      </c>
      <c r="E2" s="1014" t="s">
        <v>259</v>
      </c>
      <c r="F2" s="1016" t="s">
        <v>603</v>
      </c>
      <c r="G2" s="1017"/>
      <c r="H2" s="1016" t="s">
        <v>604</v>
      </c>
      <c r="I2" s="1017"/>
      <c r="J2" s="1016" t="s">
        <v>605</v>
      </c>
      <c r="K2" s="1017"/>
      <c r="L2" s="1058" t="s">
        <v>1273</v>
      </c>
      <c r="M2" s="1059"/>
    </row>
    <row r="3" spans="1:13" s="3" customFormat="1" ht="25.5" customHeight="1" x14ac:dyDescent="0.25">
      <c r="A3" s="1022"/>
      <c r="B3" s="1023"/>
      <c r="C3" s="1022"/>
      <c r="D3" s="1024"/>
      <c r="E3" s="1015"/>
      <c r="F3" s="98" t="s">
        <v>263</v>
      </c>
      <c r="G3" s="98" t="s">
        <v>259</v>
      </c>
      <c r="H3" s="98" t="s">
        <v>260</v>
      </c>
      <c r="I3" s="98" t="s">
        <v>259</v>
      </c>
      <c r="J3" s="98" t="s">
        <v>260</v>
      </c>
      <c r="K3" s="98" t="s">
        <v>259</v>
      </c>
      <c r="L3" s="325" t="s">
        <v>260</v>
      </c>
      <c r="M3" s="325" t="s">
        <v>259</v>
      </c>
    </row>
    <row r="4" spans="1:13" ht="5.65" customHeight="1" x14ac:dyDescent="0.25"/>
    <row r="5" spans="1:13" ht="14.1" customHeight="1" x14ac:dyDescent="0.25">
      <c r="A5" s="1021" t="s">
        <v>3</v>
      </c>
      <c r="B5" s="1021"/>
      <c r="C5" s="1021"/>
      <c r="D5" s="1021"/>
      <c r="E5" s="1021"/>
      <c r="F5" s="1021"/>
      <c r="G5" s="1021"/>
      <c r="H5" s="1021"/>
      <c r="I5" s="1021"/>
      <c r="J5" s="102"/>
      <c r="K5" s="102"/>
      <c r="L5" s="102"/>
      <c r="M5" s="102"/>
    </row>
    <row r="6" spans="1:13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26790</v>
      </c>
      <c r="E6" s="9">
        <f>G6+I6+K6</f>
        <v>31757</v>
      </c>
      <c r="F6" s="10">
        <v>0</v>
      </c>
      <c r="G6" s="10">
        <v>0</v>
      </c>
      <c r="H6" s="10">
        <v>26790</v>
      </c>
      <c r="I6" s="10">
        <f>31385+7*3*12+2*5*12</f>
        <v>31757</v>
      </c>
      <c r="J6" s="10">
        <v>0</v>
      </c>
      <c r="K6" s="10">
        <v>0</v>
      </c>
      <c r="L6" s="10">
        <v>0</v>
      </c>
      <c r="M6" s="10">
        <v>0</v>
      </c>
    </row>
    <row r="7" spans="1:13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</row>
    <row r="8" spans="1:13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>F8+H8+J8</f>
        <v>0</v>
      </c>
      <c r="E8" s="9">
        <f t="shared" ref="E8:E10" si="0">G8+I8+K8</f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>F9+H9+J9</f>
        <v>0</v>
      </c>
      <c r="E9" s="9">
        <f t="shared" si="0"/>
        <v>787</v>
      </c>
      <c r="F9" s="10">
        <v>0</v>
      </c>
      <c r="G9" s="10">
        <v>0</v>
      </c>
      <c r="H9" s="10">
        <v>0</v>
      </c>
      <c r="I9" s="10">
        <v>787</v>
      </c>
      <c r="J9" s="10">
        <v>0</v>
      </c>
      <c r="K9" s="10">
        <v>0</v>
      </c>
      <c r="L9" s="10">
        <v>0</v>
      </c>
      <c r="M9" s="10">
        <v>0</v>
      </c>
    </row>
    <row r="10" spans="1:13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>F10+H10+J10</f>
        <v>350</v>
      </c>
      <c r="E10" s="9">
        <f t="shared" si="0"/>
        <v>350</v>
      </c>
      <c r="F10" s="10">
        <f>SUM(F11:F12)</f>
        <v>0</v>
      </c>
      <c r="G10" s="10">
        <f>SUM(G11:G12)</f>
        <v>0</v>
      </c>
      <c r="H10" s="10">
        <f>SUM(H11:H12)</f>
        <v>350</v>
      </c>
      <c r="I10" s="10">
        <f t="shared" ref="I10" si="1">SUM(I11:I12)</f>
        <v>350</v>
      </c>
      <c r="J10" s="10">
        <v>0</v>
      </c>
      <c r="K10" s="10">
        <v>0</v>
      </c>
      <c r="L10" s="10">
        <v>0</v>
      </c>
      <c r="M10" s="10">
        <v>0</v>
      </c>
    </row>
    <row r="11" spans="1:13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/>
      <c r="H11" s="14">
        <v>0</v>
      </c>
      <c r="I11" s="14"/>
      <c r="J11" s="14"/>
      <c r="K11" s="14"/>
      <c r="L11" s="14"/>
      <c r="M11" s="14"/>
    </row>
    <row r="12" spans="1:13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>
        <v>350</v>
      </c>
      <c r="I12" s="14">
        <v>350</v>
      </c>
      <c r="J12" s="14"/>
      <c r="K12" s="14"/>
      <c r="L12" s="14"/>
      <c r="M12" s="14"/>
    </row>
    <row r="13" spans="1:13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>F13+H13+J13</f>
        <v>0</v>
      </c>
      <c r="E13" s="9">
        <f t="shared" ref="E13:E15" si="2">G13+I13+K13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>F14+H14+J14</f>
        <v>0</v>
      </c>
      <c r="E14" s="9">
        <f t="shared" si="2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s="3" customFormat="1" ht="12.75" customHeight="1" x14ac:dyDescent="0.25">
      <c r="A15" s="7" t="s">
        <v>24</v>
      </c>
      <c r="B15" s="7" t="s">
        <v>25</v>
      </c>
      <c r="C15" s="8" t="s">
        <v>26</v>
      </c>
      <c r="D15" s="9">
        <f>F15+H15+J15</f>
        <v>1200</v>
      </c>
      <c r="E15" s="9">
        <f t="shared" si="2"/>
        <v>1344</v>
      </c>
      <c r="F15" s="10">
        <v>0</v>
      </c>
      <c r="G15" s="10">
        <f>G16</f>
        <v>0</v>
      </c>
      <c r="H15" s="10">
        <f>H16</f>
        <v>1200</v>
      </c>
      <c r="I15" s="10">
        <f t="shared" ref="I15" si="3">I16</f>
        <v>1344</v>
      </c>
      <c r="J15" s="10">
        <v>0</v>
      </c>
      <c r="K15" s="10">
        <v>0</v>
      </c>
      <c r="L15" s="10">
        <v>0</v>
      </c>
      <c r="M15" s="10">
        <v>0</v>
      </c>
    </row>
    <row r="16" spans="1:13" s="15" customFormat="1" ht="11.45" customHeight="1" x14ac:dyDescent="0.25">
      <c r="A16" s="11"/>
      <c r="B16" s="11"/>
      <c r="C16" s="12" t="s">
        <v>278</v>
      </c>
      <c r="D16" s="13"/>
      <c r="E16" s="13"/>
      <c r="F16" s="14"/>
      <c r="G16" s="14"/>
      <c r="H16" s="14">
        <v>1200</v>
      </c>
      <c r="I16" s="14">
        <v>1344</v>
      </c>
      <c r="J16" s="14"/>
      <c r="K16" s="14"/>
      <c r="L16" s="14"/>
      <c r="M16" s="14"/>
    </row>
    <row r="17" spans="1:13" s="3" customFormat="1" ht="12.75" customHeight="1" x14ac:dyDescent="0.25">
      <c r="A17" s="7" t="s">
        <v>27</v>
      </c>
      <c r="B17" s="7" t="s">
        <v>28</v>
      </c>
      <c r="C17" s="8" t="s">
        <v>29</v>
      </c>
      <c r="D17" s="9">
        <f>F17+H17+J17</f>
        <v>0</v>
      </c>
      <c r="E17" s="9">
        <f t="shared" ref="E17:E19" si="4">G17+I17+K17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s="3" customFormat="1" ht="12.75" customHeight="1" x14ac:dyDescent="0.25">
      <c r="A18" s="7" t="s">
        <v>30</v>
      </c>
      <c r="B18" s="7" t="s">
        <v>31</v>
      </c>
      <c r="C18" s="8" t="s">
        <v>32</v>
      </c>
      <c r="D18" s="9">
        <f>F18+H18+J18</f>
        <v>1222</v>
      </c>
      <c r="E18" s="9">
        <f t="shared" si="4"/>
        <v>1016</v>
      </c>
      <c r="F18" s="10">
        <v>0</v>
      </c>
      <c r="G18" s="10">
        <v>0</v>
      </c>
      <c r="H18" s="10">
        <v>1222</v>
      </c>
      <c r="I18" s="10">
        <v>1016</v>
      </c>
      <c r="J18" s="10">
        <v>0</v>
      </c>
      <c r="K18" s="10">
        <v>0</v>
      </c>
      <c r="L18" s="10">
        <v>0</v>
      </c>
      <c r="M18" s="10">
        <v>0</v>
      </c>
    </row>
    <row r="19" spans="1:13" s="3" customFormat="1" ht="12.75" customHeight="1" x14ac:dyDescent="0.25">
      <c r="A19" s="7" t="s">
        <v>33</v>
      </c>
      <c r="B19" s="7" t="s">
        <v>34</v>
      </c>
      <c r="C19" s="8" t="s">
        <v>35</v>
      </c>
      <c r="D19" s="9">
        <f>F19+H19+J19</f>
        <v>0</v>
      </c>
      <c r="E19" s="9">
        <f t="shared" si="4"/>
        <v>168</v>
      </c>
      <c r="F19" s="10">
        <v>0</v>
      </c>
      <c r="G19" s="10">
        <f>G20</f>
        <v>0</v>
      </c>
      <c r="H19" s="10">
        <v>0</v>
      </c>
      <c r="I19" s="10">
        <f>I20</f>
        <v>168</v>
      </c>
      <c r="J19" s="10">
        <v>0</v>
      </c>
      <c r="K19" s="10">
        <v>0</v>
      </c>
      <c r="L19" s="10">
        <v>0</v>
      </c>
      <c r="M19" s="10">
        <v>0</v>
      </c>
    </row>
    <row r="20" spans="1:13" s="3" customFormat="1" ht="12.75" customHeight="1" x14ac:dyDescent="0.25">
      <c r="A20" s="11"/>
      <c r="B20" s="11"/>
      <c r="C20" s="12" t="s">
        <v>1275</v>
      </c>
      <c r="D20" s="13"/>
      <c r="E20" s="13"/>
      <c r="F20" s="14"/>
      <c r="G20" s="14"/>
      <c r="H20" s="14"/>
      <c r="I20" s="14">
        <v>168</v>
      </c>
      <c r="J20" s="14"/>
      <c r="K20" s="14"/>
      <c r="L20" s="14"/>
      <c r="M20" s="14"/>
    </row>
    <row r="21" spans="1:13" s="3" customFormat="1" ht="12.75" customHeight="1" x14ac:dyDescent="0.25">
      <c r="A21" s="7" t="s">
        <v>36</v>
      </c>
      <c r="B21" s="7" t="s">
        <v>37</v>
      </c>
      <c r="C21" s="8" t="s">
        <v>38</v>
      </c>
      <c r="D21" s="9">
        <f t="shared" ref="D21:D22" si="5">F21+H21+J21</f>
        <v>0</v>
      </c>
      <c r="E21" s="9">
        <f t="shared" ref="E21:E22" si="6">G21+I21+K21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s="3" customFormat="1" ht="12.75" customHeight="1" x14ac:dyDescent="0.25">
      <c r="A22" s="7" t="s">
        <v>39</v>
      </c>
      <c r="B22" s="7" t="s">
        <v>40</v>
      </c>
      <c r="C22" s="8" t="s">
        <v>41</v>
      </c>
      <c r="D22" s="9">
        <f t="shared" si="5"/>
        <v>0</v>
      </c>
      <c r="E22" s="9">
        <f t="shared" si="6"/>
        <v>0</v>
      </c>
      <c r="F22" s="10">
        <f>F23</f>
        <v>0</v>
      </c>
      <c r="G22" s="10">
        <f t="shared" ref="G22:I22" si="7">G23</f>
        <v>0</v>
      </c>
      <c r="H22" s="10">
        <f t="shared" si="7"/>
        <v>0</v>
      </c>
      <c r="I22" s="10">
        <f t="shared" si="7"/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s="3" customFormat="1" ht="12.75" customHeight="1" x14ac:dyDescent="0.25">
      <c r="A23" s="11"/>
      <c r="B23" s="11"/>
      <c r="C23" s="12" t="s">
        <v>280</v>
      </c>
      <c r="D23" s="13"/>
      <c r="E23" s="13"/>
      <c r="F23" s="14">
        <v>0</v>
      </c>
      <c r="G23" s="14">
        <f>ROUND(G6*0.004,0)</f>
        <v>0</v>
      </c>
      <c r="H23" s="14"/>
      <c r="I23" s="14"/>
      <c r="J23" s="14"/>
      <c r="K23" s="14"/>
      <c r="L23" s="14"/>
      <c r="M23" s="14"/>
    </row>
    <row r="24" spans="1:13" s="3" customFormat="1" ht="12.75" customHeight="1" x14ac:dyDescent="0.25">
      <c r="A24" s="7" t="s">
        <v>42</v>
      </c>
      <c r="B24" s="7" t="s">
        <v>43</v>
      </c>
      <c r="C24" s="8" t="s">
        <v>44</v>
      </c>
      <c r="D24" s="9">
        <f>F24+H24+J24</f>
        <v>2959</v>
      </c>
      <c r="E24" s="9">
        <f>G24+I24+K24</f>
        <v>953</v>
      </c>
      <c r="F24" s="10">
        <v>0</v>
      </c>
      <c r="G24" s="10">
        <f>G25</f>
        <v>0</v>
      </c>
      <c r="H24" s="10">
        <v>2959</v>
      </c>
      <c r="I24" s="10">
        <f>I25</f>
        <v>953</v>
      </c>
      <c r="J24" s="10">
        <v>0</v>
      </c>
      <c r="K24" s="10">
        <v>0</v>
      </c>
      <c r="L24" s="10">
        <v>0</v>
      </c>
      <c r="M24" s="10">
        <v>0</v>
      </c>
    </row>
    <row r="25" spans="1:13" s="15" customFormat="1" ht="11.45" customHeight="1" x14ac:dyDescent="0.25">
      <c r="A25" s="11"/>
      <c r="B25" s="11"/>
      <c r="C25" s="12" t="s">
        <v>1277</v>
      </c>
      <c r="D25" s="13"/>
      <c r="E25" s="13"/>
      <c r="F25" s="14"/>
      <c r="G25" s="14"/>
      <c r="H25" s="14"/>
      <c r="I25" s="14">
        <f>ROUND(I6*0.03,0)</f>
        <v>953</v>
      </c>
      <c r="J25" s="14"/>
      <c r="K25" s="14"/>
      <c r="L25" s="14"/>
      <c r="M25" s="14"/>
    </row>
    <row r="26" spans="1:13" s="3" customFormat="1" ht="12.75" customHeight="1" x14ac:dyDescent="0.25">
      <c r="A26" s="16" t="s">
        <v>45</v>
      </c>
      <c r="B26" s="16" t="s">
        <v>46</v>
      </c>
      <c r="C26" s="17" t="s">
        <v>47</v>
      </c>
      <c r="D26" s="18">
        <f t="shared" ref="D26:K26" si="8">D6+D8+D9+D10+D13+D14+D15+D17+D18+D19+D21+D22+D24</f>
        <v>32521</v>
      </c>
      <c r="E26" s="18">
        <f t="shared" si="8"/>
        <v>36375</v>
      </c>
      <c r="F26" s="18">
        <f t="shared" si="8"/>
        <v>0</v>
      </c>
      <c r="G26" s="18">
        <f t="shared" si="8"/>
        <v>0</v>
      </c>
      <c r="H26" s="18">
        <f t="shared" si="8"/>
        <v>32521</v>
      </c>
      <c r="I26" s="18">
        <f t="shared" si="8"/>
        <v>36375</v>
      </c>
      <c r="J26" s="18">
        <f t="shared" si="8"/>
        <v>0</v>
      </c>
      <c r="K26" s="18">
        <f t="shared" si="8"/>
        <v>0</v>
      </c>
      <c r="L26" s="18">
        <f t="shared" ref="L26:M26" si="9">L6+L8+L9+L10+L13+L14+L15+L17+L18+L19+L21+L22+L24</f>
        <v>0</v>
      </c>
      <c r="M26" s="18">
        <f t="shared" si="9"/>
        <v>0</v>
      </c>
    </row>
    <row r="27" spans="1:13" s="3" customFormat="1" ht="12.75" customHeight="1" x14ac:dyDescent="0.25">
      <c r="A27" s="7" t="s">
        <v>48</v>
      </c>
      <c r="B27" s="7" t="s">
        <v>49</v>
      </c>
      <c r="C27" s="8" t="s">
        <v>50</v>
      </c>
      <c r="D27" s="9">
        <f t="shared" ref="D27:D28" si="10">F27+H27+J27</f>
        <v>0</v>
      </c>
      <c r="E27" s="9">
        <f t="shared" ref="E27:E28" si="11">G27+I27+K27</f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3" s="3" customFormat="1" ht="12.75" customHeight="1" x14ac:dyDescent="0.25">
      <c r="A28" s="7" t="s">
        <v>51</v>
      </c>
      <c r="B28" s="7" t="s">
        <v>52</v>
      </c>
      <c r="C28" s="8" t="s">
        <v>53</v>
      </c>
      <c r="D28" s="9">
        <f t="shared" si="10"/>
        <v>1700</v>
      </c>
      <c r="E28" s="9">
        <f t="shared" si="11"/>
        <v>1700</v>
      </c>
      <c r="F28" s="10">
        <f>F29</f>
        <v>0</v>
      </c>
      <c r="G28" s="10">
        <f t="shared" ref="G28:I28" si="12">G29</f>
        <v>0</v>
      </c>
      <c r="H28" s="10">
        <f t="shared" si="12"/>
        <v>1700</v>
      </c>
      <c r="I28" s="10">
        <f t="shared" si="12"/>
        <v>1700</v>
      </c>
      <c r="J28" s="10">
        <f>J29</f>
        <v>0</v>
      </c>
      <c r="K28" s="10">
        <f>K29</f>
        <v>0</v>
      </c>
      <c r="L28" s="10">
        <f>L29</f>
        <v>0</v>
      </c>
      <c r="M28" s="10">
        <f>M29</f>
        <v>0</v>
      </c>
    </row>
    <row r="29" spans="1:13" s="15" customFormat="1" ht="11.45" customHeight="1" x14ac:dyDescent="0.25">
      <c r="A29" s="11"/>
      <c r="B29" s="11"/>
      <c r="C29" s="12" t="s">
        <v>282</v>
      </c>
      <c r="D29" s="13"/>
      <c r="E29" s="13"/>
      <c r="F29" s="14"/>
      <c r="G29" s="14"/>
      <c r="H29" s="14">
        <v>1700</v>
      </c>
      <c r="I29" s="14">
        <v>1700</v>
      </c>
      <c r="J29" s="14"/>
      <c r="K29" s="14"/>
      <c r="L29" s="14"/>
      <c r="M29" s="14"/>
    </row>
    <row r="30" spans="1:13" s="3" customFormat="1" ht="12.75" customHeight="1" x14ac:dyDescent="0.25">
      <c r="A30" s="7" t="s">
        <v>54</v>
      </c>
      <c r="B30" s="7" t="s">
        <v>55</v>
      </c>
      <c r="C30" s="8" t="s">
        <v>285</v>
      </c>
      <c r="D30" s="9">
        <f>F30+H30+J30</f>
        <v>250</v>
      </c>
      <c r="E30" s="9">
        <f>G30+I30+K30+M30</f>
        <v>1250</v>
      </c>
      <c r="F30" s="10">
        <f>F31</f>
        <v>130</v>
      </c>
      <c r="G30" s="10">
        <f t="shared" ref="G30:I30" si="13">G31</f>
        <v>130</v>
      </c>
      <c r="H30" s="10">
        <f t="shared" si="13"/>
        <v>40</v>
      </c>
      <c r="I30" s="10">
        <f t="shared" si="13"/>
        <v>40</v>
      </c>
      <c r="J30" s="10">
        <f>J31</f>
        <v>80</v>
      </c>
      <c r="K30" s="10">
        <f>K31</f>
        <v>80</v>
      </c>
      <c r="L30" s="10">
        <f>L31</f>
        <v>0</v>
      </c>
      <c r="M30" s="10">
        <f>M31</f>
        <v>1000</v>
      </c>
    </row>
    <row r="31" spans="1:13" s="15" customFormat="1" ht="11.45" customHeight="1" x14ac:dyDescent="0.25">
      <c r="A31" s="11"/>
      <c r="B31" s="11"/>
      <c r="C31" s="12" t="s">
        <v>283</v>
      </c>
      <c r="D31" s="13"/>
      <c r="E31" s="13"/>
      <c r="F31" s="14">
        <v>130</v>
      </c>
      <c r="G31" s="14">
        <v>130</v>
      </c>
      <c r="H31" s="14">
        <v>40</v>
      </c>
      <c r="I31" s="14">
        <v>40</v>
      </c>
      <c r="J31" s="14">
        <v>80</v>
      </c>
      <c r="K31" s="14">
        <v>80</v>
      </c>
      <c r="L31" s="14">
        <v>0</v>
      </c>
      <c r="M31" s="14">
        <v>1000</v>
      </c>
    </row>
    <row r="32" spans="1:13" s="3" customFormat="1" ht="12.75" customHeight="1" x14ac:dyDescent="0.25">
      <c r="A32" s="16" t="s">
        <v>56</v>
      </c>
      <c r="B32" s="16" t="s">
        <v>57</v>
      </c>
      <c r="C32" s="17" t="s">
        <v>58</v>
      </c>
      <c r="D32" s="18">
        <f>D27+D28+D30</f>
        <v>1950</v>
      </c>
      <c r="E32" s="18">
        <f t="shared" ref="E32:J32" si="14">E27+E28+E30</f>
        <v>2950</v>
      </c>
      <c r="F32" s="18">
        <f t="shared" si="14"/>
        <v>130</v>
      </c>
      <c r="G32" s="18">
        <f t="shared" si="14"/>
        <v>130</v>
      </c>
      <c r="H32" s="18">
        <f t="shared" si="14"/>
        <v>1740</v>
      </c>
      <c r="I32" s="18">
        <f t="shared" si="14"/>
        <v>1740</v>
      </c>
      <c r="J32" s="18">
        <f t="shared" si="14"/>
        <v>80</v>
      </c>
      <c r="K32" s="18">
        <f t="shared" ref="K32:L32" si="15">K27+K28+K30</f>
        <v>80</v>
      </c>
      <c r="L32" s="18">
        <f t="shared" si="15"/>
        <v>0</v>
      </c>
      <c r="M32" s="18">
        <f t="shared" ref="M32" si="16">M27+M28+M30</f>
        <v>1000</v>
      </c>
    </row>
    <row r="33" spans="1:13" s="3" customFormat="1" ht="12.75" customHeight="1" x14ac:dyDescent="0.25">
      <c r="A33" s="20" t="s">
        <v>59</v>
      </c>
      <c r="B33" s="20" t="s">
        <v>60</v>
      </c>
      <c r="C33" s="21" t="s">
        <v>286</v>
      </c>
      <c r="D33" s="22">
        <f>D26+D32</f>
        <v>34471</v>
      </c>
      <c r="E33" s="22">
        <f t="shared" ref="E33:J33" si="17">E26+E32</f>
        <v>39325</v>
      </c>
      <c r="F33" s="22">
        <f t="shared" si="17"/>
        <v>130</v>
      </c>
      <c r="G33" s="22">
        <f t="shared" si="17"/>
        <v>130</v>
      </c>
      <c r="H33" s="22">
        <f t="shared" si="17"/>
        <v>34261</v>
      </c>
      <c r="I33" s="22">
        <f t="shared" si="17"/>
        <v>38115</v>
      </c>
      <c r="J33" s="22">
        <f t="shared" si="17"/>
        <v>80</v>
      </c>
      <c r="K33" s="22">
        <f t="shared" ref="K33:L33" si="18">K26+K32</f>
        <v>80</v>
      </c>
      <c r="L33" s="22">
        <f t="shared" si="18"/>
        <v>0</v>
      </c>
      <c r="M33" s="22">
        <f t="shared" ref="M33" si="19">M26+M32</f>
        <v>1000</v>
      </c>
    </row>
    <row r="34" spans="1:13" s="15" customFormat="1" ht="11.45" customHeight="1" x14ac:dyDescent="0.25">
      <c r="A34" s="11"/>
      <c r="B34" s="11"/>
      <c r="C34" s="12" t="s">
        <v>284</v>
      </c>
      <c r="D34" s="13">
        <f>H34+F34+J34</f>
        <v>8540</v>
      </c>
      <c r="E34" s="13">
        <f>I34+G34+K34</f>
        <v>9549</v>
      </c>
      <c r="F34" s="13">
        <v>0</v>
      </c>
      <c r="G34" s="13">
        <f>ROUND((G6+G8+G9+G10+G13+G14+G22+G28)*0.27,0)</f>
        <v>0</v>
      </c>
      <c r="H34" s="13">
        <v>8540</v>
      </c>
      <c r="I34" s="13">
        <f>ROUND((I6+I8+I9+I13+I14+I19+I24+I27+I28)*0.27,0)</f>
        <v>9549</v>
      </c>
      <c r="J34" s="13">
        <v>0</v>
      </c>
      <c r="K34" s="13">
        <v>0</v>
      </c>
      <c r="L34" s="13">
        <v>0</v>
      </c>
      <c r="M34" s="13">
        <v>0</v>
      </c>
    </row>
    <row r="35" spans="1:13" s="15" customFormat="1" ht="11.45" customHeight="1" x14ac:dyDescent="0.25">
      <c r="A35" s="11"/>
      <c r="B35" s="11"/>
      <c r="C35" s="12" t="s">
        <v>61</v>
      </c>
      <c r="D35" s="13">
        <f t="shared" ref="D35:D37" si="20">H35+F35+J35</f>
        <v>281</v>
      </c>
      <c r="E35" s="13">
        <f>I35+G35+K35+M35</f>
        <v>626</v>
      </c>
      <c r="F35" s="14">
        <v>42</v>
      </c>
      <c r="G35" s="13">
        <f>ROUND(G15*1.19*0.14+(G30+G24)*1.19*0.27,0)</f>
        <v>42</v>
      </c>
      <c r="H35" s="14">
        <v>213</v>
      </c>
      <c r="I35" s="13">
        <f>ROUND(I15*1.19*0.14+I31*1.19*0.27,0)</f>
        <v>237</v>
      </c>
      <c r="J35" s="14">
        <v>26</v>
      </c>
      <c r="K35" s="14">
        <v>26</v>
      </c>
      <c r="L35" s="14">
        <v>0</v>
      </c>
      <c r="M35" s="14">
        <v>321</v>
      </c>
    </row>
    <row r="36" spans="1:13" s="15" customFormat="1" ht="11.45" customHeight="1" x14ac:dyDescent="0.25">
      <c r="A36" s="11"/>
      <c r="B36" s="11"/>
      <c r="C36" s="12" t="s">
        <v>62</v>
      </c>
      <c r="D36" s="13">
        <f t="shared" si="20"/>
        <v>0</v>
      </c>
      <c r="E36" s="13">
        <f t="shared" ref="E36" si="21">I36+G36+K36</f>
        <v>0</v>
      </c>
      <c r="F36" s="14">
        <v>0</v>
      </c>
      <c r="G36" s="14"/>
      <c r="H36" s="14"/>
      <c r="I36" s="14"/>
      <c r="J36" s="14">
        <v>0</v>
      </c>
      <c r="K36" s="14">
        <v>0</v>
      </c>
      <c r="L36" s="14">
        <v>0</v>
      </c>
      <c r="M36" s="14">
        <v>0</v>
      </c>
    </row>
    <row r="37" spans="1:13" s="15" customFormat="1" ht="11.45" customHeight="1" x14ac:dyDescent="0.25">
      <c r="A37" s="11"/>
      <c r="B37" s="11"/>
      <c r="C37" s="12" t="s">
        <v>63</v>
      </c>
      <c r="D37" s="13">
        <f t="shared" si="20"/>
        <v>276</v>
      </c>
      <c r="E37" s="13">
        <f>I37+G37+K37+M37</f>
        <v>494</v>
      </c>
      <c r="F37" s="14">
        <v>25</v>
      </c>
      <c r="G37" s="14">
        <f>ROUND((G31+G25+G16)*1.19*0.16,0)</f>
        <v>25</v>
      </c>
      <c r="H37" s="14">
        <v>236</v>
      </c>
      <c r="I37" s="14">
        <f>ROUND((I15+I31)*1.19*0.16,0)</f>
        <v>264</v>
      </c>
      <c r="J37" s="14">
        <v>15</v>
      </c>
      <c r="K37" s="14">
        <v>15</v>
      </c>
      <c r="L37" s="14">
        <v>0</v>
      </c>
      <c r="M37" s="14">
        <v>190</v>
      </c>
    </row>
    <row r="38" spans="1:13" s="3" customFormat="1" ht="12.75" customHeight="1" x14ac:dyDescent="0.25">
      <c r="A38" s="20" t="s">
        <v>64</v>
      </c>
      <c r="B38" s="20" t="s">
        <v>65</v>
      </c>
      <c r="C38" s="21" t="s">
        <v>287</v>
      </c>
      <c r="D38" s="22">
        <f>D34+D35+D36+D37</f>
        <v>9097</v>
      </c>
      <c r="E38" s="22">
        <f t="shared" ref="E38:J38" si="22">E34+E35+E36+E37</f>
        <v>10669</v>
      </c>
      <c r="F38" s="22">
        <f t="shared" si="22"/>
        <v>67</v>
      </c>
      <c r="G38" s="22">
        <f t="shared" si="22"/>
        <v>67</v>
      </c>
      <c r="H38" s="22">
        <f t="shared" si="22"/>
        <v>8989</v>
      </c>
      <c r="I38" s="22">
        <f t="shared" si="22"/>
        <v>10050</v>
      </c>
      <c r="J38" s="22">
        <f t="shared" si="22"/>
        <v>41</v>
      </c>
      <c r="K38" s="22">
        <f t="shared" ref="K38:L38" si="23">K34+K35+K36+K37</f>
        <v>41</v>
      </c>
      <c r="L38" s="22">
        <f t="shared" si="23"/>
        <v>0</v>
      </c>
      <c r="M38" s="22">
        <f t="shared" ref="M38" si="24">M34+M35+M36+M37</f>
        <v>511</v>
      </c>
    </row>
    <row r="39" spans="1:13" s="3" customFormat="1" ht="14.1" customHeight="1" x14ac:dyDescent="0.25">
      <c r="A39" s="1018" t="s">
        <v>66</v>
      </c>
      <c r="B39" s="1019"/>
      <c r="C39" s="1020"/>
      <c r="D39" s="30">
        <f>D33+D38</f>
        <v>43568</v>
      </c>
      <c r="E39" s="30">
        <f t="shared" ref="E39:J39" si="25">E33+E38</f>
        <v>49994</v>
      </c>
      <c r="F39" s="30">
        <f t="shared" si="25"/>
        <v>197</v>
      </c>
      <c r="G39" s="30">
        <f t="shared" si="25"/>
        <v>197</v>
      </c>
      <c r="H39" s="30">
        <f t="shared" si="25"/>
        <v>43250</v>
      </c>
      <c r="I39" s="30">
        <f t="shared" si="25"/>
        <v>48165</v>
      </c>
      <c r="J39" s="30">
        <f t="shared" si="25"/>
        <v>121</v>
      </c>
      <c r="K39" s="30">
        <f t="shared" ref="K39:L39" si="26">K33+K38</f>
        <v>121</v>
      </c>
      <c r="L39" s="30">
        <f t="shared" si="26"/>
        <v>0</v>
      </c>
      <c r="M39" s="30">
        <f t="shared" ref="M39" si="27">M33+M38</f>
        <v>1511</v>
      </c>
    </row>
    <row r="40" spans="1:13" s="1" customFormat="1" ht="12.75" customHeight="1" x14ac:dyDescent="0.25">
      <c r="A40" s="1028" t="s">
        <v>607</v>
      </c>
      <c r="B40" s="1029"/>
      <c r="C40" s="1029"/>
      <c r="D40" s="1029"/>
      <c r="E40" s="1029"/>
      <c r="F40" s="1029"/>
      <c r="G40" s="1029"/>
      <c r="H40" s="1029"/>
      <c r="I40" s="1029"/>
      <c r="J40" s="1029"/>
      <c r="K40" s="1029"/>
      <c r="L40" s="1029"/>
      <c r="M40" s="1029"/>
    </row>
    <row r="41" spans="1:13" s="1" customFormat="1" ht="14.1" customHeight="1" x14ac:dyDescent="0.25">
      <c r="A41" s="1022" t="s">
        <v>0</v>
      </c>
      <c r="B41" s="1023" t="s">
        <v>1</v>
      </c>
      <c r="C41" s="1022" t="s">
        <v>2</v>
      </c>
      <c r="D41" s="1024" t="s">
        <v>260</v>
      </c>
      <c r="E41" s="1014" t="s">
        <v>259</v>
      </c>
      <c r="F41" s="1016" t="s">
        <v>603</v>
      </c>
      <c r="G41" s="1017"/>
      <c r="H41" s="1016" t="s">
        <v>604</v>
      </c>
      <c r="I41" s="1017"/>
      <c r="J41" s="1016" t="s">
        <v>605</v>
      </c>
      <c r="K41" s="1017"/>
      <c r="L41" s="1058" t="s">
        <v>1274</v>
      </c>
      <c r="M41" s="1059"/>
    </row>
    <row r="42" spans="1:13" s="3" customFormat="1" ht="33" customHeight="1" x14ac:dyDescent="0.25">
      <c r="A42" s="1022"/>
      <c r="B42" s="1023"/>
      <c r="C42" s="1022"/>
      <c r="D42" s="1024"/>
      <c r="E42" s="1015"/>
      <c r="F42" s="98" t="s">
        <v>263</v>
      </c>
      <c r="G42" s="98" t="s">
        <v>259</v>
      </c>
      <c r="H42" s="98" t="s">
        <v>260</v>
      </c>
      <c r="I42" s="98" t="s">
        <v>259</v>
      </c>
      <c r="J42" s="98" t="s">
        <v>260</v>
      </c>
      <c r="K42" s="98" t="s">
        <v>259</v>
      </c>
      <c r="L42" s="325" t="s">
        <v>260</v>
      </c>
      <c r="M42" s="325" t="s">
        <v>259</v>
      </c>
    </row>
    <row r="43" spans="1:13" ht="5.65" customHeight="1" x14ac:dyDescent="0.25"/>
    <row r="44" spans="1:13" ht="14.1" customHeight="1" x14ac:dyDescent="0.25">
      <c r="A44" s="1021" t="s">
        <v>288</v>
      </c>
      <c r="B44" s="1021"/>
      <c r="C44" s="1021"/>
      <c r="D44" s="1021"/>
      <c r="E44" s="1021"/>
      <c r="F44" s="1021"/>
      <c r="G44" s="1021"/>
      <c r="H44" s="1021"/>
      <c r="I44" s="1021"/>
      <c r="J44" s="102"/>
      <c r="K44" s="102"/>
      <c r="L44" s="102"/>
      <c r="M44" s="102"/>
    </row>
    <row r="45" spans="1:13" s="3" customFormat="1" ht="14.1" customHeight="1" x14ac:dyDescent="0.25">
      <c r="A45" s="7" t="s">
        <v>67</v>
      </c>
      <c r="B45" s="7" t="s">
        <v>68</v>
      </c>
      <c r="C45" s="8" t="s">
        <v>69</v>
      </c>
      <c r="D45" s="9">
        <f>F45+H45+J45</f>
        <v>25</v>
      </c>
      <c r="E45" s="9">
        <f>G45+I45+K45</f>
        <v>40</v>
      </c>
      <c r="F45" s="10">
        <f>SUM(F46:F51)</f>
        <v>0</v>
      </c>
      <c r="G45" s="10">
        <f t="shared" ref="G45:K45" si="28">SUM(G46:G51)</f>
        <v>0</v>
      </c>
      <c r="H45" s="10">
        <f t="shared" si="28"/>
        <v>25</v>
      </c>
      <c r="I45" s="10">
        <f t="shared" si="28"/>
        <v>40</v>
      </c>
      <c r="J45" s="10">
        <f t="shared" si="28"/>
        <v>0</v>
      </c>
      <c r="K45" s="10">
        <f t="shared" si="28"/>
        <v>0</v>
      </c>
      <c r="L45" s="10">
        <f t="shared" ref="L45:M45" si="29">SUM(L46:L51)</f>
        <v>0</v>
      </c>
      <c r="M45" s="10">
        <f t="shared" si="29"/>
        <v>0</v>
      </c>
    </row>
    <row r="46" spans="1:13" ht="14.1" customHeight="1" x14ac:dyDescent="0.25">
      <c r="A46" s="24"/>
      <c r="B46" s="24"/>
      <c r="C46" s="25" t="s">
        <v>70</v>
      </c>
      <c r="D46" s="26"/>
      <c r="E46" s="26"/>
      <c r="F46" s="26"/>
      <c r="G46" s="26"/>
      <c r="H46" s="26">
        <v>25</v>
      </c>
      <c r="I46" s="26">
        <v>30</v>
      </c>
      <c r="J46" s="26"/>
      <c r="K46" s="26"/>
      <c r="L46" s="26"/>
      <c r="M46" s="26"/>
    </row>
    <row r="47" spans="1:13" ht="14.1" customHeight="1" x14ac:dyDescent="0.25">
      <c r="A47" s="24"/>
      <c r="B47" s="24"/>
      <c r="C47" s="25" t="s">
        <v>71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4.1" customHeight="1" x14ac:dyDescent="0.25">
      <c r="A48" s="24"/>
      <c r="B48" s="24"/>
      <c r="C48" s="25" t="s">
        <v>72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4.1" customHeight="1" x14ac:dyDescent="0.25">
      <c r="A49" s="24"/>
      <c r="B49" s="24"/>
      <c r="C49" s="25" t="s">
        <v>73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4.1" customHeight="1" x14ac:dyDescent="0.25">
      <c r="A50" s="24"/>
      <c r="B50" s="24"/>
      <c r="C50" s="25" t="s">
        <v>74</v>
      </c>
      <c r="D50" s="26"/>
      <c r="E50" s="26"/>
      <c r="F50" s="26"/>
      <c r="G50" s="26"/>
      <c r="H50" s="26"/>
      <c r="I50" s="26">
        <v>10</v>
      </c>
      <c r="J50" s="26"/>
      <c r="K50" s="26"/>
      <c r="L50" s="26"/>
      <c r="M50" s="26"/>
    </row>
    <row r="51" spans="1:13" ht="14.1" customHeight="1" x14ac:dyDescent="0.25">
      <c r="A51" s="24"/>
      <c r="B51" s="24"/>
      <c r="C51" s="25" t="s">
        <v>75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3" customFormat="1" ht="14.1" customHeight="1" x14ac:dyDescent="0.25">
      <c r="A52" s="7" t="s">
        <v>76</v>
      </c>
      <c r="B52" s="7" t="s">
        <v>77</v>
      </c>
      <c r="C52" s="8" t="s">
        <v>78</v>
      </c>
      <c r="D52" s="9">
        <f>F52+H52+J52</f>
        <v>1850</v>
      </c>
      <c r="E52" s="9">
        <f>G52+I52+K52</f>
        <v>1940</v>
      </c>
      <c r="F52" s="10">
        <f>SUM(F53:F58)</f>
        <v>325</v>
      </c>
      <c r="G52" s="10">
        <f>SUM(G53:G58)</f>
        <v>350</v>
      </c>
      <c r="H52" s="10">
        <f>SUM(H53:H58)</f>
        <v>1475</v>
      </c>
      <c r="I52" s="10">
        <f>SUM(I53:I58)</f>
        <v>1540</v>
      </c>
      <c r="J52" s="10">
        <f t="shared" ref="J52:K52" si="30">SUM(J53:J58)</f>
        <v>50</v>
      </c>
      <c r="K52" s="10">
        <f t="shared" si="30"/>
        <v>50</v>
      </c>
      <c r="L52" s="10">
        <f t="shared" ref="L52:M52" si="31">SUM(L53:L58)</f>
        <v>0</v>
      </c>
      <c r="M52" s="10">
        <f t="shared" si="31"/>
        <v>0</v>
      </c>
    </row>
    <row r="53" spans="1:13" ht="14.1" customHeight="1" x14ac:dyDescent="0.25">
      <c r="A53" s="24"/>
      <c r="B53" s="24"/>
      <c r="C53" s="25" t="s">
        <v>79</v>
      </c>
      <c r="D53" s="26"/>
      <c r="E53" s="26"/>
      <c r="F53" s="26">
        <v>150</v>
      </c>
      <c r="G53" s="26">
        <v>200</v>
      </c>
      <c r="H53" s="26"/>
      <c r="I53" s="26"/>
      <c r="J53" s="26"/>
      <c r="K53" s="26"/>
      <c r="L53" s="26"/>
      <c r="M53" s="26"/>
    </row>
    <row r="54" spans="1:13" ht="14.1" customHeight="1" x14ac:dyDescent="0.25">
      <c r="A54" s="24"/>
      <c r="B54" s="24"/>
      <c r="C54" s="25" t="s">
        <v>80</v>
      </c>
      <c r="D54" s="26"/>
      <c r="E54" s="26"/>
      <c r="F54" s="26"/>
      <c r="G54" s="26"/>
      <c r="H54" s="26">
        <v>525</v>
      </c>
      <c r="I54" s="26">
        <v>400</v>
      </c>
      <c r="J54" s="26"/>
      <c r="K54" s="26"/>
      <c r="L54" s="26"/>
      <c r="M54" s="26"/>
    </row>
    <row r="55" spans="1:13" ht="14.1" customHeight="1" x14ac:dyDescent="0.25">
      <c r="A55" s="24"/>
      <c r="B55" s="24"/>
      <c r="C55" s="25" t="s">
        <v>81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4.1" customHeight="1" x14ac:dyDescent="0.25">
      <c r="A56" s="24"/>
      <c r="B56" s="24"/>
      <c r="C56" s="25" t="s">
        <v>82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4.1" customHeight="1" x14ac:dyDescent="0.25">
      <c r="A57" s="24"/>
      <c r="B57" s="24"/>
      <c r="C57" s="25" t="s">
        <v>83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4.1" customHeight="1" x14ac:dyDescent="0.25">
      <c r="A58" s="24"/>
      <c r="B58" s="24"/>
      <c r="C58" s="25" t="s">
        <v>84</v>
      </c>
      <c r="D58" s="26"/>
      <c r="E58" s="26"/>
      <c r="F58" s="26">
        <v>175</v>
      </c>
      <c r="G58" s="26">
        <v>150</v>
      </c>
      <c r="H58" s="26">
        <v>950</v>
      </c>
      <c r="I58" s="26">
        <v>1140</v>
      </c>
      <c r="J58" s="26">
        <v>50</v>
      </c>
      <c r="K58" s="26">
        <v>50</v>
      </c>
      <c r="L58" s="26">
        <v>0</v>
      </c>
      <c r="M58" s="26">
        <v>0</v>
      </c>
    </row>
    <row r="59" spans="1:13" s="3" customFormat="1" ht="14.1" customHeight="1" x14ac:dyDescent="0.25">
      <c r="A59" s="7" t="s">
        <v>85</v>
      </c>
      <c r="B59" s="7" t="s">
        <v>86</v>
      </c>
      <c r="C59" s="8" t="s">
        <v>87</v>
      </c>
      <c r="D59" s="9">
        <f>F59+H59+J59</f>
        <v>0</v>
      </c>
      <c r="E59" s="9">
        <f>G59+I59+K59</f>
        <v>0</v>
      </c>
      <c r="F59" s="10">
        <f>SUM(F60:F61)</f>
        <v>0</v>
      </c>
      <c r="G59" s="10">
        <f t="shared" ref="G59:K59" si="32">SUM(G60:G61)</f>
        <v>0</v>
      </c>
      <c r="H59" s="10">
        <f t="shared" si="32"/>
        <v>0</v>
      </c>
      <c r="I59" s="10">
        <f t="shared" si="32"/>
        <v>0</v>
      </c>
      <c r="J59" s="10">
        <f t="shared" si="32"/>
        <v>0</v>
      </c>
      <c r="K59" s="10">
        <f t="shared" si="32"/>
        <v>0</v>
      </c>
      <c r="L59" s="10">
        <f t="shared" ref="L59:M59" si="33">SUM(L60:L61)</f>
        <v>0</v>
      </c>
      <c r="M59" s="10">
        <f t="shared" si="33"/>
        <v>0</v>
      </c>
    </row>
    <row r="60" spans="1:13" ht="14.1" customHeight="1" x14ac:dyDescent="0.25">
      <c r="A60" s="24"/>
      <c r="B60" s="24"/>
      <c r="C60" s="25" t="s">
        <v>88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4.1" customHeight="1" x14ac:dyDescent="0.25">
      <c r="A61" s="24"/>
      <c r="B61" s="24"/>
      <c r="C61" s="25" t="s">
        <v>89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3" customFormat="1" ht="14.1" customHeight="1" x14ac:dyDescent="0.25">
      <c r="A62" s="16" t="s">
        <v>90</v>
      </c>
      <c r="B62" s="16" t="s">
        <v>91</v>
      </c>
      <c r="C62" s="17" t="s">
        <v>92</v>
      </c>
      <c r="D62" s="19">
        <f>D45+D52</f>
        <v>1875</v>
      </c>
      <c r="E62" s="19">
        <f t="shared" ref="E62:K62" si="34">E45+E52</f>
        <v>1980</v>
      </c>
      <c r="F62" s="19">
        <f t="shared" si="34"/>
        <v>325</v>
      </c>
      <c r="G62" s="19">
        <f t="shared" si="34"/>
        <v>350</v>
      </c>
      <c r="H62" s="19">
        <f t="shared" si="34"/>
        <v>1500</v>
      </c>
      <c r="I62" s="19">
        <f t="shared" si="34"/>
        <v>1580</v>
      </c>
      <c r="J62" s="19">
        <f t="shared" si="34"/>
        <v>50</v>
      </c>
      <c r="K62" s="19">
        <f t="shared" si="34"/>
        <v>50</v>
      </c>
      <c r="L62" s="19">
        <f t="shared" ref="L62:M62" si="35">L45+L52</f>
        <v>0</v>
      </c>
      <c r="M62" s="19">
        <f t="shared" si="35"/>
        <v>0</v>
      </c>
    </row>
    <row r="63" spans="1:13" s="3" customFormat="1" ht="14.1" customHeight="1" x14ac:dyDescent="0.25">
      <c r="A63" s="7" t="s">
        <v>93</v>
      </c>
      <c r="B63" s="7" t="s">
        <v>94</v>
      </c>
      <c r="C63" s="8" t="s">
        <v>95</v>
      </c>
      <c r="D63" s="9">
        <f>F63+H63+J63</f>
        <v>1030</v>
      </c>
      <c r="E63" s="9">
        <f>G63+I63+K63</f>
        <v>1260</v>
      </c>
      <c r="F63" s="10">
        <f>SUM(F64:F69)</f>
        <v>190</v>
      </c>
      <c r="G63" s="10">
        <f>SUM(G64:G69)</f>
        <v>300</v>
      </c>
      <c r="H63" s="10">
        <f t="shared" ref="H63:K63" si="36">SUM(H64:H69)</f>
        <v>840</v>
      </c>
      <c r="I63" s="10">
        <f t="shared" si="36"/>
        <v>960</v>
      </c>
      <c r="J63" s="10">
        <f t="shared" si="36"/>
        <v>0</v>
      </c>
      <c r="K63" s="10">
        <f t="shared" si="36"/>
        <v>0</v>
      </c>
      <c r="L63" s="10">
        <f t="shared" ref="L63:M63" si="37">SUM(L64:L69)</f>
        <v>0</v>
      </c>
      <c r="M63" s="10">
        <f t="shared" si="37"/>
        <v>0</v>
      </c>
    </row>
    <row r="64" spans="1:13" ht="14.1" customHeight="1" x14ac:dyDescent="0.25">
      <c r="A64" s="24"/>
      <c r="B64" s="24"/>
      <c r="C64" s="25" t="s">
        <v>96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4.1" customHeight="1" x14ac:dyDescent="0.25">
      <c r="A65" s="24"/>
      <c r="B65" s="24"/>
      <c r="C65" s="25" t="s">
        <v>97</v>
      </c>
      <c r="D65" s="26"/>
      <c r="E65" s="26"/>
      <c r="F65" s="26"/>
      <c r="G65" s="26"/>
      <c r="H65" s="26">
        <v>720</v>
      </c>
      <c r="I65" s="26">
        <v>720</v>
      </c>
      <c r="J65" s="26"/>
      <c r="K65" s="26"/>
      <c r="L65" s="26"/>
      <c r="M65" s="26"/>
    </row>
    <row r="66" spans="1:13" ht="14.1" customHeight="1" x14ac:dyDescent="0.25">
      <c r="A66" s="24"/>
      <c r="B66" s="24"/>
      <c r="C66" s="25" t="s">
        <v>98</v>
      </c>
      <c r="D66" s="26"/>
      <c r="E66" s="26"/>
      <c r="F66" s="26"/>
      <c r="G66" s="26"/>
      <c r="H66" s="26"/>
      <c r="I66" s="26">
        <v>40</v>
      </c>
      <c r="J66" s="26"/>
      <c r="K66" s="26"/>
      <c r="L66" s="26"/>
      <c r="M66" s="26"/>
    </row>
    <row r="67" spans="1:13" ht="14.1" customHeight="1" x14ac:dyDescent="0.25">
      <c r="A67" s="24"/>
      <c r="B67" s="24"/>
      <c r="C67" s="25" t="s">
        <v>99</v>
      </c>
      <c r="D67" s="26"/>
      <c r="E67" s="26"/>
      <c r="F67" s="26"/>
      <c r="G67" s="26"/>
      <c r="H67" s="26"/>
      <c r="I67" s="26">
        <v>100</v>
      </c>
      <c r="J67" s="26"/>
      <c r="K67" s="26"/>
      <c r="L67" s="26"/>
      <c r="M67" s="26"/>
    </row>
    <row r="68" spans="1:13" ht="14.1" customHeight="1" x14ac:dyDescent="0.25">
      <c r="A68" s="24"/>
      <c r="B68" s="24"/>
      <c r="C68" s="25" t="s">
        <v>100</v>
      </c>
      <c r="D68" s="26"/>
      <c r="E68" s="26"/>
      <c r="F68" s="26">
        <v>120</v>
      </c>
      <c r="G68" s="26">
        <v>100</v>
      </c>
      <c r="H68" s="26">
        <v>120</v>
      </c>
      <c r="I68" s="26">
        <v>100</v>
      </c>
      <c r="J68" s="26"/>
      <c r="K68" s="26"/>
      <c r="L68" s="26"/>
      <c r="M68" s="26"/>
    </row>
    <row r="69" spans="1:13" ht="14.1" customHeight="1" x14ac:dyDescent="0.25">
      <c r="A69" s="24"/>
      <c r="B69" s="24"/>
      <c r="C69" s="25" t="s">
        <v>101</v>
      </c>
      <c r="D69" s="26"/>
      <c r="E69" s="26"/>
      <c r="F69" s="26">
        <v>70</v>
      </c>
      <c r="G69" s="26">
        <v>200</v>
      </c>
      <c r="H69" s="26"/>
      <c r="I69" s="26"/>
      <c r="J69" s="26"/>
      <c r="K69" s="26"/>
      <c r="L69" s="26"/>
      <c r="M69" s="26"/>
    </row>
    <row r="70" spans="1:13" s="3" customFormat="1" ht="14.1" customHeight="1" x14ac:dyDescent="0.25">
      <c r="A70" s="7" t="s">
        <v>102</v>
      </c>
      <c r="B70" s="7" t="s">
        <v>103</v>
      </c>
      <c r="C70" s="8" t="s">
        <v>104</v>
      </c>
      <c r="D70" s="9">
        <f>F70+H70+J70</f>
        <v>330</v>
      </c>
      <c r="E70" s="9">
        <f>G70+I70+K70</f>
        <v>290</v>
      </c>
      <c r="F70" s="10">
        <f>SUM(F71:F72)</f>
        <v>147</v>
      </c>
      <c r="G70" s="10">
        <f t="shared" ref="G70:K70" si="38">SUM(G71:G72)</f>
        <v>145</v>
      </c>
      <c r="H70" s="10">
        <f t="shared" si="38"/>
        <v>183</v>
      </c>
      <c r="I70" s="10">
        <f t="shared" si="38"/>
        <v>145</v>
      </c>
      <c r="J70" s="10">
        <f t="shared" si="38"/>
        <v>0</v>
      </c>
      <c r="K70" s="10">
        <f t="shared" si="38"/>
        <v>0</v>
      </c>
      <c r="L70" s="10">
        <f t="shared" ref="L70:M70" si="39">SUM(L71:L72)</f>
        <v>0</v>
      </c>
      <c r="M70" s="10">
        <f t="shared" si="39"/>
        <v>0</v>
      </c>
    </row>
    <row r="71" spans="1:13" ht="14.1" customHeight="1" x14ac:dyDescent="0.25">
      <c r="A71" s="24"/>
      <c r="B71" s="24"/>
      <c r="C71" s="25" t="s">
        <v>105</v>
      </c>
      <c r="D71" s="26"/>
      <c r="E71" s="26"/>
      <c r="F71" s="26">
        <v>147</v>
      </c>
      <c r="G71" s="26">
        <v>145</v>
      </c>
      <c r="H71" s="26">
        <v>183</v>
      </c>
      <c r="I71" s="26">
        <v>145</v>
      </c>
      <c r="J71" s="26"/>
      <c r="K71" s="26"/>
      <c r="L71" s="26"/>
      <c r="M71" s="26"/>
    </row>
    <row r="72" spans="1:13" ht="14.1" customHeight="1" x14ac:dyDescent="0.25">
      <c r="A72" s="24"/>
      <c r="B72" s="24"/>
      <c r="C72" s="25" t="s">
        <v>106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s="3" customFormat="1" ht="14.1" customHeight="1" x14ac:dyDescent="0.25">
      <c r="A73" s="16" t="s">
        <v>107</v>
      </c>
      <c r="B73" s="16" t="s">
        <v>108</v>
      </c>
      <c r="C73" s="17" t="s">
        <v>109</v>
      </c>
      <c r="D73" s="19">
        <f>D63+D70</f>
        <v>1360</v>
      </c>
      <c r="E73" s="19">
        <f t="shared" ref="E73:K73" si="40">E63+E70</f>
        <v>1550</v>
      </c>
      <c r="F73" s="19">
        <f t="shared" si="40"/>
        <v>337</v>
      </c>
      <c r="G73" s="19">
        <f t="shared" si="40"/>
        <v>445</v>
      </c>
      <c r="H73" s="19">
        <f t="shared" si="40"/>
        <v>1023</v>
      </c>
      <c r="I73" s="19">
        <f t="shared" si="40"/>
        <v>1105</v>
      </c>
      <c r="J73" s="19">
        <f t="shared" si="40"/>
        <v>0</v>
      </c>
      <c r="K73" s="19">
        <f t="shared" si="40"/>
        <v>0</v>
      </c>
      <c r="L73" s="19">
        <f t="shared" ref="L73:M73" si="41">L63+L70</f>
        <v>0</v>
      </c>
      <c r="M73" s="19">
        <f t="shared" si="41"/>
        <v>0</v>
      </c>
    </row>
    <row r="74" spans="1:13" s="3" customFormat="1" ht="14.1" customHeight="1" x14ac:dyDescent="0.25">
      <c r="A74" s="7" t="s">
        <v>110</v>
      </c>
      <c r="B74" s="7" t="s">
        <v>111</v>
      </c>
      <c r="C74" s="8" t="s">
        <v>112</v>
      </c>
      <c r="D74" s="9">
        <f>F74+H74+J74</f>
        <v>18425</v>
      </c>
      <c r="E74" s="9">
        <f>G74+I74+K74</f>
        <v>16180</v>
      </c>
      <c r="F74" s="10">
        <f>SUM(F75:F77)</f>
        <v>0</v>
      </c>
      <c r="G74" s="10">
        <f t="shared" ref="G74:K74" si="42">SUM(G75:G77)</f>
        <v>0</v>
      </c>
      <c r="H74" s="10">
        <f t="shared" si="42"/>
        <v>18425</v>
      </c>
      <c r="I74" s="10">
        <f t="shared" si="42"/>
        <v>16180</v>
      </c>
      <c r="J74" s="10">
        <f t="shared" si="42"/>
        <v>0</v>
      </c>
      <c r="K74" s="10">
        <f t="shared" si="42"/>
        <v>0</v>
      </c>
      <c r="L74" s="10">
        <f t="shared" ref="L74:M74" si="43">SUM(L75:L77)</f>
        <v>0</v>
      </c>
      <c r="M74" s="10">
        <f t="shared" si="43"/>
        <v>0</v>
      </c>
    </row>
    <row r="75" spans="1:13" ht="14.1" customHeight="1" x14ac:dyDescent="0.25">
      <c r="A75" s="24"/>
      <c r="B75" s="24"/>
      <c r="C75" s="25" t="s">
        <v>113</v>
      </c>
      <c r="D75" s="26"/>
      <c r="E75" s="26"/>
      <c r="F75" s="26"/>
      <c r="G75" s="26"/>
      <c r="H75" s="26">
        <v>10000</v>
      </c>
      <c r="I75" s="26">
        <v>7020</v>
      </c>
      <c r="J75" s="26"/>
      <c r="K75" s="26"/>
      <c r="L75" s="26"/>
      <c r="M75" s="26"/>
    </row>
    <row r="76" spans="1:13" ht="14.1" customHeight="1" x14ac:dyDescent="0.25">
      <c r="A76" s="24"/>
      <c r="B76" s="24"/>
      <c r="C76" s="25" t="s">
        <v>114</v>
      </c>
      <c r="D76" s="26"/>
      <c r="E76" s="26"/>
      <c r="F76" s="26"/>
      <c r="G76" s="26"/>
      <c r="H76" s="26">
        <v>8000</v>
      </c>
      <c r="I76" s="26">
        <v>8660</v>
      </c>
      <c r="J76" s="26"/>
      <c r="K76" s="26"/>
      <c r="L76" s="26"/>
      <c r="M76" s="26"/>
    </row>
    <row r="77" spans="1:13" ht="14.1" customHeight="1" x14ac:dyDescent="0.25">
      <c r="A77" s="24"/>
      <c r="B77" s="24"/>
      <c r="C77" s="25" t="s">
        <v>115</v>
      </c>
      <c r="D77" s="26"/>
      <c r="E77" s="26"/>
      <c r="F77" s="26"/>
      <c r="G77" s="26"/>
      <c r="H77" s="26">
        <v>425</v>
      </c>
      <c r="I77" s="26">
        <v>500</v>
      </c>
      <c r="J77" s="26"/>
      <c r="K77" s="26"/>
      <c r="L77" s="26"/>
      <c r="M77" s="26"/>
    </row>
    <row r="78" spans="1:13" s="3" customFormat="1" ht="14.1" customHeight="1" x14ac:dyDescent="0.25">
      <c r="A78" s="7" t="s">
        <v>116</v>
      </c>
      <c r="B78" s="7" t="s">
        <v>117</v>
      </c>
      <c r="C78" s="8" t="s">
        <v>118</v>
      </c>
      <c r="D78" s="9">
        <f>F78+H78+J78</f>
        <v>0</v>
      </c>
      <c r="E78" s="9">
        <f>G78+I78+K78</f>
        <v>0</v>
      </c>
      <c r="F78" s="10">
        <v>0</v>
      </c>
      <c r="G78" s="10">
        <f>G79</f>
        <v>0</v>
      </c>
      <c r="H78" s="10">
        <v>0</v>
      </c>
      <c r="I78" s="10">
        <f>I79</f>
        <v>0</v>
      </c>
      <c r="J78" s="10">
        <f t="shared" ref="J78:M78" si="44">J79</f>
        <v>0</v>
      </c>
      <c r="K78" s="10">
        <f t="shared" si="44"/>
        <v>0</v>
      </c>
      <c r="L78" s="10">
        <f t="shared" si="44"/>
        <v>0</v>
      </c>
      <c r="M78" s="10">
        <f t="shared" si="44"/>
        <v>0</v>
      </c>
    </row>
    <row r="79" spans="1:13" s="3" customFormat="1" ht="14.1" customHeight="1" x14ac:dyDescent="0.25">
      <c r="A79" s="24"/>
      <c r="B79" s="24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s="3" customFormat="1" ht="14.1" customHeight="1" x14ac:dyDescent="0.25">
      <c r="A80" s="7" t="s">
        <v>119</v>
      </c>
      <c r="B80" s="7" t="s">
        <v>120</v>
      </c>
      <c r="C80" s="8" t="s">
        <v>121</v>
      </c>
      <c r="D80" s="9">
        <f>F80+H80+J80</f>
        <v>85</v>
      </c>
      <c r="E80" s="9">
        <f>G80+I80+K80</f>
        <v>358</v>
      </c>
      <c r="F80" s="10">
        <f>SUM(F81:F82)</f>
        <v>0</v>
      </c>
      <c r="G80" s="10">
        <f t="shared" ref="G80:K80" si="45">SUM(G81:G82)</f>
        <v>200</v>
      </c>
      <c r="H80" s="10">
        <f t="shared" si="45"/>
        <v>85</v>
      </c>
      <c r="I80" s="10">
        <f t="shared" si="45"/>
        <v>158</v>
      </c>
      <c r="J80" s="10">
        <f t="shared" si="45"/>
        <v>0</v>
      </c>
      <c r="K80" s="10">
        <f t="shared" si="45"/>
        <v>0</v>
      </c>
      <c r="L80" s="10">
        <f t="shared" ref="L80:M80" si="46">SUM(L81:L82)</f>
        <v>0</v>
      </c>
      <c r="M80" s="10">
        <f t="shared" si="46"/>
        <v>0</v>
      </c>
    </row>
    <row r="81" spans="1:13" ht="14.1" customHeight="1" x14ac:dyDescent="0.25">
      <c r="A81" s="24"/>
      <c r="B81" s="24"/>
      <c r="C81" s="25" t="s">
        <v>122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4.1" customHeight="1" x14ac:dyDescent="0.25">
      <c r="A82" s="24"/>
      <c r="B82" s="24"/>
      <c r="C82" s="25" t="s">
        <v>123</v>
      </c>
      <c r="D82" s="26"/>
      <c r="E82" s="26"/>
      <c r="F82" s="26"/>
      <c r="G82" s="26">
        <v>200</v>
      </c>
      <c r="H82" s="26">
        <v>85</v>
      </c>
      <c r="I82" s="26">
        <v>158</v>
      </c>
      <c r="J82" s="26"/>
      <c r="K82" s="26"/>
      <c r="L82" s="26"/>
      <c r="M82" s="26"/>
    </row>
    <row r="83" spans="1:13" s="3" customFormat="1" ht="14.1" customHeight="1" x14ac:dyDescent="0.25">
      <c r="A83" s="7" t="s">
        <v>124</v>
      </c>
      <c r="B83" s="7" t="s">
        <v>125</v>
      </c>
      <c r="C83" s="8" t="s">
        <v>126</v>
      </c>
      <c r="D83" s="9">
        <f>F83+H83+J83</f>
        <v>9892</v>
      </c>
      <c r="E83" s="9">
        <f>G83+I83+K83</f>
        <v>13082</v>
      </c>
      <c r="F83" s="10">
        <v>0</v>
      </c>
      <c r="G83" s="10">
        <v>0</v>
      </c>
      <c r="H83" s="10">
        <v>9892</v>
      </c>
      <c r="I83" s="10">
        <v>13082</v>
      </c>
      <c r="J83" s="10">
        <v>0</v>
      </c>
      <c r="K83" s="10"/>
      <c r="L83" s="10">
        <v>0</v>
      </c>
      <c r="M83" s="10"/>
    </row>
    <row r="84" spans="1:13" s="3" customFormat="1" ht="14.1" customHeight="1" x14ac:dyDescent="0.25">
      <c r="A84" s="7" t="s">
        <v>127</v>
      </c>
      <c r="B84" s="7" t="s">
        <v>128</v>
      </c>
      <c r="C84" s="8" t="s">
        <v>129</v>
      </c>
      <c r="D84" s="9">
        <f>F84+H84+J84</f>
        <v>2570</v>
      </c>
      <c r="E84" s="9">
        <f>G84+I84+K84</f>
        <v>2520</v>
      </c>
      <c r="F84" s="10">
        <f>SUM(F85:F86)</f>
        <v>0</v>
      </c>
      <c r="G84" s="10">
        <f>SUM(G85:G86)</f>
        <v>0</v>
      </c>
      <c r="H84" s="10">
        <f>SUM(H85:H86)</f>
        <v>2570</v>
      </c>
      <c r="I84" s="10">
        <f>SUM(I85:I86)</f>
        <v>2520</v>
      </c>
      <c r="J84" s="10">
        <f t="shared" ref="J84:K84" si="47">SUM(J85:J86)</f>
        <v>0</v>
      </c>
      <c r="K84" s="10">
        <f t="shared" si="47"/>
        <v>0</v>
      </c>
      <c r="L84" s="10">
        <f t="shared" ref="L84:M84" si="48">SUM(L85:L86)</f>
        <v>0</v>
      </c>
      <c r="M84" s="10">
        <f t="shared" si="48"/>
        <v>0</v>
      </c>
    </row>
    <row r="85" spans="1:13" ht="14.1" customHeight="1" x14ac:dyDescent="0.25">
      <c r="A85" s="24"/>
      <c r="B85" s="24"/>
      <c r="C85" s="25" t="s">
        <v>130</v>
      </c>
      <c r="D85" s="26"/>
      <c r="E85" s="26"/>
      <c r="F85" s="26"/>
      <c r="G85" s="26"/>
      <c r="H85" s="26">
        <v>2120</v>
      </c>
      <c r="I85" s="26">
        <v>2120</v>
      </c>
      <c r="J85" s="26"/>
      <c r="K85" s="26"/>
      <c r="L85" s="26"/>
      <c r="M85" s="26"/>
    </row>
    <row r="86" spans="1:13" ht="14.1" customHeight="1" x14ac:dyDescent="0.25">
      <c r="A86" s="24"/>
      <c r="B86" s="24"/>
      <c r="C86" s="25" t="s">
        <v>131</v>
      </c>
      <c r="D86" s="26"/>
      <c r="E86" s="26"/>
      <c r="F86" s="26"/>
      <c r="G86" s="26"/>
      <c r="H86" s="26">
        <v>450</v>
      </c>
      <c r="I86" s="26">
        <v>400</v>
      </c>
      <c r="J86" s="26"/>
      <c r="K86" s="26"/>
      <c r="L86" s="26"/>
      <c r="M86" s="26"/>
    </row>
    <row r="87" spans="1:13" s="3" customFormat="1" ht="14.1" customHeight="1" x14ac:dyDescent="0.25">
      <c r="A87" s="7" t="s">
        <v>132</v>
      </c>
      <c r="B87" s="7" t="s">
        <v>133</v>
      </c>
      <c r="C87" s="8" t="s">
        <v>134</v>
      </c>
      <c r="D87" s="9">
        <f>F87+H87+J87</f>
        <v>14845</v>
      </c>
      <c r="E87" s="9">
        <f>G87+I87+K87+M87</f>
        <v>15845</v>
      </c>
      <c r="F87" s="10">
        <f>SUM(F88:F90)</f>
        <v>11845</v>
      </c>
      <c r="G87" s="10">
        <f t="shared" ref="G87:K87" si="49">SUM(G88:G90)</f>
        <v>11845</v>
      </c>
      <c r="H87" s="10">
        <f t="shared" si="49"/>
        <v>0</v>
      </c>
      <c r="I87" s="10">
        <f t="shared" si="49"/>
        <v>0</v>
      </c>
      <c r="J87" s="10">
        <f t="shared" si="49"/>
        <v>3000</v>
      </c>
      <c r="K87" s="10">
        <f t="shared" si="49"/>
        <v>3000</v>
      </c>
      <c r="L87" s="10">
        <f t="shared" ref="L87:M87" si="50">SUM(L88:L90)</f>
        <v>0</v>
      </c>
      <c r="M87" s="10">
        <f t="shared" si="50"/>
        <v>1000</v>
      </c>
    </row>
    <row r="88" spans="1:13" ht="14.1" customHeight="1" x14ac:dyDescent="0.25">
      <c r="A88" s="24"/>
      <c r="B88" s="24"/>
      <c r="C88" s="25" t="s">
        <v>135</v>
      </c>
      <c r="D88" s="26"/>
      <c r="E88" s="26"/>
      <c r="F88" s="26">
        <v>0</v>
      </c>
      <c r="G88" s="26">
        <v>0</v>
      </c>
      <c r="H88" s="26">
        <v>0</v>
      </c>
      <c r="I88" s="26">
        <v>0</v>
      </c>
      <c r="J88" s="26"/>
      <c r="K88" s="26"/>
      <c r="L88" s="26"/>
      <c r="M88" s="26"/>
    </row>
    <row r="89" spans="1:13" ht="14.1" customHeight="1" x14ac:dyDescent="0.25">
      <c r="A89" s="24"/>
      <c r="B89" s="24"/>
      <c r="C89" s="25" t="s">
        <v>136</v>
      </c>
      <c r="D89" s="26"/>
      <c r="E89" s="26"/>
      <c r="F89" s="26">
        <v>5345</v>
      </c>
      <c r="G89" s="26">
        <v>5345</v>
      </c>
      <c r="H89" s="26">
        <v>0</v>
      </c>
      <c r="I89" s="26">
        <v>0</v>
      </c>
      <c r="J89" s="26">
        <v>1500</v>
      </c>
      <c r="K89" s="26">
        <v>1500</v>
      </c>
      <c r="L89" s="26">
        <v>0</v>
      </c>
      <c r="M89" s="26">
        <v>1000</v>
      </c>
    </row>
    <row r="90" spans="1:13" ht="14.1" customHeight="1" x14ac:dyDescent="0.25">
      <c r="A90" s="24"/>
      <c r="B90" s="24"/>
      <c r="C90" s="25" t="s">
        <v>137</v>
      </c>
      <c r="D90" s="26"/>
      <c r="E90" s="26"/>
      <c r="F90" s="26">
        <v>6500</v>
      </c>
      <c r="G90" s="26">
        <v>6500</v>
      </c>
      <c r="H90" s="26">
        <v>0</v>
      </c>
      <c r="I90" s="26">
        <v>0</v>
      </c>
      <c r="J90" s="26">
        <v>1500</v>
      </c>
      <c r="K90" s="26">
        <v>1500</v>
      </c>
      <c r="L90" s="26">
        <v>0</v>
      </c>
      <c r="M90" s="26">
        <v>0</v>
      </c>
    </row>
    <row r="91" spans="1:13" s="3" customFormat="1" ht="14.1" customHeight="1" x14ac:dyDescent="0.25">
      <c r="A91" s="7" t="s">
        <v>138</v>
      </c>
      <c r="B91" s="7" t="s">
        <v>139</v>
      </c>
      <c r="C91" s="8" t="s">
        <v>140</v>
      </c>
      <c r="D91" s="9">
        <f>F91+H91+J91</f>
        <v>11608</v>
      </c>
      <c r="E91" s="9">
        <f>G91+I91+K91+M91</f>
        <v>15965</v>
      </c>
      <c r="F91" s="10">
        <f>SUM(F92:F95)</f>
        <v>140</v>
      </c>
      <c r="G91" s="10">
        <f t="shared" ref="G91:K91" si="51">SUM(G92:G95)</f>
        <v>100</v>
      </c>
      <c r="H91" s="10">
        <f t="shared" si="51"/>
        <v>11468</v>
      </c>
      <c r="I91" s="10">
        <f t="shared" si="51"/>
        <v>11865</v>
      </c>
      <c r="J91" s="10">
        <f t="shared" si="51"/>
        <v>0</v>
      </c>
      <c r="K91" s="10">
        <f t="shared" si="51"/>
        <v>0</v>
      </c>
      <c r="L91" s="10">
        <f t="shared" ref="L91:M91" si="52">SUM(L92:L95)</f>
        <v>0</v>
      </c>
      <c r="M91" s="10">
        <f t="shared" si="52"/>
        <v>4000</v>
      </c>
    </row>
    <row r="92" spans="1:13" ht="14.1" customHeight="1" x14ac:dyDescent="0.25">
      <c r="A92" s="24"/>
      <c r="B92" s="24"/>
      <c r="C92" s="25" t="s">
        <v>141</v>
      </c>
      <c r="D92" s="26"/>
      <c r="E92" s="26"/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ht="14.1" customHeight="1" x14ac:dyDescent="0.25">
      <c r="A93" s="24"/>
      <c r="B93" s="24"/>
      <c r="C93" s="25" t="s">
        <v>142</v>
      </c>
      <c r="D93" s="26"/>
      <c r="E93" s="26"/>
      <c r="F93" s="26">
        <v>0</v>
      </c>
      <c r="G93" s="26">
        <v>0</v>
      </c>
      <c r="H93" s="26">
        <v>300</v>
      </c>
      <c r="I93" s="26">
        <v>300</v>
      </c>
      <c r="J93" s="26">
        <v>0</v>
      </c>
      <c r="K93" s="26">
        <v>0</v>
      </c>
      <c r="L93" s="26">
        <v>0</v>
      </c>
      <c r="M93" s="26">
        <v>0</v>
      </c>
    </row>
    <row r="94" spans="1:13" ht="14.1" customHeight="1" x14ac:dyDescent="0.25">
      <c r="A94" s="24"/>
      <c r="B94" s="24"/>
      <c r="C94" s="25" t="s">
        <v>143</v>
      </c>
      <c r="D94" s="26"/>
      <c r="E94" s="26"/>
      <c r="F94" s="26">
        <v>140</v>
      </c>
      <c r="G94" s="26">
        <v>100</v>
      </c>
      <c r="H94" s="26">
        <v>30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</row>
    <row r="95" spans="1:13" ht="14.1" customHeight="1" x14ac:dyDescent="0.25">
      <c r="A95" s="24"/>
      <c r="B95" s="24"/>
      <c r="C95" s="25" t="s">
        <v>144</v>
      </c>
      <c r="D95" s="26"/>
      <c r="E95" s="26"/>
      <c r="F95" s="26">
        <v>0</v>
      </c>
      <c r="G95" s="26">
        <v>0</v>
      </c>
      <c r="H95" s="26">
        <v>11138</v>
      </c>
      <c r="I95" s="26">
        <v>11565</v>
      </c>
      <c r="J95" s="26">
        <v>0</v>
      </c>
      <c r="K95" s="26">
        <v>0</v>
      </c>
      <c r="L95" s="26">
        <v>0</v>
      </c>
      <c r="M95" s="26">
        <v>4000</v>
      </c>
    </row>
    <row r="96" spans="1:13" s="3" customFormat="1" ht="14.1" customHeight="1" x14ac:dyDescent="0.25">
      <c r="A96" s="16" t="s">
        <v>145</v>
      </c>
      <c r="B96" s="16" t="s">
        <v>146</v>
      </c>
      <c r="C96" s="17" t="s">
        <v>147</v>
      </c>
      <c r="D96" s="19">
        <f>D74+D78+D80+D83+D84+D87+D91</f>
        <v>57425</v>
      </c>
      <c r="E96" s="19">
        <f t="shared" ref="E96:K96" si="53">E74+E78+E80+E83+E84+E87+E91</f>
        <v>63950</v>
      </c>
      <c r="F96" s="19">
        <f t="shared" si="53"/>
        <v>11985</v>
      </c>
      <c r="G96" s="19">
        <f t="shared" si="53"/>
        <v>12145</v>
      </c>
      <c r="H96" s="19">
        <f t="shared" si="53"/>
        <v>42440</v>
      </c>
      <c r="I96" s="19">
        <f t="shared" si="53"/>
        <v>43805</v>
      </c>
      <c r="J96" s="19">
        <f t="shared" si="53"/>
        <v>3000</v>
      </c>
      <c r="K96" s="19">
        <f t="shared" si="53"/>
        <v>3000</v>
      </c>
      <c r="L96" s="19">
        <f t="shared" ref="L96:M96" si="54">L74+L78+L80+L83+L84+L87+L91</f>
        <v>0</v>
      </c>
      <c r="M96" s="19">
        <f t="shared" si="54"/>
        <v>5000</v>
      </c>
    </row>
    <row r="97" spans="1:13" s="3" customFormat="1" ht="14.1" customHeight="1" x14ac:dyDescent="0.25">
      <c r="A97" s="7" t="s">
        <v>148</v>
      </c>
      <c r="B97" s="7" t="s">
        <v>149</v>
      </c>
      <c r="C97" s="8" t="s">
        <v>150</v>
      </c>
      <c r="D97" s="9">
        <f>F97+H97+J97</f>
        <v>55</v>
      </c>
      <c r="E97" s="9">
        <f>G97+I97+K97</f>
        <v>60</v>
      </c>
      <c r="F97" s="10">
        <f>SUM(F98:F99)</f>
        <v>15</v>
      </c>
      <c r="G97" s="10">
        <f t="shared" ref="G97:K97" si="55">SUM(G98:G99)</f>
        <v>0</v>
      </c>
      <c r="H97" s="10">
        <f t="shared" si="55"/>
        <v>40</v>
      </c>
      <c r="I97" s="10">
        <f t="shared" si="55"/>
        <v>60</v>
      </c>
      <c r="J97" s="10">
        <f t="shared" si="55"/>
        <v>0</v>
      </c>
      <c r="K97" s="10">
        <f t="shared" si="55"/>
        <v>0</v>
      </c>
      <c r="L97" s="10">
        <f t="shared" ref="L97:M97" si="56">SUM(L98:L99)</f>
        <v>0</v>
      </c>
      <c r="M97" s="10">
        <f t="shared" si="56"/>
        <v>0</v>
      </c>
    </row>
    <row r="98" spans="1:13" ht="14.1" customHeight="1" x14ac:dyDescent="0.25">
      <c r="A98" s="24"/>
      <c r="B98" s="24"/>
      <c r="C98" s="25" t="s">
        <v>151</v>
      </c>
      <c r="D98" s="26"/>
      <c r="E98" s="26"/>
      <c r="F98" s="26">
        <v>15</v>
      </c>
      <c r="G98" s="26"/>
      <c r="H98" s="26">
        <v>40</v>
      </c>
      <c r="I98" s="26">
        <v>60</v>
      </c>
      <c r="J98" s="26"/>
      <c r="K98" s="26"/>
      <c r="L98" s="26"/>
      <c r="M98" s="26"/>
    </row>
    <row r="99" spans="1:13" ht="14.1" customHeight="1" x14ac:dyDescent="0.25">
      <c r="A99" s="24"/>
      <c r="B99" s="24"/>
      <c r="C99" s="25" t="s">
        <v>152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s="3" customFormat="1" ht="14.1" customHeight="1" x14ac:dyDescent="0.25">
      <c r="A100" s="7" t="s">
        <v>153</v>
      </c>
      <c r="B100" s="7" t="s">
        <v>154</v>
      </c>
      <c r="C100" s="8" t="s">
        <v>155</v>
      </c>
      <c r="D100" s="9">
        <f>F100+H100+J100</f>
        <v>1500</v>
      </c>
      <c r="E100" s="9">
        <f>G100+I100+K100+M100</f>
        <v>2748</v>
      </c>
      <c r="F100" s="10">
        <v>1500</v>
      </c>
      <c r="G100" s="10">
        <v>2548</v>
      </c>
      <c r="H100" s="10">
        <v>0</v>
      </c>
      <c r="I100" s="10">
        <v>0</v>
      </c>
      <c r="J100" s="10">
        <v>0</v>
      </c>
      <c r="K100" s="10">
        <v>100</v>
      </c>
      <c r="L100" s="10">
        <v>0</v>
      </c>
      <c r="M100" s="10">
        <v>100</v>
      </c>
    </row>
    <row r="101" spans="1:13" s="3" customFormat="1" ht="14.1" customHeight="1" x14ac:dyDescent="0.25">
      <c r="A101" s="16" t="s">
        <v>156</v>
      </c>
      <c r="B101" s="16" t="s">
        <v>157</v>
      </c>
      <c r="C101" s="17" t="s">
        <v>158</v>
      </c>
      <c r="D101" s="19">
        <f>D97+D100</f>
        <v>1555</v>
      </c>
      <c r="E101" s="19">
        <f t="shared" ref="E101:K101" si="57">E97+E100</f>
        <v>2808</v>
      </c>
      <c r="F101" s="19">
        <f t="shared" si="57"/>
        <v>1515</v>
      </c>
      <c r="G101" s="19">
        <f t="shared" si="57"/>
        <v>2548</v>
      </c>
      <c r="H101" s="19">
        <f t="shared" si="57"/>
        <v>40</v>
      </c>
      <c r="I101" s="19">
        <f t="shared" si="57"/>
        <v>60</v>
      </c>
      <c r="J101" s="19">
        <f t="shared" si="57"/>
        <v>0</v>
      </c>
      <c r="K101" s="19">
        <f t="shared" si="57"/>
        <v>100</v>
      </c>
      <c r="L101" s="19">
        <f t="shared" ref="L101:M101" si="58">L97+L100</f>
        <v>0</v>
      </c>
      <c r="M101" s="19">
        <f t="shared" si="58"/>
        <v>100</v>
      </c>
    </row>
    <row r="102" spans="1:13" s="3" customFormat="1" ht="14.1" customHeight="1" x14ac:dyDescent="0.25">
      <c r="A102" s="7" t="s">
        <v>159</v>
      </c>
      <c r="B102" s="7" t="s">
        <v>160</v>
      </c>
      <c r="C102" s="8" t="s">
        <v>161</v>
      </c>
      <c r="D102" s="9">
        <f>F102+H102+J102</f>
        <v>14856</v>
      </c>
      <c r="E102" s="9">
        <f>G102+I102+K102+M102</f>
        <v>16924</v>
      </c>
      <c r="F102" s="10">
        <f>SUM(F103:F104)</f>
        <v>1878</v>
      </c>
      <c r="G102" s="10">
        <f t="shared" ref="G102:K102" si="59">SUM(G103:G104)</f>
        <v>2236</v>
      </c>
      <c r="H102" s="10">
        <f t="shared" si="59"/>
        <v>12141</v>
      </c>
      <c r="I102" s="10">
        <f t="shared" si="59"/>
        <v>12487</v>
      </c>
      <c r="J102" s="10">
        <f t="shared" si="59"/>
        <v>837</v>
      </c>
      <c r="K102" s="10">
        <f t="shared" si="59"/>
        <v>851</v>
      </c>
      <c r="L102" s="10">
        <f t="shared" ref="L102:M102" si="60">SUM(L103:L104)</f>
        <v>0</v>
      </c>
      <c r="M102" s="10">
        <f t="shared" si="60"/>
        <v>1350</v>
      </c>
    </row>
    <row r="103" spans="1:13" ht="14.1" customHeight="1" x14ac:dyDescent="0.25">
      <c r="A103" s="24"/>
      <c r="B103" s="24"/>
      <c r="C103" s="25" t="s">
        <v>162</v>
      </c>
      <c r="D103" s="26"/>
      <c r="E103" s="26"/>
      <c r="F103" s="26">
        <v>1239</v>
      </c>
      <c r="G103" s="26">
        <v>1252</v>
      </c>
      <c r="H103" s="26">
        <v>701</v>
      </c>
      <c r="I103" s="26">
        <v>691</v>
      </c>
      <c r="J103" s="26">
        <v>810</v>
      </c>
      <c r="K103" s="26">
        <v>810</v>
      </c>
      <c r="L103" s="26">
        <v>0</v>
      </c>
      <c r="M103" s="26"/>
    </row>
    <row r="104" spans="1:13" ht="14.1" customHeight="1" x14ac:dyDescent="0.25">
      <c r="A104" s="24"/>
      <c r="B104" s="24"/>
      <c r="C104" s="25" t="s">
        <v>163</v>
      </c>
      <c r="D104" s="26"/>
      <c r="E104" s="26"/>
      <c r="F104" s="26">
        <v>639</v>
      </c>
      <c r="G104" s="26">
        <v>984</v>
      </c>
      <c r="H104" s="26">
        <v>11440</v>
      </c>
      <c r="I104" s="26">
        <v>11796</v>
      </c>
      <c r="J104" s="26">
        <v>27</v>
      </c>
      <c r="K104" s="26">
        <v>41</v>
      </c>
      <c r="L104" s="26">
        <v>0</v>
      </c>
      <c r="M104" s="26">
        <f>ROUND(M96*0.27,0)</f>
        <v>1350</v>
      </c>
    </row>
    <row r="105" spans="1:13" s="3" customFormat="1" ht="14.1" customHeight="1" x14ac:dyDescent="0.25">
      <c r="A105" s="7" t="s">
        <v>164</v>
      </c>
      <c r="B105" s="7" t="s">
        <v>165</v>
      </c>
      <c r="C105" s="8" t="s">
        <v>166</v>
      </c>
      <c r="D105" s="9">
        <f>F105+H105+J105</f>
        <v>4000</v>
      </c>
      <c r="E105" s="9">
        <f>G105+I105+K105</f>
        <v>4500</v>
      </c>
      <c r="F105" s="10">
        <f>SUM(F106:F108)</f>
        <v>2000</v>
      </c>
      <c r="G105" s="10">
        <f t="shared" ref="G105:K105" si="61">SUM(G106:G108)</f>
        <v>0</v>
      </c>
      <c r="H105" s="10">
        <f t="shared" si="61"/>
        <v>2000</v>
      </c>
      <c r="I105" s="10">
        <f t="shared" si="61"/>
        <v>4500</v>
      </c>
      <c r="J105" s="10">
        <f t="shared" si="61"/>
        <v>0</v>
      </c>
      <c r="K105" s="10">
        <f t="shared" si="61"/>
        <v>0</v>
      </c>
      <c r="L105" s="10">
        <f t="shared" ref="L105:M105" si="62">SUM(L106:L108)</f>
        <v>0</v>
      </c>
      <c r="M105" s="10">
        <f t="shared" si="62"/>
        <v>0</v>
      </c>
    </row>
    <row r="106" spans="1:13" ht="14.1" customHeight="1" x14ac:dyDescent="0.25">
      <c r="A106" s="24"/>
      <c r="B106" s="24"/>
      <c r="C106" s="25" t="s">
        <v>167</v>
      </c>
      <c r="D106" s="26"/>
      <c r="E106" s="26"/>
      <c r="F106" s="26">
        <v>2000</v>
      </c>
      <c r="G106" s="26"/>
      <c r="H106" s="26">
        <v>2000</v>
      </c>
      <c r="I106" s="26">
        <v>4500</v>
      </c>
      <c r="J106" s="26"/>
      <c r="K106" s="26"/>
      <c r="L106" s="26"/>
      <c r="M106" s="26"/>
    </row>
    <row r="107" spans="1:13" ht="14.1" customHeight="1" x14ac:dyDescent="0.25">
      <c r="A107" s="24"/>
      <c r="B107" s="24"/>
      <c r="C107" s="25" t="s">
        <v>168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4.1" customHeight="1" x14ac:dyDescent="0.25">
      <c r="A108" s="24"/>
      <c r="B108" s="24"/>
      <c r="C108" s="25" t="s">
        <v>169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s="3" customFormat="1" ht="14.1" customHeight="1" x14ac:dyDescent="0.25">
      <c r="A109" s="7" t="s">
        <v>170</v>
      </c>
      <c r="B109" s="7" t="s">
        <v>171</v>
      </c>
      <c r="C109" s="8" t="s">
        <v>172</v>
      </c>
      <c r="D109" s="9">
        <f>F109+H109+J109</f>
        <v>0</v>
      </c>
      <c r="E109" s="9">
        <f>G109+I109+K109</f>
        <v>0</v>
      </c>
      <c r="F109" s="10">
        <f>SUM(F110:F113)</f>
        <v>0</v>
      </c>
      <c r="G109" s="10">
        <f t="shared" ref="G109:K109" si="63">SUM(G110:G113)</f>
        <v>0</v>
      </c>
      <c r="H109" s="10">
        <f t="shared" si="63"/>
        <v>0</v>
      </c>
      <c r="I109" s="10">
        <f t="shared" si="63"/>
        <v>0</v>
      </c>
      <c r="J109" s="10">
        <f t="shared" si="63"/>
        <v>0</v>
      </c>
      <c r="K109" s="10">
        <f t="shared" si="63"/>
        <v>0</v>
      </c>
      <c r="L109" s="10">
        <f t="shared" ref="L109:M109" si="64">SUM(L110:L113)</f>
        <v>0</v>
      </c>
      <c r="M109" s="10">
        <f t="shared" si="64"/>
        <v>0</v>
      </c>
    </row>
    <row r="110" spans="1:13" ht="14.1" customHeight="1" x14ac:dyDescent="0.25">
      <c r="A110" s="24"/>
      <c r="B110" s="24"/>
      <c r="C110" s="25" t="s">
        <v>173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4.1" customHeight="1" x14ac:dyDescent="0.25">
      <c r="A111" s="24"/>
      <c r="B111" s="24"/>
      <c r="C111" s="25" t="s">
        <v>174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4.1" customHeight="1" x14ac:dyDescent="0.25">
      <c r="A112" s="24"/>
      <c r="B112" s="24"/>
      <c r="C112" s="25" t="s">
        <v>175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254" ht="14.1" customHeight="1" x14ac:dyDescent="0.25">
      <c r="A113" s="24"/>
      <c r="B113" s="24"/>
      <c r="C113" s="25" t="s">
        <v>176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254" s="3" customFormat="1" ht="14.1" customHeight="1" x14ac:dyDescent="0.25">
      <c r="A114" s="7" t="s">
        <v>177</v>
      </c>
      <c r="B114" s="7" t="s">
        <v>178</v>
      </c>
      <c r="C114" s="8" t="s">
        <v>179</v>
      </c>
      <c r="D114" s="9">
        <f>F114+H114+J114</f>
        <v>0</v>
      </c>
      <c r="E114" s="9">
        <f>G114+I114+K114</f>
        <v>0</v>
      </c>
      <c r="F114" s="10">
        <f>SUM(F115:F116)</f>
        <v>0</v>
      </c>
      <c r="G114" s="10">
        <f t="shared" ref="G114:K114" si="65">SUM(G115:G116)</f>
        <v>0</v>
      </c>
      <c r="H114" s="10">
        <f t="shared" si="65"/>
        <v>0</v>
      </c>
      <c r="I114" s="10">
        <f t="shared" si="65"/>
        <v>0</v>
      </c>
      <c r="J114" s="10">
        <f t="shared" si="65"/>
        <v>0</v>
      </c>
      <c r="K114" s="10">
        <f t="shared" si="65"/>
        <v>0</v>
      </c>
      <c r="L114" s="10">
        <f t="shared" ref="L114:M114" si="66">SUM(L115:L116)</f>
        <v>0</v>
      </c>
      <c r="M114" s="10">
        <f t="shared" si="66"/>
        <v>0</v>
      </c>
    </row>
    <row r="115" spans="1:254" ht="14.1" customHeight="1" x14ac:dyDescent="0.25">
      <c r="A115" s="24"/>
      <c r="B115" s="24"/>
      <c r="C115" s="25" t="s">
        <v>180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254" ht="14.1" customHeight="1" x14ac:dyDescent="0.25">
      <c r="A116" s="24"/>
      <c r="B116" s="24"/>
      <c r="C116" s="25" t="s">
        <v>181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254" s="3" customFormat="1" ht="14.1" customHeight="1" x14ac:dyDescent="0.25">
      <c r="A117" s="7" t="s">
        <v>182</v>
      </c>
      <c r="B117" s="7" t="s">
        <v>183</v>
      </c>
      <c r="C117" s="8" t="s">
        <v>184</v>
      </c>
      <c r="D117" s="9">
        <f>F117+H117+J117</f>
        <v>300</v>
      </c>
      <c r="E117" s="9">
        <f>G117+I117+K117+M117</f>
        <v>239</v>
      </c>
      <c r="F117" s="10">
        <f>SUM(F118:F121)</f>
        <v>200</v>
      </c>
      <c r="G117" s="10">
        <f t="shared" ref="G117:K117" si="67">SUM(G118:G121)</f>
        <v>200</v>
      </c>
      <c r="H117" s="10">
        <f t="shared" si="67"/>
        <v>50</v>
      </c>
      <c r="I117" s="10">
        <f t="shared" si="67"/>
        <v>0</v>
      </c>
      <c r="J117" s="10">
        <f t="shared" si="67"/>
        <v>50</v>
      </c>
      <c r="K117" s="10">
        <f t="shared" si="67"/>
        <v>0</v>
      </c>
      <c r="L117" s="10">
        <f t="shared" ref="L117:M117" si="68">SUM(L118:L121)</f>
        <v>0</v>
      </c>
      <c r="M117" s="10">
        <f t="shared" si="68"/>
        <v>39</v>
      </c>
    </row>
    <row r="118" spans="1:254" ht="14.1" customHeight="1" x14ac:dyDescent="0.25">
      <c r="A118" s="24"/>
      <c r="B118" s="24"/>
      <c r="C118" s="25" t="s">
        <v>185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254" ht="14.1" customHeight="1" x14ac:dyDescent="0.25">
      <c r="A119" s="24"/>
      <c r="B119" s="24"/>
      <c r="C119" s="25" t="s">
        <v>186</v>
      </c>
      <c r="D119" s="26"/>
      <c r="E119" s="26"/>
      <c r="F119" s="26">
        <v>200</v>
      </c>
      <c r="G119" s="26">
        <v>200</v>
      </c>
      <c r="H119" s="26">
        <v>50</v>
      </c>
      <c r="I119" s="26"/>
      <c r="J119" s="26">
        <v>50</v>
      </c>
      <c r="K119" s="26"/>
      <c r="L119" s="26">
        <v>0</v>
      </c>
      <c r="M119" s="26"/>
    </row>
    <row r="120" spans="1:254" ht="14.1" customHeight="1" x14ac:dyDescent="0.25">
      <c r="A120" s="24"/>
      <c r="B120" s="24"/>
      <c r="C120" s="25" t="s">
        <v>187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254" ht="14.1" customHeight="1" x14ac:dyDescent="0.25">
      <c r="A121" s="24"/>
      <c r="B121" s="24"/>
      <c r="C121" s="25" t="s">
        <v>188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>
        <v>39</v>
      </c>
    </row>
    <row r="122" spans="1:254" s="3" customFormat="1" ht="14.1" customHeight="1" x14ac:dyDescent="0.25">
      <c r="A122" s="16" t="s">
        <v>189</v>
      </c>
      <c r="B122" s="16" t="s">
        <v>190</v>
      </c>
      <c r="C122" s="17" t="s">
        <v>191</v>
      </c>
      <c r="D122" s="19">
        <f>D102+D105+D109+D114+D117</f>
        <v>19156</v>
      </c>
      <c r="E122" s="19">
        <f t="shared" ref="E122:K122" si="69">E102+E105+E109+E114+E117</f>
        <v>21663</v>
      </c>
      <c r="F122" s="19">
        <f t="shared" si="69"/>
        <v>4078</v>
      </c>
      <c r="G122" s="19">
        <f t="shared" si="69"/>
        <v>2436</v>
      </c>
      <c r="H122" s="19">
        <f t="shared" si="69"/>
        <v>14191</v>
      </c>
      <c r="I122" s="19">
        <f t="shared" si="69"/>
        <v>16987</v>
      </c>
      <c r="J122" s="19">
        <f t="shared" si="69"/>
        <v>887</v>
      </c>
      <c r="K122" s="19">
        <f t="shared" si="69"/>
        <v>851</v>
      </c>
      <c r="L122" s="19">
        <f t="shared" ref="L122:M122" si="70">L102+L105+L109+L114+L117</f>
        <v>0</v>
      </c>
      <c r="M122" s="19">
        <f t="shared" si="70"/>
        <v>1389</v>
      </c>
    </row>
    <row r="123" spans="1:254" s="3" customFormat="1" ht="14.1" customHeight="1" x14ac:dyDescent="0.25">
      <c r="A123" s="20" t="s">
        <v>192</v>
      </c>
      <c r="B123" s="20" t="s">
        <v>193</v>
      </c>
      <c r="C123" s="21" t="s">
        <v>292</v>
      </c>
      <c r="D123" s="23">
        <f>D62+D73+D96+D101+D122</f>
        <v>81371</v>
      </c>
      <c r="E123" s="23">
        <f t="shared" ref="E123:K123" si="71">E62+E73+E96+E101+E122</f>
        <v>91951</v>
      </c>
      <c r="F123" s="23">
        <f t="shared" si="71"/>
        <v>18240</v>
      </c>
      <c r="G123" s="23">
        <f t="shared" si="71"/>
        <v>17924</v>
      </c>
      <c r="H123" s="23">
        <f t="shared" si="71"/>
        <v>59194</v>
      </c>
      <c r="I123" s="23">
        <f t="shared" si="71"/>
        <v>63537</v>
      </c>
      <c r="J123" s="23">
        <f t="shared" si="71"/>
        <v>3937</v>
      </c>
      <c r="K123" s="23">
        <f t="shared" si="71"/>
        <v>4001</v>
      </c>
      <c r="L123" s="23">
        <f t="shared" ref="L123:M123" si="72">L62+L73+L96+L101+L122</f>
        <v>0</v>
      </c>
      <c r="M123" s="23">
        <f t="shared" si="72"/>
        <v>6489</v>
      </c>
    </row>
    <row r="124" spans="1:254" ht="14.1" customHeight="1" x14ac:dyDescent="0.2">
      <c r="A124" s="1025" t="s">
        <v>291</v>
      </c>
      <c r="B124" s="1026"/>
      <c r="C124" s="1027"/>
      <c r="D124" s="28">
        <f>D39+D123</f>
        <v>124939</v>
      </c>
      <c r="E124" s="28">
        <f t="shared" ref="E124:K124" si="73">E39+E123</f>
        <v>141945</v>
      </c>
      <c r="F124" s="28">
        <f t="shared" si="73"/>
        <v>18437</v>
      </c>
      <c r="G124" s="28">
        <f t="shared" si="73"/>
        <v>18121</v>
      </c>
      <c r="H124" s="28">
        <f t="shared" si="73"/>
        <v>102444</v>
      </c>
      <c r="I124" s="28">
        <f t="shared" si="73"/>
        <v>111702</v>
      </c>
      <c r="J124" s="28">
        <f t="shared" si="73"/>
        <v>4058</v>
      </c>
      <c r="K124" s="28">
        <f t="shared" si="73"/>
        <v>4122</v>
      </c>
      <c r="L124" s="28">
        <f t="shared" ref="L124:M124" si="74">L39+L123</f>
        <v>0</v>
      </c>
      <c r="M124" s="28">
        <f t="shared" si="74"/>
        <v>8000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</row>
    <row r="125" spans="1:254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</row>
    <row r="126" spans="1:254" ht="14.1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</row>
    <row r="128" spans="1:254" s="1" customFormat="1" ht="12.75" customHeight="1" x14ac:dyDescent="0.25">
      <c r="A128" s="1060" t="s">
        <v>608</v>
      </c>
      <c r="B128" s="1061"/>
      <c r="C128" s="1061"/>
      <c r="D128" s="1061"/>
      <c r="E128" s="1061"/>
      <c r="F128" s="1061"/>
      <c r="G128" s="1061"/>
      <c r="H128" s="1061"/>
      <c r="I128" s="1061"/>
      <c r="J128" s="1061"/>
      <c r="K128" s="1061"/>
      <c r="L128" s="1061"/>
      <c r="M128" s="1061"/>
    </row>
    <row r="129" spans="1:13" s="1" customFormat="1" ht="14.1" customHeight="1" x14ac:dyDescent="0.25">
      <c r="A129" s="1022" t="s">
        <v>0</v>
      </c>
      <c r="B129" s="1023" t="s">
        <v>1</v>
      </c>
      <c r="C129" s="1022" t="s">
        <v>2</v>
      </c>
      <c r="D129" s="1024" t="s">
        <v>260</v>
      </c>
      <c r="E129" s="1014" t="s">
        <v>259</v>
      </c>
      <c r="F129" s="1016" t="s">
        <v>603</v>
      </c>
      <c r="G129" s="1017"/>
      <c r="H129" s="1016" t="s">
        <v>604</v>
      </c>
      <c r="I129" s="1017"/>
      <c r="J129" s="1016" t="s">
        <v>605</v>
      </c>
      <c r="K129" s="1017"/>
      <c r="L129" s="1058" t="s">
        <v>1274</v>
      </c>
      <c r="M129" s="1059"/>
    </row>
    <row r="130" spans="1:13" s="3" customFormat="1" ht="27" customHeight="1" x14ac:dyDescent="0.25">
      <c r="A130" s="1022"/>
      <c r="B130" s="1023"/>
      <c r="C130" s="1022"/>
      <c r="D130" s="1024"/>
      <c r="E130" s="1015"/>
      <c r="F130" s="98" t="s">
        <v>263</v>
      </c>
      <c r="G130" s="98" t="s">
        <v>259</v>
      </c>
      <c r="H130" s="98" t="s">
        <v>260</v>
      </c>
      <c r="I130" s="98" t="s">
        <v>259</v>
      </c>
      <c r="J130" s="98" t="s">
        <v>260</v>
      </c>
      <c r="K130" s="98" t="s">
        <v>259</v>
      </c>
      <c r="L130" s="325" t="s">
        <v>260</v>
      </c>
      <c r="M130" s="325" t="s">
        <v>259</v>
      </c>
    </row>
    <row r="131" spans="1:13" ht="5.65" customHeight="1" x14ac:dyDescent="0.25"/>
    <row r="132" spans="1:13" ht="14.1" customHeight="1" x14ac:dyDescent="0.25">
      <c r="A132" s="1021" t="s">
        <v>194</v>
      </c>
      <c r="B132" s="1021"/>
      <c r="C132" s="1021"/>
      <c r="D132" s="1021"/>
      <c r="E132" s="1021"/>
      <c r="F132" s="1021"/>
      <c r="G132" s="1021"/>
      <c r="H132" s="1021"/>
      <c r="I132" s="1021"/>
      <c r="J132" s="102"/>
      <c r="K132" s="102"/>
      <c r="L132" s="102"/>
      <c r="M132" s="102"/>
    </row>
    <row r="133" spans="1:13" ht="14.1" customHeight="1" x14ac:dyDescent="0.25">
      <c r="A133" s="24" t="s">
        <v>195</v>
      </c>
      <c r="B133" s="24" t="s">
        <v>196</v>
      </c>
      <c r="C133" s="25" t="s">
        <v>197</v>
      </c>
      <c r="D133" s="26">
        <f>F133+H133+J133</f>
        <v>0</v>
      </c>
      <c r="E133" s="26">
        <f>G133+I133+K133</f>
        <v>380</v>
      </c>
      <c r="F133" s="26"/>
      <c r="G133" s="26"/>
      <c r="H133" s="26"/>
      <c r="I133" s="26">
        <v>380</v>
      </c>
      <c r="J133" s="26"/>
      <c r="K133" s="26"/>
      <c r="L133" s="26"/>
      <c r="M133" s="26"/>
    </row>
    <row r="134" spans="1:13" ht="14.1" customHeight="1" x14ac:dyDescent="0.25">
      <c r="A134" s="24" t="s">
        <v>198</v>
      </c>
      <c r="B134" s="24" t="s">
        <v>199</v>
      </c>
      <c r="C134" s="25" t="s">
        <v>200</v>
      </c>
      <c r="D134" s="26">
        <f t="shared" ref="D134:D146" si="75">F134+H134+J134</f>
        <v>0</v>
      </c>
      <c r="E134" s="26">
        <f t="shared" ref="E134:E145" si="76">G134+I134+K134</f>
        <v>0</v>
      </c>
      <c r="F134" s="26"/>
      <c r="G134" s="26"/>
      <c r="H134" s="26"/>
      <c r="I134" s="26"/>
      <c r="J134" s="26"/>
      <c r="K134" s="26"/>
      <c r="L134" s="26"/>
      <c r="M134" s="26"/>
    </row>
    <row r="135" spans="1:13" ht="14.1" customHeight="1" x14ac:dyDescent="0.25">
      <c r="A135" s="24" t="s">
        <v>201</v>
      </c>
      <c r="B135" s="24" t="s">
        <v>202</v>
      </c>
      <c r="C135" s="25" t="s">
        <v>203</v>
      </c>
      <c r="D135" s="26">
        <f t="shared" si="75"/>
        <v>0</v>
      </c>
      <c r="E135" s="26">
        <f t="shared" si="76"/>
        <v>0</v>
      </c>
      <c r="F135" s="26"/>
      <c r="G135" s="26"/>
      <c r="H135" s="26"/>
      <c r="I135" s="26"/>
      <c r="J135" s="26"/>
      <c r="K135" s="26"/>
      <c r="L135" s="26"/>
      <c r="M135" s="26"/>
    </row>
    <row r="136" spans="1:13" ht="14.1" customHeight="1" x14ac:dyDescent="0.25">
      <c r="A136" s="24" t="s">
        <v>204</v>
      </c>
      <c r="B136" s="24" t="s">
        <v>205</v>
      </c>
      <c r="C136" s="25" t="s">
        <v>206</v>
      </c>
      <c r="D136" s="26">
        <f t="shared" si="75"/>
        <v>1100</v>
      </c>
      <c r="E136" s="26">
        <f t="shared" si="76"/>
        <v>670</v>
      </c>
      <c r="F136" s="26">
        <v>1100</v>
      </c>
      <c r="G136" s="26"/>
      <c r="H136" s="26"/>
      <c r="I136" s="26">
        <v>670</v>
      </c>
      <c r="J136" s="26"/>
      <c r="K136" s="26"/>
      <c r="L136" s="26"/>
      <c r="M136" s="26"/>
    </row>
    <row r="137" spans="1:13" ht="14.1" customHeight="1" x14ac:dyDescent="0.25">
      <c r="A137" s="24"/>
      <c r="B137" s="24" t="s">
        <v>207</v>
      </c>
      <c r="C137" s="25" t="s">
        <v>208</v>
      </c>
      <c r="D137" s="26">
        <f t="shared" si="75"/>
        <v>0</v>
      </c>
      <c r="E137" s="26">
        <f t="shared" si="76"/>
        <v>0</v>
      </c>
      <c r="F137" s="26"/>
      <c r="G137" s="26"/>
      <c r="H137" s="26"/>
      <c r="I137" s="26"/>
      <c r="J137" s="26"/>
      <c r="K137" s="26"/>
      <c r="L137" s="26"/>
      <c r="M137" s="26"/>
    </row>
    <row r="138" spans="1:13" ht="14.1" customHeight="1" x14ac:dyDescent="0.25">
      <c r="A138" s="24" t="s">
        <v>209</v>
      </c>
      <c r="B138" s="24" t="s">
        <v>210</v>
      </c>
      <c r="C138" s="25" t="s">
        <v>211</v>
      </c>
      <c r="D138" s="26">
        <f t="shared" si="75"/>
        <v>0</v>
      </c>
      <c r="E138" s="26">
        <f t="shared" si="76"/>
        <v>0</v>
      </c>
      <c r="F138" s="26"/>
      <c r="G138" s="26"/>
      <c r="H138" s="26"/>
      <c r="I138" s="26"/>
      <c r="J138" s="26"/>
      <c r="K138" s="26"/>
      <c r="L138" s="26"/>
      <c r="M138" s="26"/>
    </row>
    <row r="139" spans="1:13" ht="14.1" customHeight="1" x14ac:dyDescent="0.25">
      <c r="A139" s="24" t="s">
        <v>212</v>
      </c>
      <c r="B139" s="24" t="s">
        <v>213</v>
      </c>
      <c r="C139" s="25" t="s">
        <v>214</v>
      </c>
      <c r="D139" s="26">
        <f t="shared" si="75"/>
        <v>0</v>
      </c>
      <c r="E139" s="26">
        <f t="shared" si="76"/>
        <v>0</v>
      </c>
      <c r="F139" s="26"/>
      <c r="G139" s="26"/>
      <c r="H139" s="26"/>
      <c r="I139" s="26"/>
      <c r="J139" s="26"/>
      <c r="K139" s="26"/>
      <c r="L139" s="26"/>
      <c r="M139" s="26"/>
    </row>
    <row r="140" spans="1:13" ht="14.1" customHeight="1" x14ac:dyDescent="0.25">
      <c r="A140" s="24" t="s">
        <v>215</v>
      </c>
      <c r="B140" s="24" t="s">
        <v>216</v>
      </c>
      <c r="C140" s="25" t="s">
        <v>217</v>
      </c>
      <c r="D140" s="26">
        <f t="shared" si="75"/>
        <v>297</v>
      </c>
      <c r="E140" s="26">
        <f t="shared" si="76"/>
        <v>284</v>
      </c>
      <c r="F140" s="26">
        <v>297</v>
      </c>
      <c r="G140" s="26">
        <f>ROUND((G133+G134+G135+G136+G137)*0.27,0)</f>
        <v>0</v>
      </c>
      <c r="H140" s="26">
        <v>0</v>
      </c>
      <c r="I140" s="26">
        <f>ROUND((I133+I134+I135+I136+I137)*0.27,0)</f>
        <v>284</v>
      </c>
      <c r="J140" s="26"/>
      <c r="K140" s="26"/>
      <c r="L140" s="26"/>
      <c r="M140" s="26"/>
    </row>
    <row r="141" spans="1:13" s="3" customFormat="1" ht="14.1" customHeight="1" x14ac:dyDescent="0.25">
      <c r="A141" s="20" t="s">
        <v>218</v>
      </c>
      <c r="B141" s="21" t="s">
        <v>219</v>
      </c>
      <c r="C141" s="23" t="s">
        <v>220</v>
      </c>
      <c r="D141" s="23">
        <f>SUM(D133:D140)</f>
        <v>1397</v>
      </c>
      <c r="E141" s="23">
        <f t="shared" ref="E141:K141" si="77">SUM(E133:E140)</f>
        <v>1334</v>
      </c>
      <c r="F141" s="23">
        <f t="shared" si="77"/>
        <v>1397</v>
      </c>
      <c r="G141" s="23">
        <f t="shared" si="77"/>
        <v>0</v>
      </c>
      <c r="H141" s="23">
        <f t="shared" si="77"/>
        <v>0</v>
      </c>
      <c r="I141" s="23">
        <f t="shared" si="77"/>
        <v>1334</v>
      </c>
      <c r="J141" s="23">
        <f t="shared" si="77"/>
        <v>0</v>
      </c>
      <c r="K141" s="23">
        <f t="shared" si="77"/>
        <v>0</v>
      </c>
      <c r="L141" s="23">
        <f t="shared" ref="L141:M141" si="78">SUM(L133:L140)</f>
        <v>0</v>
      </c>
      <c r="M141" s="23">
        <f t="shared" si="78"/>
        <v>0</v>
      </c>
    </row>
    <row r="142" spans="1:13" ht="14.1" customHeight="1" x14ac:dyDescent="0.25">
      <c r="A142" s="24" t="s">
        <v>221</v>
      </c>
      <c r="B142" s="24" t="s">
        <v>222</v>
      </c>
      <c r="C142" s="25" t="s">
        <v>223</v>
      </c>
      <c r="D142" s="26">
        <f t="shared" si="75"/>
        <v>0</v>
      </c>
      <c r="E142" s="26">
        <f t="shared" si="76"/>
        <v>0</v>
      </c>
      <c r="F142" s="26"/>
      <c r="G142" s="26"/>
      <c r="H142" s="26"/>
      <c r="I142" s="26"/>
      <c r="J142" s="26"/>
      <c r="K142" s="26"/>
      <c r="L142" s="26"/>
      <c r="M142" s="26"/>
    </row>
    <row r="143" spans="1:13" ht="14.1" customHeight="1" x14ac:dyDescent="0.25">
      <c r="A143" s="24" t="s">
        <v>224</v>
      </c>
      <c r="B143" s="24" t="s">
        <v>225</v>
      </c>
      <c r="C143" s="25" t="s">
        <v>226</v>
      </c>
      <c r="D143" s="26">
        <f t="shared" si="75"/>
        <v>0</v>
      </c>
      <c r="E143" s="26">
        <f t="shared" si="76"/>
        <v>0</v>
      </c>
      <c r="F143" s="26"/>
      <c r="G143" s="26"/>
      <c r="H143" s="26"/>
      <c r="I143" s="26"/>
      <c r="J143" s="26"/>
      <c r="K143" s="26"/>
      <c r="L143" s="26"/>
      <c r="M143" s="26"/>
    </row>
    <row r="144" spans="1:13" ht="14.1" customHeight="1" x14ac:dyDescent="0.25">
      <c r="A144" s="24" t="s">
        <v>227</v>
      </c>
      <c r="B144" s="24" t="s">
        <v>228</v>
      </c>
      <c r="C144" s="25" t="s">
        <v>229</v>
      </c>
      <c r="D144" s="26">
        <f t="shared" si="75"/>
        <v>0</v>
      </c>
      <c r="E144" s="26">
        <f t="shared" si="76"/>
        <v>0</v>
      </c>
      <c r="F144" s="26"/>
      <c r="G144" s="26"/>
      <c r="H144" s="26"/>
      <c r="I144" s="26"/>
      <c r="J144" s="26"/>
      <c r="K144" s="26"/>
      <c r="L144" s="26"/>
      <c r="M144" s="26"/>
    </row>
    <row r="145" spans="1:13" ht="14.1" customHeight="1" x14ac:dyDescent="0.25">
      <c r="A145" s="24"/>
      <c r="B145" s="24" t="s">
        <v>230</v>
      </c>
      <c r="C145" s="25" t="s">
        <v>231</v>
      </c>
      <c r="D145" s="26">
        <f t="shared" si="75"/>
        <v>0</v>
      </c>
      <c r="E145" s="26">
        <f t="shared" si="76"/>
        <v>0</v>
      </c>
      <c r="F145" s="26"/>
      <c r="G145" s="26"/>
      <c r="H145" s="26"/>
      <c r="I145" s="26"/>
      <c r="J145" s="26"/>
      <c r="K145" s="26"/>
      <c r="L145" s="26"/>
      <c r="M145" s="26"/>
    </row>
    <row r="146" spans="1:13" ht="14.1" customHeight="1" x14ac:dyDescent="0.25">
      <c r="A146" s="24" t="s">
        <v>232</v>
      </c>
      <c r="B146" s="24" t="s">
        <v>233</v>
      </c>
      <c r="C146" s="25" t="s">
        <v>234</v>
      </c>
      <c r="D146" s="26">
        <f t="shared" si="75"/>
        <v>0</v>
      </c>
      <c r="E146" s="26">
        <f t="shared" ref="E146" si="79">G146+I146</f>
        <v>0</v>
      </c>
      <c r="F146" s="26">
        <v>0</v>
      </c>
      <c r="G146" s="26">
        <f>ROUND((G142+G143+G144+G145)*0.27,0)</f>
        <v>0</v>
      </c>
      <c r="H146" s="26">
        <v>0</v>
      </c>
      <c r="I146" s="26">
        <f>ROUND((I142+I143+I144+I145)*0.27,0)</f>
        <v>0</v>
      </c>
      <c r="J146" s="26"/>
      <c r="K146" s="26"/>
      <c r="L146" s="26"/>
      <c r="M146" s="26"/>
    </row>
    <row r="147" spans="1:13" s="3" customFormat="1" ht="14.1" customHeight="1" x14ac:dyDescent="0.25">
      <c r="A147" s="20" t="s">
        <v>235</v>
      </c>
      <c r="B147" s="21" t="s">
        <v>236</v>
      </c>
      <c r="C147" s="23" t="s">
        <v>237</v>
      </c>
      <c r="D147" s="23">
        <f>SUM(D142:D146)</f>
        <v>0</v>
      </c>
      <c r="E147" s="23">
        <f t="shared" ref="E147:K147" si="80">SUM(E142:E146)</f>
        <v>0</v>
      </c>
      <c r="F147" s="23">
        <f t="shared" si="80"/>
        <v>0</v>
      </c>
      <c r="G147" s="23">
        <f t="shared" si="80"/>
        <v>0</v>
      </c>
      <c r="H147" s="23">
        <f t="shared" si="80"/>
        <v>0</v>
      </c>
      <c r="I147" s="23">
        <f t="shared" si="80"/>
        <v>0</v>
      </c>
      <c r="J147" s="23">
        <f t="shared" si="80"/>
        <v>0</v>
      </c>
      <c r="K147" s="23">
        <f t="shared" si="80"/>
        <v>0</v>
      </c>
      <c r="L147" s="23">
        <f t="shared" ref="L147:M147" si="81">SUM(L142:L146)</f>
        <v>0</v>
      </c>
      <c r="M147" s="23">
        <f t="shared" si="81"/>
        <v>0</v>
      </c>
    </row>
    <row r="148" spans="1:13" s="3" customFormat="1" ht="14.1" customHeight="1" x14ac:dyDescent="0.25">
      <c r="A148" s="1025" t="s">
        <v>293</v>
      </c>
      <c r="B148" s="1026"/>
      <c r="C148" s="1027" t="s">
        <v>238</v>
      </c>
      <c r="D148" s="28">
        <f>D141+D147</f>
        <v>1397</v>
      </c>
      <c r="E148" s="28">
        <f t="shared" ref="E148:K148" si="82">E141+E147</f>
        <v>1334</v>
      </c>
      <c r="F148" s="28">
        <f t="shared" si="82"/>
        <v>1397</v>
      </c>
      <c r="G148" s="28">
        <f t="shared" si="82"/>
        <v>0</v>
      </c>
      <c r="H148" s="28">
        <f t="shared" si="82"/>
        <v>0</v>
      </c>
      <c r="I148" s="28">
        <f t="shared" si="82"/>
        <v>1334</v>
      </c>
      <c r="J148" s="28">
        <f t="shared" si="82"/>
        <v>0</v>
      </c>
      <c r="K148" s="28">
        <f t="shared" si="82"/>
        <v>0</v>
      </c>
      <c r="L148" s="28">
        <f t="shared" ref="L148:M148" si="83">L141+L147</f>
        <v>0</v>
      </c>
      <c r="M148" s="28">
        <f t="shared" si="83"/>
        <v>0</v>
      </c>
    </row>
    <row r="149" spans="1:13" ht="6.75" customHeight="1" x14ac:dyDescent="0.25"/>
    <row r="150" spans="1:13" ht="14.1" customHeight="1" x14ac:dyDescent="0.25">
      <c r="A150" s="1018" t="s">
        <v>294</v>
      </c>
      <c r="B150" s="1019"/>
      <c r="C150" s="1020"/>
      <c r="D150" s="30">
        <f>D148+D124</f>
        <v>126336</v>
      </c>
      <c r="E150" s="30">
        <f t="shared" ref="E150:K150" si="84">E148+E124</f>
        <v>143279</v>
      </c>
      <c r="F150" s="30">
        <f t="shared" si="84"/>
        <v>19834</v>
      </c>
      <c r="G150" s="30">
        <f t="shared" si="84"/>
        <v>18121</v>
      </c>
      <c r="H150" s="30">
        <f t="shared" si="84"/>
        <v>102444</v>
      </c>
      <c r="I150" s="30">
        <f t="shared" si="84"/>
        <v>113036</v>
      </c>
      <c r="J150" s="30">
        <f t="shared" si="84"/>
        <v>4058</v>
      </c>
      <c r="K150" s="30">
        <f t="shared" si="84"/>
        <v>4122</v>
      </c>
      <c r="L150" s="30">
        <f t="shared" ref="L150:M150" si="85">L148+L124</f>
        <v>0</v>
      </c>
      <c r="M150" s="30">
        <f t="shared" si="85"/>
        <v>8000</v>
      </c>
    </row>
    <row r="155" spans="1:13" s="1" customFormat="1" ht="12.75" customHeight="1" x14ac:dyDescent="0.25">
      <c r="A155" s="1060" t="s">
        <v>607</v>
      </c>
      <c r="B155" s="1061"/>
      <c r="C155" s="1061"/>
      <c r="D155" s="1061"/>
      <c r="E155" s="1061"/>
      <c r="F155" s="1061"/>
      <c r="G155" s="1061"/>
      <c r="H155" s="1061"/>
      <c r="I155" s="1061"/>
      <c r="J155" s="1061"/>
      <c r="K155" s="1061"/>
      <c r="L155" s="1061"/>
      <c r="M155" s="1061"/>
    </row>
    <row r="156" spans="1:13" s="1" customFormat="1" ht="14.1" customHeight="1" x14ac:dyDescent="0.25">
      <c r="A156" s="1022" t="s">
        <v>0</v>
      </c>
      <c r="B156" s="1023" t="s">
        <v>1</v>
      </c>
      <c r="C156" s="1022" t="s">
        <v>2</v>
      </c>
      <c r="D156" s="1024" t="s">
        <v>260</v>
      </c>
      <c r="E156" s="1014" t="s">
        <v>259</v>
      </c>
      <c r="F156" s="1016" t="s">
        <v>603</v>
      </c>
      <c r="G156" s="1017"/>
      <c r="H156" s="1016" t="s">
        <v>604</v>
      </c>
      <c r="I156" s="1017"/>
      <c r="J156" s="1016" t="s">
        <v>605</v>
      </c>
      <c r="K156" s="1017"/>
      <c r="L156" s="1058" t="s">
        <v>1274</v>
      </c>
      <c r="M156" s="1059"/>
    </row>
    <row r="157" spans="1:13" s="3" customFormat="1" ht="23.25" customHeight="1" x14ac:dyDescent="0.25">
      <c r="A157" s="1022"/>
      <c r="B157" s="1023"/>
      <c r="C157" s="1022"/>
      <c r="D157" s="1024"/>
      <c r="E157" s="1015"/>
      <c r="F157" s="98" t="s">
        <v>263</v>
      </c>
      <c r="G157" s="98" t="s">
        <v>259</v>
      </c>
      <c r="H157" s="98" t="s">
        <v>260</v>
      </c>
      <c r="I157" s="98" t="s">
        <v>259</v>
      </c>
      <c r="J157" s="98" t="s">
        <v>260</v>
      </c>
      <c r="K157" s="98" t="s">
        <v>259</v>
      </c>
      <c r="L157" s="325" t="s">
        <v>260</v>
      </c>
      <c r="M157" s="325" t="s">
        <v>259</v>
      </c>
    </row>
    <row r="158" spans="1:13" ht="5.65" customHeight="1" x14ac:dyDescent="0.25"/>
    <row r="159" spans="1:13" ht="14.1" customHeight="1" x14ac:dyDescent="0.25">
      <c r="A159" s="1021" t="s">
        <v>239</v>
      </c>
      <c r="B159" s="1021"/>
      <c r="C159" s="1021"/>
      <c r="D159" s="1021"/>
      <c r="E159" s="1021"/>
      <c r="F159" s="1021"/>
      <c r="G159" s="1021"/>
      <c r="H159" s="1021"/>
      <c r="I159" s="1021"/>
      <c r="J159" s="102"/>
      <c r="K159" s="102"/>
      <c r="L159" s="102"/>
      <c r="M159" s="102"/>
    </row>
    <row r="160" spans="1:13" s="3" customFormat="1" ht="14.1" customHeight="1" x14ac:dyDescent="0.25">
      <c r="A160" s="20" t="s">
        <v>240</v>
      </c>
      <c r="B160" s="20"/>
      <c r="C160" s="21" t="s">
        <v>241</v>
      </c>
      <c r="D160" s="23">
        <f>SUM(D161:D170)</f>
        <v>34002</v>
      </c>
      <c r="E160" s="23">
        <f t="shared" ref="E160:K160" si="86">SUM(E161:E170)</f>
        <v>34002</v>
      </c>
      <c r="F160" s="23">
        <f t="shared" si="86"/>
        <v>14991</v>
      </c>
      <c r="G160" s="23">
        <f t="shared" si="86"/>
        <v>14991</v>
      </c>
      <c r="H160" s="23">
        <f t="shared" si="86"/>
        <v>19011</v>
      </c>
      <c r="I160" s="23">
        <f t="shared" si="86"/>
        <v>19011</v>
      </c>
      <c r="J160" s="23">
        <f t="shared" si="86"/>
        <v>0</v>
      </c>
      <c r="K160" s="23">
        <f t="shared" si="86"/>
        <v>0</v>
      </c>
      <c r="L160" s="23">
        <f t="shared" ref="L160:M160" si="87">SUM(L161:L170)</f>
        <v>0</v>
      </c>
      <c r="M160" s="23">
        <f t="shared" si="87"/>
        <v>0</v>
      </c>
    </row>
    <row r="161" spans="1:13" ht="14.1" customHeight="1" x14ac:dyDescent="0.25">
      <c r="A161" s="24" t="s">
        <v>242</v>
      </c>
      <c r="B161" s="24"/>
      <c r="C161" s="25" t="s">
        <v>243</v>
      </c>
      <c r="D161" s="26">
        <f t="shared" ref="D161:D170" si="88">F161+H161+J161</f>
        <v>0</v>
      </c>
      <c r="E161" s="26">
        <f>G161+I161+K161</f>
        <v>0</v>
      </c>
      <c r="F161" s="26"/>
      <c r="G161" s="26"/>
      <c r="H161" s="26"/>
      <c r="I161" s="26"/>
      <c r="J161" s="26"/>
      <c r="K161" s="26"/>
      <c r="L161" s="26"/>
      <c r="M161" s="26"/>
    </row>
    <row r="162" spans="1:13" ht="14.1" customHeight="1" x14ac:dyDescent="0.25">
      <c r="A162" s="24" t="s">
        <v>244</v>
      </c>
      <c r="B162" s="24"/>
      <c r="C162" s="25" t="s">
        <v>245</v>
      </c>
      <c r="D162" s="26">
        <f t="shared" si="88"/>
        <v>22340</v>
      </c>
      <c r="E162" s="26">
        <f t="shared" ref="E162:E170" si="89">G162+I162+K162</f>
        <v>22340</v>
      </c>
      <c r="F162" s="26">
        <v>11410</v>
      </c>
      <c r="G162" s="26">
        <v>11410</v>
      </c>
      <c r="H162" s="26">
        <v>10930</v>
      </c>
      <c r="I162" s="26">
        <v>10930</v>
      </c>
      <c r="J162" s="26"/>
      <c r="K162" s="26"/>
      <c r="L162" s="26"/>
      <c r="M162" s="26"/>
    </row>
    <row r="163" spans="1:13" ht="14.1" customHeight="1" x14ac:dyDescent="0.25">
      <c r="A163" s="24" t="s">
        <v>246</v>
      </c>
      <c r="B163" s="24"/>
      <c r="C163" s="25" t="s">
        <v>247</v>
      </c>
      <c r="D163" s="26">
        <f t="shared" si="88"/>
        <v>4000</v>
      </c>
      <c r="E163" s="26">
        <f t="shared" si="89"/>
        <v>4000</v>
      </c>
      <c r="F163" s="26"/>
      <c r="G163" s="26"/>
      <c r="H163" s="26">
        <v>4000</v>
      </c>
      <c r="I163" s="26">
        <v>4000</v>
      </c>
      <c r="J163" s="26"/>
      <c r="K163" s="26"/>
      <c r="L163" s="26"/>
      <c r="M163" s="26"/>
    </row>
    <row r="164" spans="1:13" ht="14.1" customHeight="1" x14ac:dyDescent="0.25">
      <c r="A164" s="24" t="s">
        <v>248</v>
      </c>
      <c r="B164" s="24"/>
      <c r="C164" s="25" t="s">
        <v>249</v>
      </c>
      <c r="D164" s="26">
        <f t="shared" si="88"/>
        <v>0</v>
      </c>
      <c r="E164" s="26">
        <f t="shared" si="89"/>
        <v>0</v>
      </c>
      <c r="F164" s="26"/>
      <c r="G164" s="26"/>
      <c r="H164" s="26"/>
      <c r="I164" s="26"/>
      <c r="J164" s="26"/>
      <c r="K164" s="26"/>
      <c r="L164" s="26"/>
      <c r="M164" s="26"/>
    </row>
    <row r="165" spans="1:13" ht="14.1" customHeight="1" x14ac:dyDescent="0.25">
      <c r="A165" s="24" t="s">
        <v>296</v>
      </c>
      <c r="B165" s="24"/>
      <c r="C165" s="25" t="s">
        <v>297</v>
      </c>
      <c r="D165" s="26">
        <f t="shared" si="88"/>
        <v>0</v>
      </c>
      <c r="E165" s="26">
        <f t="shared" si="89"/>
        <v>0</v>
      </c>
      <c r="F165" s="26"/>
      <c r="G165" s="26"/>
      <c r="H165" s="26"/>
      <c r="I165" s="26"/>
      <c r="J165" s="26"/>
      <c r="K165" s="26"/>
      <c r="L165" s="26"/>
      <c r="M165" s="26"/>
    </row>
    <row r="166" spans="1:13" ht="14.1" customHeight="1" x14ac:dyDescent="0.25">
      <c r="A166" s="24" t="s">
        <v>250</v>
      </c>
      <c r="B166" s="24"/>
      <c r="C166" s="25" t="s">
        <v>251</v>
      </c>
      <c r="D166" s="26">
        <f t="shared" si="88"/>
        <v>7112</v>
      </c>
      <c r="E166" s="26">
        <f t="shared" si="89"/>
        <v>7112</v>
      </c>
      <c r="F166" s="26">
        <v>3081</v>
      </c>
      <c r="G166" s="26">
        <f>ROUND((G161+G162+G163+G164+G165)*0.27,0)</f>
        <v>3081</v>
      </c>
      <c r="H166" s="26">
        <v>4031</v>
      </c>
      <c r="I166" s="26">
        <f>ROUND((I161+I162+I163+I164+I165)*0.27,0)</f>
        <v>4031</v>
      </c>
      <c r="J166" s="26"/>
      <c r="K166" s="26"/>
      <c r="L166" s="26"/>
      <c r="M166" s="26"/>
    </row>
    <row r="167" spans="1:13" ht="14.1" customHeight="1" x14ac:dyDescent="0.25">
      <c r="A167" s="24" t="s">
        <v>298</v>
      </c>
      <c r="B167" s="24"/>
      <c r="C167" s="25" t="s">
        <v>299</v>
      </c>
      <c r="D167" s="26">
        <f t="shared" si="88"/>
        <v>0</v>
      </c>
      <c r="E167" s="26">
        <f t="shared" si="89"/>
        <v>0</v>
      </c>
      <c r="F167" s="26"/>
      <c r="G167" s="26"/>
      <c r="H167" s="26"/>
      <c r="I167" s="26"/>
      <c r="J167" s="26"/>
      <c r="K167" s="26"/>
      <c r="L167" s="26"/>
      <c r="M167" s="26"/>
    </row>
    <row r="168" spans="1:13" ht="14.1" customHeight="1" x14ac:dyDescent="0.25">
      <c r="A168" s="24" t="s">
        <v>252</v>
      </c>
      <c r="B168" s="24"/>
      <c r="C168" s="25" t="s">
        <v>253</v>
      </c>
      <c r="D168" s="26">
        <f t="shared" si="88"/>
        <v>50</v>
      </c>
      <c r="E168" s="26">
        <f t="shared" si="89"/>
        <v>50</v>
      </c>
      <c r="F168" s="26"/>
      <c r="G168" s="26"/>
      <c r="H168" s="26">
        <v>50</v>
      </c>
      <c r="I168" s="26">
        <v>50</v>
      </c>
      <c r="J168" s="26"/>
      <c r="K168" s="26"/>
      <c r="L168" s="26"/>
      <c r="M168" s="26"/>
    </row>
    <row r="169" spans="1:13" ht="14.1" customHeight="1" x14ac:dyDescent="0.25">
      <c r="A169" s="24" t="s">
        <v>300</v>
      </c>
      <c r="B169" s="24"/>
      <c r="C169" s="25" t="s">
        <v>301</v>
      </c>
      <c r="D169" s="26">
        <f t="shared" si="88"/>
        <v>0</v>
      </c>
      <c r="E169" s="26">
        <f t="shared" si="89"/>
        <v>0</v>
      </c>
      <c r="F169" s="26"/>
      <c r="G169" s="26"/>
      <c r="H169" s="26"/>
      <c r="I169" s="26"/>
      <c r="J169" s="26"/>
      <c r="K169" s="26"/>
      <c r="L169" s="26"/>
      <c r="M169" s="26"/>
    </row>
    <row r="170" spans="1:13" ht="14.1" customHeight="1" x14ac:dyDescent="0.25">
      <c r="A170" s="24" t="s">
        <v>254</v>
      </c>
      <c r="B170" s="24"/>
      <c r="C170" s="25" t="s">
        <v>255</v>
      </c>
      <c r="D170" s="26">
        <f t="shared" si="88"/>
        <v>500</v>
      </c>
      <c r="E170" s="26">
        <f t="shared" si="89"/>
        <v>500</v>
      </c>
      <c r="F170" s="26">
        <v>500</v>
      </c>
      <c r="G170" s="26">
        <v>500</v>
      </c>
      <c r="H170" s="26"/>
      <c r="I170" s="26"/>
      <c r="J170" s="26"/>
      <c r="K170" s="26"/>
      <c r="L170" s="26"/>
      <c r="M170" s="26"/>
    </row>
    <row r="171" spans="1:13" s="3" customFormat="1" ht="14.1" customHeight="1" x14ac:dyDescent="0.25">
      <c r="A171" s="20" t="s">
        <v>256</v>
      </c>
      <c r="B171" s="20"/>
      <c r="C171" s="21" t="s">
        <v>257</v>
      </c>
      <c r="D171" s="23">
        <f>F171+H171</f>
        <v>0</v>
      </c>
      <c r="E171" s="23">
        <f>G171+I171</f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</row>
    <row r="172" spans="1:13" s="3" customFormat="1" ht="14.1" customHeight="1" x14ac:dyDescent="0.25">
      <c r="A172" s="1018" t="s">
        <v>295</v>
      </c>
      <c r="B172" s="1019"/>
      <c r="C172" s="1020"/>
      <c r="D172" s="30">
        <f>D160+D171</f>
        <v>34002</v>
      </c>
      <c r="E172" s="30">
        <f t="shared" ref="E172:K172" si="90">E160+E171</f>
        <v>34002</v>
      </c>
      <c r="F172" s="30">
        <f t="shared" si="90"/>
        <v>14991</v>
      </c>
      <c r="G172" s="30">
        <f t="shared" si="90"/>
        <v>14991</v>
      </c>
      <c r="H172" s="30">
        <f t="shared" si="90"/>
        <v>19011</v>
      </c>
      <c r="I172" s="30">
        <f t="shared" si="90"/>
        <v>19011</v>
      </c>
      <c r="J172" s="30">
        <f t="shared" si="90"/>
        <v>0</v>
      </c>
      <c r="K172" s="30">
        <f t="shared" si="90"/>
        <v>0</v>
      </c>
      <c r="L172" s="30">
        <f t="shared" ref="L172:M172" si="91">L160+L171</f>
        <v>0</v>
      </c>
      <c r="M172" s="30">
        <f t="shared" si="91"/>
        <v>0</v>
      </c>
    </row>
  </sheetData>
  <sheetProtection selectLockedCells="1" selectUnlockedCells="1"/>
  <mergeCells count="49">
    <mergeCell ref="A159:I159"/>
    <mergeCell ref="A172:C172"/>
    <mergeCell ref="A156:A157"/>
    <mergeCell ref="B156:B157"/>
    <mergeCell ref="C156:C157"/>
    <mergeCell ref="D156:D157"/>
    <mergeCell ref="E156:E157"/>
    <mergeCell ref="F156:G156"/>
    <mergeCell ref="A132:I132"/>
    <mergeCell ref="A148:C148"/>
    <mergeCell ref="A150:C150"/>
    <mergeCell ref="H156:I156"/>
    <mergeCell ref="J156:K156"/>
    <mergeCell ref="J41:K41"/>
    <mergeCell ref="A44:I44"/>
    <mergeCell ref="A124:C124"/>
    <mergeCell ref="A129:A130"/>
    <mergeCell ref="B129:B130"/>
    <mergeCell ref="C129:C130"/>
    <mergeCell ref="D129:D130"/>
    <mergeCell ref="E129:E130"/>
    <mergeCell ref="F129:G129"/>
    <mergeCell ref="H129:I129"/>
    <mergeCell ref="J129:K129"/>
    <mergeCell ref="A5:I5"/>
    <mergeCell ref="A39:C39"/>
    <mergeCell ref="A41:A42"/>
    <mergeCell ref="B41:B42"/>
    <mergeCell ref="C41:C42"/>
    <mergeCell ref="D41:D42"/>
    <mergeCell ref="E41:E42"/>
    <mergeCell ref="F41:G41"/>
    <mergeCell ref="H41:I41"/>
    <mergeCell ref="L2:M2"/>
    <mergeCell ref="L41:M41"/>
    <mergeCell ref="L129:M129"/>
    <mergeCell ref="L156:M156"/>
    <mergeCell ref="A1:M1"/>
    <mergeCell ref="A40:M40"/>
    <mergeCell ref="A128:M128"/>
    <mergeCell ref="A155:M155"/>
    <mergeCell ref="A2:A3"/>
    <mergeCell ref="B2:B3"/>
    <mergeCell ref="C2:C3"/>
    <mergeCell ref="D2:D3"/>
    <mergeCell ref="E2:E3"/>
    <mergeCell ref="F2:G2"/>
    <mergeCell ref="H2:I2"/>
    <mergeCell ref="J2:K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54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R211"/>
  <sheetViews>
    <sheetView view="pageBreakPreview" topLeftCell="B1" zoomScale="150" zoomScaleNormal="100" zoomScaleSheetLayoutView="150" workbookViewId="0">
      <pane ySplit="4" topLeftCell="A26" activePane="bottomLeft" state="frozen"/>
      <selection pane="bottomLeft" activeCell="G70" sqref="G70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22" t="s">
        <v>369</v>
      </c>
      <c r="B1" s="1022"/>
      <c r="C1" s="1022"/>
      <c r="D1" s="1022"/>
      <c r="E1" s="1022"/>
      <c r="F1" s="1022"/>
      <c r="G1" s="1022"/>
      <c r="H1" s="1022"/>
      <c r="I1" s="1022"/>
    </row>
    <row r="2" spans="1:9" s="1" customFormat="1" ht="14.1" customHeight="1" x14ac:dyDescent="0.25">
      <c r="A2" s="1022" t="s">
        <v>0</v>
      </c>
      <c r="B2" s="1023" t="s">
        <v>1</v>
      </c>
      <c r="C2" s="1022" t="s">
        <v>2</v>
      </c>
      <c r="D2" s="1024" t="s">
        <v>260</v>
      </c>
      <c r="E2" s="1014" t="s">
        <v>259</v>
      </c>
      <c r="F2" s="1016" t="s">
        <v>261</v>
      </c>
      <c r="G2" s="1017"/>
      <c r="H2" s="1016" t="s">
        <v>262</v>
      </c>
      <c r="I2" s="1017"/>
    </row>
    <row r="3" spans="1:9" s="3" customFormat="1" ht="25.5" customHeight="1" x14ac:dyDescent="0.25">
      <c r="A3" s="1022"/>
      <c r="B3" s="1023"/>
      <c r="C3" s="1022"/>
      <c r="D3" s="1024"/>
      <c r="E3" s="1015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1021" t="s">
        <v>3</v>
      </c>
      <c r="B5" s="1021"/>
      <c r="C5" s="1021"/>
      <c r="D5" s="1021"/>
      <c r="E5" s="1021"/>
      <c r="F5" s="1021"/>
      <c r="G5" s="1021"/>
      <c r="H5" s="1021"/>
      <c r="I5" s="1021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84832</v>
      </c>
      <c r="E6" s="9">
        <f>G6+I6</f>
        <v>83501</v>
      </c>
      <c r="F6" s="10">
        <v>84832</v>
      </c>
      <c r="G6" s="10">
        <f>SUM(G7:G39)</f>
        <v>83501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372</v>
      </c>
      <c r="D7" s="13"/>
      <c r="E7" s="13"/>
      <c r="F7" s="14"/>
      <c r="G7" s="14">
        <v>3996</v>
      </c>
      <c r="H7" s="14"/>
      <c r="I7" s="14"/>
    </row>
    <row r="8" spans="1:9" s="15" customFormat="1" ht="11.45" customHeight="1" x14ac:dyDescent="0.25">
      <c r="A8" s="11"/>
      <c r="B8" s="11"/>
      <c r="C8" s="12" t="s">
        <v>373</v>
      </c>
      <c r="D8" s="13"/>
      <c r="E8" s="13"/>
      <c r="F8" s="14"/>
      <c r="G8" s="14">
        <v>4012</v>
      </c>
      <c r="H8" s="14"/>
      <c r="I8" s="14"/>
    </row>
    <row r="9" spans="1:9" s="15" customFormat="1" ht="11.45" customHeight="1" x14ac:dyDescent="0.25">
      <c r="A9" s="11"/>
      <c r="B9" s="11"/>
      <c r="C9" s="12" t="s">
        <v>374</v>
      </c>
      <c r="D9" s="13"/>
      <c r="E9" s="13"/>
      <c r="F9" s="14"/>
      <c r="G9" s="14">
        <v>3180</v>
      </c>
      <c r="H9" s="14"/>
      <c r="I9" s="14"/>
    </row>
    <row r="10" spans="1:9" s="15" customFormat="1" ht="11.45" customHeight="1" x14ac:dyDescent="0.25">
      <c r="A10" s="11"/>
      <c r="B10" s="11"/>
      <c r="C10" s="12" t="s">
        <v>375</v>
      </c>
      <c r="D10" s="13"/>
      <c r="E10" s="13"/>
      <c r="F10" s="14"/>
      <c r="G10" s="14">
        <v>1541</v>
      </c>
      <c r="H10" s="14"/>
      <c r="I10" s="14"/>
    </row>
    <row r="11" spans="1:9" s="15" customFormat="1" ht="11.45" customHeight="1" x14ac:dyDescent="0.25">
      <c r="A11" s="11"/>
      <c r="B11" s="11"/>
      <c r="C11" s="12" t="s">
        <v>376</v>
      </c>
      <c r="D11" s="13"/>
      <c r="E11" s="13"/>
      <c r="F11" s="14"/>
      <c r="G11" s="14">
        <v>2865</v>
      </c>
      <c r="H11" s="14"/>
      <c r="I11" s="14"/>
    </row>
    <row r="12" spans="1:9" s="15" customFormat="1" ht="11.45" customHeight="1" x14ac:dyDescent="0.25">
      <c r="A12" s="11"/>
      <c r="B12" s="11"/>
      <c r="C12" s="12" t="s">
        <v>377</v>
      </c>
      <c r="D12" s="13"/>
      <c r="E12" s="13"/>
      <c r="F12" s="14"/>
      <c r="G12" s="14">
        <v>4937</v>
      </c>
      <c r="H12" s="14"/>
      <c r="I12" s="14"/>
    </row>
    <row r="13" spans="1:9" s="15" customFormat="1" ht="11.45" customHeight="1" x14ac:dyDescent="0.25">
      <c r="A13" s="11"/>
      <c r="B13" s="11"/>
      <c r="C13" s="12" t="s">
        <v>378</v>
      </c>
      <c r="D13" s="13"/>
      <c r="E13" s="13"/>
      <c r="F13" s="14"/>
      <c r="G13" s="14">
        <f>1615+7*12</f>
        <v>1699</v>
      </c>
      <c r="H13" s="14"/>
      <c r="I13" s="14"/>
    </row>
    <row r="14" spans="1:9" s="15" customFormat="1" ht="11.45" customHeight="1" x14ac:dyDescent="0.25">
      <c r="A14" s="11"/>
      <c r="B14" s="11"/>
      <c r="C14" s="12" t="s">
        <v>379</v>
      </c>
      <c r="D14" s="13"/>
      <c r="E14" s="13"/>
      <c r="F14" s="14"/>
      <c r="G14" s="14">
        <v>3188</v>
      </c>
      <c r="H14" s="14"/>
      <c r="I14" s="14"/>
    </row>
    <row r="15" spans="1:9" s="15" customFormat="1" ht="11.45" customHeight="1" x14ac:dyDescent="0.25">
      <c r="A15" s="11"/>
      <c r="B15" s="11"/>
      <c r="C15" s="12" t="s">
        <v>380</v>
      </c>
      <c r="D15" s="13"/>
      <c r="E15" s="13"/>
      <c r="F15" s="14"/>
      <c r="G15" s="14">
        <v>3901</v>
      </c>
      <c r="H15" s="14"/>
      <c r="I15" s="14"/>
    </row>
    <row r="16" spans="1:9" s="15" customFormat="1" ht="11.45" customHeight="1" x14ac:dyDescent="0.25">
      <c r="A16" s="11"/>
      <c r="B16" s="11"/>
      <c r="C16" s="12" t="s">
        <v>381</v>
      </c>
      <c r="D16" s="13"/>
      <c r="E16" s="13"/>
      <c r="F16" s="14"/>
      <c r="G16" s="14">
        <v>4115</v>
      </c>
      <c r="H16" s="14"/>
      <c r="I16" s="14"/>
    </row>
    <row r="17" spans="1:9" s="15" customFormat="1" ht="11.45" customHeight="1" x14ac:dyDescent="0.25">
      <c r="A17" s="11"/>
      <c r="B17" s="11"/>
      <c r="C17" s="12" t="s">
        <v>382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383</v>
      </c>
      <c r="D18" s="13"/>
      <c r="E18" s="13"/>
      <c r="F18" s="14"/>
      <c r="G18" s="14">
        <v>1541</v>
      </c>
      <c r="H18" s="14"/>
      <c r="I18" s="14"/>
    </row>
    <row r="19" spans="1:9" s="15" customFormat="1" ht="11.45" customHeight="1" x14ac:dyDescent="0.25">
      <c r="A19" s="11"/>
      <c r="B19" s="11"/>
      <c r="C19" s="12" t="s">
        <v>384</v>
      </c>
      <c r="D19" s="13"/>
      <c r="E19" s="13"/>
      <c r="F19" s="14"/>
      <c r="G19" s="14">
        <f>1624+7*12</f>
        <v>1708</v>
      </c>
      <c r="H19" s="14"/>
      <c r="I19" s="14"/>
    </row>
    <row r="20" spans="1:9" s="15" customFormat="1" ht="11.45" customHeight="1" x14ac:dyDescent="0.25">
      <c r="A20" s="11"/>
      <c r="B20" s="11"/>
      <c r="C20" s="12" t="s">
        <v>385</v>
      </c>
      <c r="D20" s="13"/>
      <c r="E20" s="13"/>
      <c r="F20" s="14"/>
      <c r="G20" s="14">
        <v>3900</v>
      </c>
      <c r="H20" s="14"/>
      <c r="I20" s="14"/>
    </row>
    <row r="21" spans="1:9" s="15" customFormat="1" ht="11.45" customHeight="1" x14ac:dyDescent="0.25">
      <c r="A21" s="11"/>
      <c r="B21" s="11"/>
      <c r="C21" s="12" t="s">
        <v>386</v>
      </c>
      <c r="D21" s="13"/>
      <c r="E21" s="13"/>
      <c r="F21" s="14"/>
      <c r="G21" s="14">
        <v>1541</v>
      </c>
      <c r="H21" s="14"/>
      <c r="I21" s="14"/>
    </row>
    <row r="22" spans="1:9" s="15" customFormat="1" ht="11.45" customHeight="1" x14ac:dyDescent="0.25">
      <c r="A22" s="11"/>
      <c r="B22" s="11"/>
      <c r="C22" s="12" t="s">
        <v>387</v>
      </c>
      <c r="D22" s="13"/>
      <c r="E22" s="13"/>
      <c r="F22" s="14"/>
      <c r="G22" s="14">
        <v>2769</v>
      </c>
      <c r="H22" s="14"/>
      <c r="I22" s="14"/>
    </row>
    <row r="23" spans="1:9" s="15" customFormat="1" ht="11.45" customHeight="1" x14ac:dyDescent="0.25">
      <c r="A23" s="11"/>
      <c r="B23" s="11"/>
      <c r="C23" s="12" t="s">
        <v>388</v>
      </c>
      <c r="D23" s="13"/>
      <c r="E23" s="13"/>
      <c r="F23" s="14"/>
      <c r="G23" s="14">
        <f>1572+7*12</f>
        <v>1656</v>
      </c>
      <c r="H23" s="14"/>
      <c r="I23" s="14"/>
    </row>
    <row r="24" spans="1:9" s="15" customFormat="1" ht="11.45" customHeight="1" x14ac:dyDescent="0.25">
      <c r="A24" s="11"/>
      <c r="B24" s="11"/>
      <c r="C24" s="12" t="s">
        <v>389</v>
      </c>
      <c r="D24" s="13"/>
      <c r="E24" s="13"/>
      <c r="F24" s="14"/>
      <c r="G24" s="14">
        <f>1592+7*12</f>
        <v>1676</v>
      </c>
      <c r="H24" s="14"/>
      <c r="I24" s="14"/>
    </row>
    <row r="25" spans="1:9" s="15" customFormat="1" ht="11.45" customHeight="1" x14ac:dyDescent="0.25">
      <c r="A25" s="11"/>
      <c r="B25" s="11"/>
      <c r="C25" s="12" t="s">
        <v>390</v>
      </c>
      <c r="D25" s="13"/>
      <c r="E25" s="13"/>
      <c r="F25" s="14"/>
      <c r="G25" s="14">
        <v>3695</v>
      </c>
      <c r="H25" s="14"/>
      <c r="I25" s="14"/>
    </row>
    <row r="26" spans="1:9" s="15" customFormat="1" ht="11.45" customHeight="1" x14ac:dyDescent="0.25">
      <c r="A26" s="11"/>
      <c r="B26" s="11"/>
      <c r="C26" s="12" t="s">
        <v>391</v>
      </c>
      <c r="D26" s="13"/>
      <c r="E26" s="13"/>
      <c r="F26" s="14"/>
      <c r="G26" s="14">
        <f>1572+7*12</f>
        <v>1656</v>
      </c>
      <c r="H26" s="14"/>
      <c r="I26" s="14"/>
    </row>
    <row r="27" spans="1:9" s="15" customFormat="1" ht="11.45" customHeight="1" x14ac:dyDescent="0.25">
      <c r="A27" s="11"/>
      <c r="B27" s="11"/>
      <c r="C27" s="12" t="s">
        <v>392</v>
      </c>
      <c r="D27" s="13"/>
      <c r="E27" s="13"/>
      <c r="F27" s="14"/>
      <c r="G27" s="14">
        <v>2057</v>
      </c>
      <c r="H27" s="14"/>
      <c r="I27" s="14"/>
    </row>
    <row r="28" spans="1:9" s="15" customFormat="1" ht="11.45" customHeight="1" x14ac:dyDescent="0.25">
      <c r="A28" s="11"/>
      <c r="B28" s="11"/>
      <c r="C28" s="12" t="s">
        <v>393</v>
      </c>
      <c r="D28" s="13"/>
      <c r="E28" s="13"/>
      <c r="F28" s="14"/>
      <c r="G28" s="14">
        <v>3292</v>
      </c>
      <c r="H28" s="14"/>
      <c r="I28" s="14"/>
    </row>
    <row r="29" spans="1:9" s="15" customFormat="1" ht="11.45" customHeight="1" x14ac:dyDescent="0.25">
      <c r="A29" s="11"/>
      <c r="B29" s="11"/>
      <c r="C29" s="12" t="s">
        <v>394</v>
      </c>
      <c r="D29" s="13"/>
      <c r="E29" s="13"/>
      <c r="F29" s="14"/>
      <c r="G29" s="14">
        <v>1541</v>
      </c>
      <c r="H29" s="14"/>
      <c r="I29" s="14"/>
    </row>
    <row r="30" spans="1:9" s="15" customFormat="1" ht="11.45" customHeight="1" x14ac:dyDescent="0.25">
      <c r="A30" s="11"/>
      <c r="B30" s="11"/>
      <c r="C30" s="12" t="s">
        <v>395</v>
      </c>
      <c r="D30" s="13"/>
      <c r="E30" s="13"/>
      <c r="F30" s="14"/>
      <c r="G30" s="14">
        <v>771</v>
      </c>
      <c r="H30" s="14"/>
      <c r="I30" s="14"/>
    </row>
    <row r="31" spans="1:9" s="15" customFormat="1" ht="11.45" customHeight="1" x14ac:dyDescent="0.25">
      <c r="A31" s="11"/>
      <c r="B31" s="11"/>
      <c r="C31" s="12" t="s">
        <v>396</v>
      </c>
      <c r="D31" s="13"/>
      <c r="E31" s="13"/>
      <c r="F31" s="14"/>
      <c r="G31" s="14">
        <v>4620</v>
      </c>
      <c r="H31" s="14"/>
      <c r="I31" s="14"/>
    </row>
    <row r="32" spans="1:9" s="15" customFormat="1" ht="11.45" customHeight="1" x14ac:dyDescent="0.25">
      <c r="A32" s="11"/>
      <c r="B32" s="11"/>
      <c r="C32" s="12" t="s">
        <v>397</v>
      </c>
      <c r="D32" s="13"/>
      <c r="E32" s="13"/>
      <c r="F32" s="14"/>
      <c r="G32" s="14">
        <f>1572+7*12</f>
        <v>1656</v>
      </c>
      <c r="H32" s="14"/>
      <c r="I32" s="14"/>
    </row>
    <row r="33" spans="1:9" s="15" customFormat="1" ht="11.45" customHeight="1" x14ac:dyDescent="0.25">
      <c r="A33" s="11"/>
      <c r="B33" s="11"/>
      <c r="C33" s="12" t="s">
        <v>398</v>
      </c>
      <c r="D33" s="13"/>
      <c r="E33" s="13"/>
      <c r="F33" s="14"/>
      <c r="G33" s="14">
        <f>1632+7*12</f>
        <v>1716</v>
      </c>
      <c r="H33" s="14"/>
      <c r="I33" s="14"/>
    </row>
    <row r="34" spans="1:9" s="15" customFormat="1" ht="11.45" customHeight="1" x14ac:dyDescent="0.25">
      <c r="A34" s="11"/>
      <c r="B34" s="11"/>
      <c r="C34" s="12" t="s">
        <v>399</v>
      </c>
      <c r="D34" s="13"/>
      <c r="E34" s="13"/>
      <c r="F34" s="14"/>
      <c r="G34" s="14">
        <v>1541</v>
      </c>
      <c r="H34" s="14"/>
      <c r="I34" s="14"/>
    </row>
    <row r="35" spans="1:9" s="15" customFormat="1" ht="11.45" customHeight="1" x14ac:dyDescent="0.25">
      <c r="A35" s="11"/>
      <c r="B35" s="11"/>
      <c r="C35" s="12" t="s">
        <v>400</v>
      </c>
      <c r="D35" s="13"/>
      <c r="E35" s="13"/>
      <c r="F35" s="14"/>
      <c r="G35" s="14">
        <v>3789</v>
      </c>
      <c r="H35" s="14"/>
      <c r="I35" s="14"/>
    </row>
    <row r="36" spans="1:9" s="15" customFormat="1" ht="11.45" customHeight="1" x14ac:dyDescent="0.25">
      <c r="A36" s="11"/>
      <c r="B36" s="11"/>
      <c r="C36" s="12" t="s">
        <v>401</v>
      </c>
      <c r="D36" s="13"/>
      <c r="E36" s="13"/>
      <c r="F36" s="14"/>
      <c r="G36" s="14">
        <v>1632</v>
      </c>
      <c r="H36" s="14"/>
      <c r="I36" s="14"/>
    </row>
    <row r="37" spans="1:9" s="15" customFormat="1" ht="11.45" customHeight="1" x14ac:dyDescent="0.25">
      <c r="A37" s="11"/>
      <c r="B37" s="11"/>
      <c r="C37" s="12" t="s">
        <v>402</v>
      </c>
      <c r="D37" s="13"/>
      <c r="E37" s="13"/>
      <c r="F37" s="14"/>
      <c r="G37" s="14">
        <v>3511</v>
      </c>
      <c r="H37" s="14"/>
      <c r="I37" s="14"/>
    </row>
    <row r="38" spans="1:9" s="15" customFormat="1" ht="11.45" customHeight="1" x14ac:dyDescent="0.25">
      <c r="A38" s="11"/>
      <c r="B38" s="11"/>
      <c r="C38" s="12" t="s">
        <v>1162</v>
      </c>
      <c r="D38" s="13"/>
      <c r="E38" s="13"/>
      <c r="F38" s="14"/>
      <c r="G38" s="14">
        <v>710</v>
      </c>
      <c r="H38" s="14"/>
      <c r="I38" s="14"/>
    </row>
    <row r="39" spans="1:9" s="15" customFormat="1" ht="11.45" customHeight="1" x14ac:dyDescent="0.25">
      <c r="A39" s="11"/>
      <c r="B39" s="11"/>
      <c r="C39" s="12" t="s">
        <v>1257</v>
      </c>
      <c r="D39" s="13"/>
      <c r="E39" s="13"/>
      <c r="F39" s="14"/>
      <c r="G39" s="14">
        <f>129*12</f>
        <v>1548</v>
      </c>
      <c r="H39" s="14"/>
      <c r="I39" s="14"/>
    </row>
    <row r="40" spans="1:9" s="3" customFormat="1" ht="12.75" customHeight="1" x14ac:dyDescent="0.25">
      <c r="A40" s="7" t="s">
        <v>7</v>
      </c>
      <c r="B40" s="7" t="s">
        <v>8</v>
      </c>
      <c r="C40" s="8" t="s">
        <v>9</v>
      </c>
      <c r="D40" s="9">
        <f t="shared" ref="D40:E42" si="0">F40+H40</f>
        <v>0</v>
      </c>
      <c r="E40" s="9">
        <f t="shared" si="0"/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s="3" customFormat="1" ht="12.75" customHeight="1" x14ac:dyDescent="0.25">
      <c r="A41" s="7" t="s">
        <v>10</v>
      </c>
      <c r="B41" s="7" t="s">
        <v>11</v>
      </c>
      <c r="C41" s="8" t="s">
        <v>12</v>
      </c>
      <c r="D41" s="9">
        <f t="shared" si="0"/>
        <v>0</v>
      </c>
      <c r="E41" s="9">
        <f t="shared" si="0"/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13</v>
      </c>
      <c r="B42" s="7" t="s">
        <v>14</v>
      </c>
      <c r="C42" s="8" t="s">
        <v>15</v>
      </c>
      <c r="D42" s="9">
        <f t="shared" si="0"/>
        <v>700</v>
      </c>
      <c r="E42" s="9">
        <f t="shared" si="0"/>
        <v>1500</v>
      </c>
      <c r="F42" s="10">
        <f>SUM(F43:F44)</f>
        <v>700</v>
      </c>
      <c r="G42" s="10">
        <f>SUM(G43:G44)</f>
        <v>1500</v>
      </c>
      <c r="H42" s="10">
        <v>0</v>
      </c>
      <c r="I42" s="10">
        <f t="shared" ref="I42" si="1">SUM(I43:I44)</f>
        <v>0</v>
      </c>
    </row>
    <row r="43" spans="1:9" s="15" customFormat="1" ht="11.45" customHeight="1" x14ac:dyDescent="0.25">
      <c r="A43" s="11"/>
      <c r="B43" s="11"/>
      <c r="C43" s="12" t="s">
        <v>16</v>
      </c>
      <c r="D43" s="13"/>
      <c r="E43" s="13"/>
      <c r="F43" s="14">
        <v>700</v>
      </c>
      <c r="G43" s="14">
        <v>1500</v>
      </c>
      <c r="H43" s="14"/>
      <c r="I43" s="14"/>
    </row>
    <row r="44" spans="1:9" s="15" customFormat="1" ht="11.45" customHeight="1" x14ac:dyDescent="0.25">
      <c r="A44" s="11"/>
      <c r="B44" s="11"/>
      <c r="C44" s="12" t="s">
        <v>17</v>
      </c>
      <c r="D44" s="13"/>
      <c r="E44" s="13"/>
      <c r="F44" s="14"/>
      <c r="G44" s="14"/>
      <c r="H44" s="14"/>
      <c r="I44" s="14"/>
    </row>
    <row r="45" spans="1:9" s="3" customFormat="1" ht="12.75" customHeight="1" x14ac:dyDescent="0.25">
      <c r="A45" s="7" t="s">
        <v>18</v>
      </c>
      <c r="B45" s="7" t="s">
        <v>19</v>
      </c>
      <c r="C45" s="8" t="s">
        <v>20</v>
      </c>
      <c r="D45" s="9">
        <f t="shared" ref="D45:E49" si="2">F45+H45</f>
        <v>0</v>
      </c>
      <c r="E45" s="9">
        <f t="shared" si="2"/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s="3" customFormat="1" ht="12.75" customHeight="1" x14ac:dyDescent="0.25">
      <c r="A46" s="7" t="s">
        <v>21</v>
      </c>
      <c r="B46" s="7" t="s">
        <v>22</v>
      </c>
      <c r="C46" s="8" t="s">
        <v>23</v>
      </c>
      <c r="D46" s="9">
        <f t="shared" si="2"/>
        <v>4038</v>
      </c>
      <c r="E46" s="9">
        <f t="shared" si="2"/>
        <v>1683</v>
      </c>
      <c r="F46" s="10">
        <v>4038</v>
      </c>
      <c r="G46" s="10">
        <f>SUM(G47:G48)</f>
        <v>1683</v>
      </c>
      <c r="H46" s="10">
        <v>0</v>
      </c>
      <c r="I46" s="10">
        <v>0</v>
      </c>
    </row>
    <row r="47" spans="1:9" s="3" customFormat="1" ht="12.75" customHeight="1" x14ac:dyDescent="0.25">
      <c r="A47" s="11"/>
      <c r="B47" s="11"/>
      <c r="C47" s="12" t="s">
        <v>1259</v>
      </c>
      <c r="D47" s="13"/>
      <c r="E47" s="13"/>
      <c r="F47" s="14"/>
      <c r="G47" s="14">
        <f>ROUND(5*336500/1000,0)</f>
        <v>1683</v>
      </c>
      <c r="H47" s="14"/>
      <c r="I47" s="14"/>
    </row>
    <row r="48" spans="1:9" s="3" customFormat="1" ht="12.75" customHeight="1" x14ac:dyDescent="0.25">
      <c r="A48" s="11"/>
      <c r="B48" s="11"/>
      <c r="C48" s="12"/>
      <c r="D48" s="13"/>
      <c r="E48" s="13"/>
      <c r="F48" s="14"/>
      <c r="G48" s="14"/>
      <c r="H48" s="14"/>
      <c r="I48" s="14"/>
    </row>
    <row r="49" spans="1:9" s="3" customFormat="1" ht="12.75" customHeight="1" x14ac:dyDescent="0.25">
      <c r="A49" s="7" t="s">
        <v>24</v>
      </c>
      <c r="B49" s="7" t="s">
        <v>25</v>
      </c>
      <c r="C49" s="8" t="s">
        <v>26</v>
      </c>
      <c r="D49" s="9">
        <f t="shared" si="2"/>
        <v>2976</v>
      </c>
      <c r="E49" s="9">
        <f t="shared" si="2"/>
        <v>2976</v>
      </c>
      <c r="F49" s="10">
        <v>2976</v>
      </c>
      <c r="G49" s="10">
        <f>G50</f>
        <v>2976</v>
      </c>
      <c r="H49" s="10">
        <v>0</v>
      </c>
      <c r="I49" s="10">
        <f t="shared" ref="I49" si="3">I50</f>
        <v>0</v>
      </c>
    </row>
    <row r="50" spans="1:9" s="15" customFormat="1" ht="11.45" customHeight="1" x14ac:dyDescent="0.25">
      <c r="A50" s="11"/>
      <c r="B50" s="11"/>
      <c r="C50" s="12" t="s">
        <v>403</v>
      </c>
      <c r="D50" s="13"/>
      <c r="E50" s="13"/>
      <c r="F50" s="14">
        <v>2976</v>
      </c>
      <c r="G50" s="14">
        <v>2976</v>
      </c>
      <c r="H50" s="14"/>
      <c r="I50" s="14"/>
    </row>
    <row r="51" spans="1:9" s="3" customFormat="1" ht="12.75" customHeight="1" x14ac:dyDescent="0.25">
      <c r="A51" s="7" t="s">
        <v>27</v>
      </c>
      <c r="B51" s="7" t="s">
        <v>28</v>
      </c>
      <c r="C51" s="8" t="s">
        <v>29</v>
      </c>
      <c r="D51" s="9">
        <f t="shared" ref="D51:E53" si="4">F51+H51</f>
        <v>0</v>
      </c>
      <c r="E51" s="9">
        <f t="shared" si="4"/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 s="3" customFormat="1" ht="12.75" customHeight="1" x14ac:dyDescent="0.25">
      <c r="A52" s="7" t="s">
        <v>30</v>
      </c>
      <c r="B52" s="7" t="s">
        <v>31</v>
      </c>
      <c r="C52" s="8" t="s">
        <v>32</v>
      </c>
      <c r="D52" s="9">
        <f t="shared" si="4"/>
        <v>400</v>
      </c>
      <c r="E52" s="9">
        <f t="shared" si="4"/>
        <v>440</v>
      </c>
      <c r="F52" s="10">
        <v>400</v>
      </c>
      <c r="G52" s="10">
        <v>440</v>
      </c>
      <c r="H52" s="10">
        <v>0</v>
      </c>
      <c r="I52" s="10">
        <v>0</v>
      </c>
    </row>
    <row r="53" spans="1:9" s="3" customFormat="1" ht="12.75" customHeight="1" x14ac:dyDescent="0.25">
      <c r="A53" s="7" t="s">
        <v>33</v>
      </c>
      <c r="B53" s="7" t="s">
        <v>34</v>
      </c>
      <c r="C53" s="8" t="s">
        <v>35</v>
      </c>
      <c r="D53" s="9">
        <f t="shared" si="4"/>
        <v>0</v>
      </c>
      <c r="E53" s="9">
        <f t="shared" si="4"/>
        <v>492</v>
      </c>
      <c r="F53" s="10">
        <v>0</v>
      </c>
      <c r="G53" s="10">
        <f>G54+G55</f>
        <v>492</v>
      </c>
      <c r="H53" s="10">
        <v>0</v>
      </c>
      <c r="I53" s="10">
        <f>I54</f>
        <v>0</v>
      </c>
    </row>
    <row r="54" spans="1:9" s="3" customFormat="1" ht="12.75" customHeight="1" x14ac:dyDescent="0.25">
      <c r="A54" s="11"/>
      <c r="B54" s="11"/>
      <c r="C54" s="12" t="s">
        <v>279</v>
      </c>
      <c r="D54" s="13"/>
      <c r="E54" s="13"/>
      <c r="F54" s="14"/>
      <c r="G54" s="14">
        <v>120</v>
      </c>
      <c r="H54" s="14"/>
      <c r="I54" s="14"/>
    </row>
    <row r="55" spans="1:9" s="3" customFormat="1" ht="12.75" customHeight="1" x14ac:dyDescent="0.25">
      <c r="A55" s="11"/>
      <c r="B55" s="11"/>
      <c r="C55" s="12" t="s">
        <v>1275</v>
      </c>
      <c r="D55" s="13"/>
      <c r="E55" s="13"/>
      <c r="F55" s="14"/>
      <c r="G55" s="14">
        <v>372</v>
      </c>
      <c r="H55" s="14"/>
      <c r="I55" s="14"/>
    </row>
    <row r="56" spans="1:9" s="3" customFormat="1" ht="12.75" customHeight="1" x14ac:dyDescent="0.25">
      <c r="A56" s="7" t="s">
        <v>36</v>
      </c>
      <c r="B56" s="7" t="s">
        <v>37</v>
      </c>
      <c r="C56" s="8" t="s">
        <v>38</v>
      </c>
      <c r="D56" s="9">
        <f>F56+H56</f>
        <v>0</v>
      </c>
      <c r="E56" s="9">
        <f>G56+I56</f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s="3" customFormat="1" ht="12.75" customHeight="1" x14ac:dyDescent="0.25">
      <c r="A57" s="7" t="s">
        <v>39</v>
      </c>
      <c r="B57" s="7" t="s">
        <v>40</v>
      </c>
      <c r="C57" s="8" t="s">
        <v>41</v>
      </c>
      <c r="D57" s="9">
        <f>F57+H57</f>
        <v>380</v>
      </c>
      <c r="E57" s="9">
        <f>G57+I57</f>
        <v>334</v>
      </c>
      <c r="F57" s="10">
        <f>F58</f>
        <v>380</v>
      </c>
      <c r="G57" s="10">
        <f t="shared" ref="G57:I57" si="5">G58</f>
        <v>334</v>
      </c>
      <c r="H57" s="10">
        <f t="shared" si="5"/>
        <v>0</v>
      </c>
      <c r="I57" s="10">
        <f t="shared" si="5"/>
        <v>0</v>
      </c>
    </row>
    <row r="58" spans="1:9" s="3" customFormat="1" ht="12.75" customHeight="1" x14ac:dyDescent="0.25">
      <c r="A58" s="11"/>
      <c r="B58" s="11"/>
      <c r="C58" s="12" t="s">
        <v>280</v>
      </c>
      <c r="D58" s="13"/>
      <c r="E58" s="13"/>
      <c r="F58" s="14">
        <v>380</v>
      </c>
      <c r="G58" s="14">
        <f>ROUND(G6*0.004,0)</f>
        <v>334</v>
      </c>
      <c r="H58" s="14"/>
      <c r="I58" s="14"/>
    </row>
    <row r="59" spans="1:9" s="3" customFormat="1" ht="12.75" customHeight="1" x14ac:dyDescent="0.25">
      <c r="A59" s="7" t="s">
        <v>42</v>
      </c>
      <c r="B59" s="7" t="s">
        <v>43</v>
      </c>
      <c r="C59" s="8" t="s">
        <v>44</v>
      </c>
      <c r="D59" s="9">
        <f>F59+H59</f>
        <v>340</v>
      </c>
      <c r="E59" s="9">
        <f>G59+I59</f>
        <v>2707</v>
      </c>
      <c r="F59" s="10">
        <v>340</v>
      </c>
      <c r="G59" s="10">
        <f>G60+G61</f>
        <v>2707</v>
      </c>
      <c r="H59" s="10">
        <v>0</v>
      </c>
      <c r="I59" s="10">
        <f>I60</f>
        <v>0</v>
      </c>
    </row>
    <row r="60" spans="1:9" s="15" customFormat="1" ht="11.45" customHeight="1" x14ac:dyDescent="0.25">
      <c r="A60" s="11"/>
      <c r="B60" s="11"/>
      <c r="C60" s="12" t="s">
        <v>1163</v>
      </c>
      <c r="D60" s="13"/>
      <c r="E60" s="13"/>
      <c r="F60" s="14"/>
      <c r="G60" s="14">
        <v>220</v>
      </c>
      <c r="H60" s="14"/>
      <c r="I60" s="14"/>
    </row>
    <row r="61" spans="1:9" s="15" customFormat="1" ht="11.45" customHeight="1" x14ac:dyDescent="0.25">
      <c r="A61" s="11"/>
      <c r="B61" s="11"/>
      <c r="C61" s="12" t="s">
        <v>1277</v>
      </c>
      <c r="D61" s="13"/>
      <c r="E61" s="13"/>
      <c r="F61" s="14"/>
      <c r="G61" s="14">
        <v>2487</v>
      </c>
      <c r="H61" s="14"/>
      <c r="I61" s="14"/>
    </row>
    <row r="62" spans="1:9" s="3" customFormat="1" ht="12.75" customHeight="1" x14ac:dyDescent="0.25">
      <c r="A62" s="16" t="s">
        <v>45</v>
      </c>
      <c r="B62" s="16" t="s">
        <v>46</v>
      </c>
      <c r="C62" s="17" t="s">
        <v>47</v>
      </c>
      <c r="D62" s="18">
        <f t="shared" ref="D62:I62" si="6">D6+D40+D41+D42+D45+D46+D49+D51+D52+D53+D56+D57+D59</f>
        <v>93666</v>
      </c>
      <c r="E62" s="18">
        <f t="shared" si="6"/>
        <v>93633</v>
      </c>
      <c r="F62" s="18">
        <f t="shared" si="6"/>
        <v>93666</v>
      </c>
      <c r="G62" s="18">
        <f t="shared" si="6"/>
        <v>93633</v>
      </c>
      <c r="H62" s="18">
        <f t="shared" si="6"/>
        <v>0</v>
      </c>
      <c r="I62" s="18">
        <f t="shared" si="6"/>
        <v>0</v>
      </c>
    </row>
    <row r="63" spans="1:9" s="3" customFormat="1" ht="12.75" customHeight="1" x14ac:dyDescent="0.25">
      <c r="A63" s="7" t="s">
        <v>48</v>
      </c>
      <c r="B63" s="7" t="s">
        <v>49</v>
      </c>
      <c r="C63" s="8" t="s">
        <v>50</v>
      </c>
      <c r="D63" s="9">
        <f>F63+H63</f>
        <v>0</v>
      </c>
      <c r="E63" s="9">
        <f>G63+I63</f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s="3" customFormat="1" ht="12.75" customHeight="1" x14ac:dyDescent="0.25">
      <c r="A64" s="7" t="s">
        <v>51</v>
      </c>
      <c r="B64" s="7" t="s">
        <v>52</v>
      </c>
      <c r="C64" s="8" t="s">
        <v>53</v>
      </c>
      <c r="D64" s="9">
        <f>F64+H64</f>
        <v>0</v>
      </c>
      <c r="E64" s="9">
        <f>G64+I64</f>
        <v>120</v>
      </c>
      <c r="F64" s="10">
        <f>F65</f>
        <v>0</v>
      </c>
      <c r="G64" s="10">
        <f t="shared" ref="G64:I64" si="7">G65</f>
        <v>120</v>
      </c>
      <c r="H64" s="10">
        <f t="shared" si="7"/>
        <v>0</v>
      </c>
      <c r="I64" s="10">
        <f t="shared" si="7"/>
        <v>0</v>
      </c>
    </row>
    <row r="65" spans="1:9" s="15" customFormat="1" ht="11.45" customHeight="1" x14ac:dyDescent="0.25">
      <c r="A65" s="11"/>
      <c r="B65" s="11"/>
      <c r="C65" s="12" t="s">
        <v>282</v>
      </c>
      <c r="D65" s="13"/>
      <c r="E65" s="13"/>
      <c r="F65" s="14">
        <v>0</v>
      </c>
      <c r="G65" s="14">
        <v>120</v>
      </c>
      <c r="H65" s="14"/>
      <c r="I65" s="14"/>
    </row>
    <row r="66" spans="1:9" s="3" customFormat="1" ht="12.75" customHeight="1" x14ac:dyDescent="0.25">
      <c r="A66" s="7" t="s">
        <v>54</v>
      </c>
      <c r="B66" s="7" t="s">
        <v>55</v>
      </c>
      <c r="C66" s="8" t="s">
        <v>285</v>
      </c>
      <c r="D66" s="9">
        <f>F66+H66</f>
        <v>70</v>
      </c>
      <c r="E66" s="9">
        <f>G66+I66</f>
        <v>60</v>
      </c>
      <c r="F66" s="10">
        <f>F67</f>
        <v>70</v>
      </c>
      <c r="G66" s="10">
        <f t="shared" ref="G66:I66" si="8">G67</f>
        <v>60</v>
      </c>
      <c r="H66" s="10">
        <f t="shared" si="8"/>
        <v>0</v>
      </c>
      <c r="I66" s="10">
        <f t="shared" si="8"/>
        <v>0</v>
      </c>
    </row>
    <row r="67" spans="1:9" s="15" customFormat="1" ht="11.45" customHeight="1" x14ac:dyDescent="0.25">
      <c r="A67" s="11"/>
      <c r="B67" s="11"/>
      <c r="C67" s="12" t="s">
        <v>283</v>
      </c>
      <c r="D67" s="13"/>
      <c r="E67" s="13"/>
      <c r="F67" s="14">
        <v>70</v>
      </c>
      <c r="G67" s="14">
        <v>60</v>
      </c>
      <c r="H67" s="14"/>
      <c r="I67" s="14"/>
    </row>
    <row r="68" spans="1:9" s="3" customFormat="1" ht="12.75" customHeight="1" x14ac:dyDescent="0.25">
      <c r="A68" s="16" t="s">
        <v>56</v>
      </c>
      <c r="B68" s="16" t="s">
        <v>57</v>
      </c>
      <c r="C68" s="17" t="s">
        <v>58</v>
      </c>
      <c r="D68" s="18">
        <f>D63+D64+D66</f>
        <v>70</v>
      </c>
      <c r="E68" s="18">
        <f t="shared" ref="E68:I68" si="9">E63+E64+E66</f>
        <v>180</v>
      </c>
      <c r="F68" s="18">
        <f t="shared" si="9"/>
        <v>70</v>
      </c>
      <c r="G68" s="18">
        <f t="shared" si="9"/>
        <v>180</v>
      </c>
      <c r="H68" s="18">
        <f t="shared" si="9"/>
        <v>0</v>
      </c>
      <c r="I68" s="18">
        <f t="shared" si="9"/>
        <v>0</v>
      </c>
    </row>
    <row r="69" spans="1:9" s="3" customFormat="1" ht="12.75" customHeight="1" x14ac:dyDescent="0.25">
      <c r="A69" s="20" t="s">
        <v>59</v>
      </c>
      <c r="B69" s="20" t="s">
        <v>60</v>
      </c>
      <c r="C69" s="21" t="s">
        <v>286</v>
      </c>
      <c r="D69" s="22">
        <f>D62+D68</f>
        <v>93736</v>
      </c>
      <c r="E69" s="22">
        <f t="shared" ref="E69:I69" si="10">E62+E68</f>
        <v>93813</v>
      </c>
      <c r="F69" s="22">
        <f t="shared" si="10"/>
        <v>93736</v>
      </c>
      <c r="G69" s="22">
        <f t="shared" si="10"/>
        <v>93813</v>
      </c>
      <c r="H69" s="22">
        <f t="shared" si="10"/>
        <v>0</v>
      </c>
      <c r="I69" s="22">
        <f t="shared" si="10"/>
        <v>0</v>
      </c>
    </row>
    <row r="70" spans="1:9" s="15" customFormat="1" ht="11.45" customHeight="1" x14ac:dyDescent="0.25">
      <c r="A70" s="11"/>
      <c r="B70" s="11"/>
      <c r="C70" s="12" t="s">
        <v>284</v>
      </c>
      <c r="D70" s="13">
        <f>H70+F70</f>
        <v>24276</v>
      </c>
      <c r="E70" s="13">
        <f>I70+G70</f>
        <v>23527</v>
      </c>
      <c r="F70" s="13">
        <v>24276</v>
      </c>
      <c r="G70" s="13">
        <f>ROUND((G6+G40+G41+G42+G45+G46+G57+G64)*0.27,0)</f>
        <v>23527</v>
      </c>
      <c r="H70" s="13">
        <f>ROUND((H6+H40+H41+H42+H45+H46+H64)*0.27,0)</f>
        <v>0</v>
      </c>
      <c r="I70" s="13">
        <f>ROUND((I6+I40+I41+I42+I45+I46+I64)*0.27,0)</f>
        <v>0</v>
      </c>
    </row>
    <row r="71" spans="1:9" s="15" customFormat="1" ht="11.45" customHeight="1" x14ac:dyDescent="0.25">
      <c r="A71" s="11"/>
      <c r="B71" s="11"/>
      <c r="C71" s="12" t="s">
        <v>61</v>
      </c>
      <c r="D71" s="13">
        <f t="shared" ref="D71:E73" si="11">H71+F71</f>
        <v>518</v>
      </c>
      <c r="E71" s="13">
        <f t="shared" si="11"/>
        <v>1385</v>
      </c>
      <c r="F71" s="14">
        <v>518</v>
      </c>
      <c r="G71" s="13">
        <f>ROUND(G49*1.19*0.14+(G66+G59)*1.19*0.27,0)</f>
        <v>1385</v>
      </c>
      <c r="H71" s="14"/>
      <c r="I71" s="14"/>
    </row>
    <row r="72" spans="1:9" s="15" customFormat="1" ht="11.45" customHeight="1" x14ac:dyDescent="0.25">
      <c r="A72" s="11"/>
      <c r="B72" s="11"/>
      <c r="C72" s="12" t="s">
        <v>62</v>
      </c>
      <c r="D72" s="13">
        <f t="shared" si="11"/>
        <v>1475</v>
      </c>
      <c r="E72" s="13">
        <f t="shared" si="11"/>
        <v>1475</v>
      </c>
      <c r="F72" s="14">
        <v>1475</v>
      </c>
      <c r="G72" s="14">
        <v>1475</v>
      </c>
      <c r="H72" s="14"/>
      <c r="I72" s="14"/>
    </row>
    <row r="73" spans="1:9" s="15" customFormat="1" ht="11.45" customHeight="1" x14ac:dyDescent="0.25">
      <c r="A73" s="11"/>
      <c r="B73" s="11"/>
      <c r="C73" s="12" t="s">
        <v>63</v>
      </c>
      <c r="D73" s="13">
        <f t="shared" si="11"/>
        <v>580</v>
      </c>
      <c r="E73" s="13">
        <f t="shared" si="11"/>
        <v>620</v>
      </c>
      <c r="F73" s="14">
        <v>580</v>
      </c>
      <c r="G73" s="14">
        <f>ROUND((G67+G60+G50)*1.19*0.16,0)</f>
        <v>620</v>
      </c>
      <c r="H73" s="14"/>
      <c r="I73" s="14"/>
    </row>
    <row r="74" spans="1:9" s="3" customFormat="1" ht="12.75" customHeight="1" x14ac:dyDescent="0.25">
      <c r="A74" s="20" t="s">
        <v>64</v>
      </c>
      <c r="B74" s="20" t="s">
        <v>65</v>
      </c>
      <c r="C74" s="21" t="s">
        <v>287</v>
      </c>
      <c r="D74" s="22">
        <f>D70+D71+D72+D73</f>
        <v>26849</v>
      </c>
      <c r="E74" s="22">
        <f t="shared" ref="E74:I74" si="12">E70+E71+E72+E73</f>
        <v>27007</v>
      </c>
      <c r="F74" s="22">
        <f t="shared" si="12"/>
        <v>26849</v>
      </c>
      <c r="G74" s="22">
        <f t="shared" si="12"/>
        <v>27007</v>
      </c>
      <c r="H74" s="22">
        <f t="shared" si="12"/>
        <v>0</v>
      </c>
      <c r="I74" s="22">
        <f t="shared" si="12"/>
        <v>0</v>
      </c>
    </row>
    <row r="75" spans="1:9" s="3" customFormat="1" ht="14.1" customHeight="1" x14ac:dyDescent="0.25">
      <c r="A75" s="1018" t="s">
        <v>66</v>
      </c>
      <c r="B75" s="1019"/>
      <c r="C75" s="1020"/>
      <c r="D75" s="30">
        <f>D69+D74</f>
        <v>120585</v>
      </c>
      <c r="E75" s="30">
        <f t="shared" ref="E75:I75" si="13">E69+E74</f>
        <v>120820</v>
      </c>
      <c r="F75" s="30">
        <f t="shared" si="13"/>
        <v>120585</v>
      </c>
      <c r="G75" s="30">
        <f t="shared" si="13"/>
        <v>120820</v>
      </c>
      <c r="H75" s="30">
        <f t="shared" si="13"/>
        <v>0</v>
      </c>
      <c r="I75" s="30">
        <f t="shared" si="13"/>
        <v>0</v>
      </c>
    </row>
    <row r="76" spans="1:9" s="3" customFormat="1" ht="14.1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</row>
    <row r="77" spans="1:9" s="3" customFormat="1" ht="14.1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</row>
    <row r="78" spans="1:9" s="3" customFormat="1" ht="14.1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</row>
    <row r="79" spans="1:9" s="1" customFormat="1" ht="12.75" customHeight="1" x14ac:dyDescent="0.25">
      <c r="A79" s="1022" t="s">
        <v>370</v>
      </c>
      <c r="B79" s="1022"/>
      <c r="C79" s="1022"/>
      <c r="D79" s="1022"/>
      <c r="E79" s="1022"/>
      <c r="F79" s="1022"/>
      <c r="G79" s="1022"/>
      <c r="H79" s="1022"/>
      <c r="I79" s="1022"/>
    </row>
    <row r="80" spans="1:9" s="1" customFormat="1" ht="14.1" customHeight="1" x14ac:dyDescent="0.25">
      <c r="A80" s="1022" t="s">
        <v>0</v>
      </c>
      <c r="B80" s="1023" t="s">
        <v>1</v>
      </c>
      <c r="C80" s="1022" t="s">
        <v>2</v>
      </c>
      <c r="D80" s="1024" t="s">
        <v>260</v>
      </c>
      <c r="E80" s="1014" t="s">
        <v>259</v>
      </c>
      <c r="F80" s="1016" t="s">
        <v>261</v>
      </c>
      <c r="G80" s="1017"/>
      <c r="H80" s="1016" t="s">
        <v>262</v>
      </c>
      <c r="I80" s="1017"/>
    </row>
    <row r="81" spans="1:9" s="3" customFormat="1" ht="33" customHeight="1" x14ac:dyDescent="0.25">
      <c r="A81" s="1022"/>
      <c r="B81" s="1023"/>
      <c r="C81" s="1022"/>
      <c r="D81" s="1024"/>
      <c r="E81" s="1015"/>
      <c r="F81" s="2" t="s">
        <v>260</v>
      </c>
      <c r="G81" s="2" t="s">
        <v>259</v>
      </c>
      <c r="H81" s="2" t="s">
        <v>260</v>
      </c>
      <c r="I81" s="2" t="s">
        <v>259</v>
      </c>
    </row>
    <row r="82" spans="1:9" ht="5.65" customHeight="1" x14ac:dyDescent="0.25"/>
    <row r="83" spans="1:9" ht="14.1" customHeight="1" x14ac:dyDescent="0.25">
      <c r="A83" s="1021" t="s">
        <v>288</v>
      </c>
      <c r="B83" s="1021"/>
      <c r="C83" s="1021"/>
      <c r="D83" s="1021"/>
      <c r="E83" s="1021"/>
      <c r="F83" s="1021"/>
      <c r="G83" s="1021"/>
      <c r="H83" s="1021"/>
      <c r="I83" s="1021"/>
    </row>
    <row r="84" spans="1:9" s="3" customFormat="1" ht="14.1" customHeight="1" x14ac:dyDescent="0.25">
      <c r="A84" s="7" t="s">
        <v>67</v>
      </c>
      <c r="B84" s="7" t="s">
        <v>68</v>
      </c>
      <c r="C84" s="8" t="s">
        <v>69</v>
      </c>
      <c r="D84" s="9">
        <f>F84+H84</f>
        <v>235</v>
      </c>
      <c r="E84" s="9">
        <f>G84+I84</f>
        <v>320</v>
      </c>
      <c r="F84" s="10">
        <f>SUM(F85:F90)</f>
        <v>235</v>
      </c>
      <c r="G84" s="10">
        <f t="shared" ref="G84:I84" si="14">SUM(G85:G90)</f>
        <v>320</v>
      </c>
      <c r="H84" s="10">
        <f t="shared" si="14"/>
        <v>0</v>
      </c>
      <c r="I84" s="10">
        <f t="shared" si="14"/>
        <v>0</v>
      </c>
    </row>
    <row r="85" spans="1:9" ht="14.1" customHeight="1" x14ac:dyDescent="0.25">
      <c r="A85" s="24"/>
      <c r="B85" s="24"/>
      <c r="C85" s="25" t="s">
        <v>70</v>
      </c>
      <c r="D85" s="26"/>
      <c r="E85" s="26"/>
      <c r="F85" s="26">
        <v>10</v>
      </c>
      <c r="G85" s="26"/>
      <c r="H85" s="26"/>
      <c r="I85" s="26"/>
    </row>
    <row r="86" spans="1:9" ht="14.1" customHeight="1" x14ac:dyDescent="0.25">
      <c r="A86" s="24"/>
      <c r="B86" s="24"/>
      <c r="C86" s="25" t="s">
        <v>71</v>
      </c>
      <c r="D86" s="26"/>
      <c r="E86" s="26"/>
      <c r="F86" s="26"/>
      <c r="G86" s="26"/>
      <c r="H86" s="26"/>
      <c r="I86" s="26"/>
    </row>
    <row r="87" spans="1:9" ht="14.1" customHeight="1" x14ac:dyDescent="0.25">
      <c r="A87" s="24"/>
      <c r="B87" s="24"/>
      <c r="C87" s="25" t="s">
        <v>72</v>
      </c>
      <c r="D87" s="26"/>
      <c r="E87" s="26"/>
      <c r="F87" s="26">
        <v>100</v>
      </c>
      <c r="G87" s="26">
        <v>180</v>
      </c>
      <c r="H87" s="26"/>
      <c r="I87" s="26"/>
    </row>
    <row r="88" spans="1:9" ht="14.1" customHeight="1" x14ac:dyDescent="0.25">
      <c r="A88" s="24"/>
      <c r="B88" s="24"/>
      <c r="C88" s="25" t="s">
        <v>73</v>
      </c>
      <c r="D88" s="26"/>
      <c r="E88" s="26"/>
      <c r="F88" s="26">
        <v>55</v>
      </c>
      <c r="G88" s="26">
        <v>40</v>
      </c>
      <c r="H88" s="26"/>
      <c r="I88" s="26"/>
    </row>
    <row r="89" spans="1:9" ht="14.1" customHeight="1" x14ac:dyDescent="0.25">
      <c r="A89" s="24"/>
      <c r="B89" s="24"/>
      <c r="C89" s="25" t="s">
        <v>74</v>
      </c>
      <c r="D89" s="26"/>
      <c r="E89" s="26"/>
      <c r="F89" s="26">
        <v>10</v>
      </c>
      <c r="G89" s="26"/>
      <c r="H89" s="26"/>
      <c r="I89" s="26"/>
    </row>
    <row r="90" spans="1:9" ht="14.1" customHeight="1" x14ac:dyDescent="0.25">
      <c r="A90" s="24"/>
      <c r="B90" s="24"/>
      <c r="C90" s="25" t="s">
        <v>75</v>
      </c>
      <c r="D90" s="26"/>
      <c r="E90" s="26"/>
      <c r="F90" s="26">
        <v>60</v>
      </c>
      <c r="G90" s="26">
        <v>100</v>
      </c>
      <c r="H90" s="26"/>
      <c r="I90" s="26"/>
    </row>
    <row r="91" spans="1:9" s="3" customFormat="1" ht="14.1" customHeight="1" x14ac:dyDescent="0.25">
      <c r="A91" s="7" t="s">
        <v>76</v>
      </c>
      <c r="B91" s="7" t="s">
        <v>77</v>
      </c>
      <c r="C91" s="8" t="s">
        <v>78</v>
      </c>
      <c r="D91" s="9">
        <f>F91+H91</f>
        <v>3195</v>
      </c>
      <c r="E91" s="9">
        <f>G91+I91</f>
        <v>3375</v>
      </c>
      <c r="F91" s="10">
        <f>SUM(F92:F97)</f>
        <v>3195</v>
      </c>
      <c r="G91" s="10">
        <f>SUM(G92:G97)</f>
        <v>3375</v>
      </c>
      <c r="H91" s="10">
        <f>SUM(H92:H97)</f>
        <v>0</v>
      </c>
      <c r="I91" s="10">
        <f>SUM(I92:I97)</f>
        <v>0</v>
      </c>
    </row>
    <row r="92" spans="1:9" ht="14.1" customHeight="1" x14ac:dyDescent="0.25">
      <c r="A92" s="24"/>
      <c r="B92" s="24"/>
      <c r="C92" s="25" t="s">
        <v>79</v>
      </c>
      <c r="D92" s="26"/>
      <c r="E92" s="26"/>
      <c r="F92" s="26"/>
      <c r="G92" s="26"/>
      <c r="H92" s="26"/>
      <c r="I92" s="26"/>
    </row>
    <row r="93" spans="1:9" ht="14.1" customHeight="1" x14ac:dyDescent="0.25">
      <c r="A93" s="24"/>
      <c r="B93" s="24"/>
      <c r="C93" s="25" t="s">
        <v>80</v>
      </c>
      <c r="D93" s="26"/>
      <c r="E93" s="26"/>
      <c r="F93" s="26">
        <v>185</v>
      </c>
      <c r="G93" s="26">
        <v>120</v>
      </c>
      <c r="H93" s="26"/>
      <c r="I93" s="26"/>
    </row>
    <row r="94" spans="1:9" ht="14.1" customHeight="1" x14ac:dyDescent="0.25">
      <c r="A94" s="24"/>
      <c r="B94" s="24"/>
      <c r="C94" s="25" t="s">
        <v>81</v>
      </c>
      <c r="D94" s="26"/>
      <c r="E94" s="26"/>
      <c r="F94" s="26"/>
      <c r="G94" s="26"/>
      <c r="H94" s="26"/>
      <c r="I94" s="26"/>
    </row>
    <row r="95" spans="1:9" ht="14.1" customHeight="1" x14ac:dyDescent="0.25">
      <c r="A95" s="24"/>
      <c r="B95" s="24"/>
      <c r="C95" s="25" t="s">
        <v>82</v>
      </c>
      <c r="D95" s="26"/>
      <c r="E95" s="26"/>
      <c r="F95" s="26">
        <v>45</v>
      </c>
      <c r="G95" s="26">
        <v>40</v>
      </c>
      <c r="H95" s="26"/>
      <c r="I95" s="26"/>
    </row>
    <row r="96" spans="1:9" ht="14.1" customHeight="1" x14ac:dyDescent="0.25">
      <c r="A96" s="24"/>
      <c r="B96" s="24"/>
      <c r="C96" s="25" t="s">
        <v>83</v>
      </c>
      <c r="D96" s="26"/>
      <c r="E96" s="26"/>
      <c r="F96" s="26">
        <v>465</v>
      </c>
      <c r="G96" s="26">
        <v>465</v>
      </c>
      <c r="H96" s="26"/>
      <c r="I96" s="26"/>
    </row>
    <row r="97" spans="1:9" ht="14.1" customHeight="1" x14ac:dyDescent="0.25">
      <c r="A97" s="24"/>
      <c r="B97" s="24"/>
      <c r="C97" s="25" t="s">
        <v>84</v>
      </c>
      <c r="D97" s="26"/>
      <c r="E97" s="26"/>
      <c r="F97" s="26">
        <v>2500</v>
      </c>
      <c r="G97" s="26">
        <v>2750</v>
      </c>
      <c r="H97" s="26"/>
      <c r="I97" s="26"/>
    </row>
    <row r="98" spans="1:9" s="3" customFormat="1" ht="14.1" customHeight="1" x14ac:dyDescent="0.25">
      <c r="A98" s="7" t="s">
        <v>85</v>
      </c>
      <c r="B98" s="7" t="s">
        <v>86</v>
      </c>
      <c r="C98" s="8" t="s">
        <v>87</v>
      </c>
      <c r="D98" s="9">
        <f>F98+H98</f>
        <v>0</v>
      </c>
      <c r="E98" s="9">
        <f>G98+I98</f>
        <v>0</v>
      </c>
      <c r="F98" s="10">
        <f>SUM(F99:F100)</f>
        <v>0</v>
      </c>
      <c r="G98" s="10">
        <f t="shared" ref="G98:I98" si="15">SUM(G99:G100)</f>
        <v>0</v>
      </c>
      <c r="H98" s="10">
        <f t="shared" si="15"/>
        <v>0</v>
      </c>
      <c r="I98" s="10">
        <f t="shared" si="15"/>
        <v>0</v>
      </c>
    </row>
    <row r="99" spans="1:9" ht="14.1" customHeight="1" x14ac:dyDescent="0.25">
      <c r="A99" s="24"/>
      <c r="B99" s="24"/>
      <c r="C99" s="25" t="s">
        <v>88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89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16" t="s">
        <v>90</v>
      </c>
      <c r="B101" s="16" t="s">
        <v>91</v>
      </c>
      <c r="C101" s="17" t="s">
        <v>92</v>
      </c>
      <c r="D101" s="19">
        <f>D84+D91</f>
        <v>3430</v>
      </c>
      <c r="E101" s="19">
        <f t="shared" ref="E101:I101" si="16">E84+E91</f>
        <v>3695</v>
      </c>
      <c r="F101" s="19">
        <f t="shared" si="16"/>
        <v>3430</v>
      </c>
      <c r="G101" s="19">
        <f t="shared" si="16"/>
        <v>3695</v>
      </c>
      <c r="H101" s="19">
        <f t="shared" si="16"/>
        <v>0</v>
      </c>
      <c r="I101" s="19">
        <f t="shared" si="16"/>
        <v>0</v>
      </c>
    </row>
    <row r="102" spans="1:9" s="3" customFormat="1" ht="14.1" customHeight="1" x14ac:dyDescent="0.25">
      <c r="A102" s="7" t="s">
        <v>93</v>
      </c>
      <c r="B102" s="7" t="s">
        <v>94</v>
      </c>
      <c r="C102" s="8" t="s">
        <v>95</v>
      </c>
      <c r="D102" s="9">
        <f>F102+H102</f>
        <v>192</v>
      </c>
      <c r="E102" s="9">
        <f>G102+I102</f>
        <v>257</v>
      </c>
      <c r="F102" s="10">
        <f>SUM(F103:F108)</f>
        <v>192</v>
      </c>
      <c r="G102" s="10">
        <f>SUM(G103:G108)</f>
        <v>257</v>
      </c>
      <c r="H102" s="10">
        <f t="shared" ref="H102:I102" si="17">SUM(H103:H108)</f>
        <v>0</v>
      </c>
      <c r="I102" s="10">
        <f t="shared" si="17"/>
        <v>0</v>
      </c>
    </row>
    <row r="103" spans="1:9" ht="14.1" customHeight="1" x14ac:dyDescent="0.25">
      <c r="A103" s="24"/>
      <c r="B103" s="24"/>
      <c r="C103" s="25" t="s">
        <v>96</v>
      </c>
      <c r="D103" s="26"/>
      <c r="E103" s="26"/>
      <c r="F103" s="26"/>
      <c r="G103" s="26"/>
      <c r="H103" s="26"/>
      <c r="I103" s="26"/>
    </row>
    <row r="104" spans="1:9" ht="14.1" customHeight="1" x14ac:dyDescent="0.25">
      <c r="A104" s="24"/>
      <c r="B104" s="24"/>
      <c r="C104" s="25" t="s">
        <v>97</v>
      </c>
      <c r="D104" s="26"/>
      <c r="E104" s="26"/>
      <c r="F104" s="26">
        <v>192</v>
      </c>
      <c r="G104" s="26">
        <v>192</v>
      </c>
      <c r="H104" s="26"/>
      <c r="I104" s="26"/>
    </row>
    <row r="105" spans="1:9" ht="14.1" customHeight="1" x14ac:dyDescent="0.25">
      <c r="A105" s="24"/>
      <c r="B105" s="24"/>
      <c r="C105" s="25" t="s">
        <v>98</v>
      </c>
      <c r="D105" s="26"/>
      <c r="E105" s="26"/>
      <c r="F105" s="26"/>
      <c r="G105" s="26"/>
      <c r="H105" s="26"/>
      <c r="I105" s="26"/>
    </row>
    <row r="106" spans="1:9" ht="14.1" customHeight="1" x14ac:dyDescent="0.25">
      <c r="A106" s="24"/>
      <c r="B106" s="24"/>
      <c r="C106" s="25" t="s">
        <v>99</v>
      </c>
      <c r="D106" s="26"/>
      <c r="E106" s="26"/>
      <c r="F106" s="26"/>
      <c r="G106" s="26">
        <v>65</v>
      </c>
      <c r="H106" s="26"/>
      <c r="I106" s="26"/>
    </row>
    <row r="107" spans="1:9" ht="14.1" customHeight="1" x14ac:dyDescent="0.25">
      <c r="A107" s="24"/>
      <c r="B107" s="24"/>
      <c r="C107" s="25" t="s">
        <v>100</v>
      </c>
      <c r="D107" s="26"/>
      <c r="E107" s="26"/>
      <c r="F107" s="26"/>
      <c r="G107" s="26"/>
      <c r="H107" s="26"/>
      <c r="I107" s="26"/>
    </row>
    <row r="108" spans="1:9" ht="14.1" customHeight="1" x14ac:dyDescent="0.25">
      <c r="A108" s="24"/>
      <c r="B108" s="24"/>
      <c r="C108" s="25" t="s">
        <v>101</v>
      </c>
      <c r="D108" s="26"/>
      <c r="E108" s="26"/>
      <c r="F108" s="26"/>
      <c r="G108" s="26"/>
      <c r="H108" s="26"/>
      <c r="I108" s="26"/>
    </row>
    <row r="109" spans="1:9" s="3" customFormat="1" ht="14.1" customHeight="1" x14ac:dyDescent="0.25">
      <c r="A109" s="7" t="s">
        <v>102</v>
      </c>
      <c r="B109" s="7" t="s">
        <v>103</v>
      </c>
      <c r="C109" s="8" t="s">
        <v>104</v>
      </c>
      <c r="D109" s="9">
        <f>F109+H109</f>
        <v>230</v>
      </c>
      <c r="E109" s="9">
        <f>G109+I109</f>
        <v>275</v>
      </c>
      <c r="F109" s="10">
        <f>SUM(F110:F111)</f>
        <v>230</v>
      </c>
      <c r="G109" s="10">
        <f t="shared" ref="G109:I109" si="18">SUM(G110:G111)</f>
        <v>275</v>
      </c>
      <c r="H109" s="10">
        <f t="shared" si="18"/>
        <v>0</v>
      </c>
      <c r="I109" s="10">
        <f t="shared" si="18"/>
        <v>0</v>
      </c>
    </row>
    <row r="110" spans="1:9" ht="14.1" customHeight="1" x14ac:dyDescent="0.25">
      <c r="A110" s="24"/>
      <c r="B110" s="24"/>
      <c r="C110" s="25" t="s">
        <v>105</v>
      </c>
      <c r="D110" s="26"/>
      <c r="E110" s="26"/>
      <c r="F110" s="26">
        <v>200</v>
      </c>
      <c r="G110" s="26">
        <v>275</v>
      </c>
      <c r="H110" s="26"/>
      <c r="I110" s="26"/>
    </row>
    <row r="111" spans="1:9" ht="14.1" customHeight="1" x14ac:dyDescent="0.25">
      <c r="A111" s="24"/>
      <c r="B111" s="24"/>
      <c r="C111" s="25" t="s">
        <v>106</v>
      </c>
      <c r="D111" s="26"/>
      <c r="E111" s="26"/>
      <c r="F111" s="26">
        <v>30</v>
      </c>
      <c r="G111" s="26"/>
      <c r="H111" s="26"/>
      <c r="I111" s="26"/>
    </row>
    <row r="112" spans="1:9" s="3" customFormat="1" ht="14.1" customHeight="1" x14ac:dyDescent="0.25">
      <c r="A112" s="16" t="s">
        <v>107</v>
      </c>
      <c r="B112" s="16" t="s">
        <v>108</v>
      </c>
      <c r="C112" s="17" t="s">
        <v>109</v>
      </c>
      <c r="D112" s="19">
        <f>D102+D109</f>
        <v>422</v>
      </c>
      <c r="E112" s="19">
        <f t="shared" ref="E112:I112" si="19">E102+E109</f>
        <v>532</v>
      </c>
      <c r="F112" s="19">
        <f t="shared" si="19"/>
        <v>422</v>
      </c>
      <c r="G112" s="19">
        <f t="shared" si="19"/>
        <v>532</v>
      </c>
      <c r="H112" s="19">
        <f t="shared" si="19"/>
        <v>0</v>
      </c>
      <c r="I112" s="19">
        <f t="shared" si="19"/>
        <v>0</v>
      </c>
    </row>
    <row r="113" spans="1:9" s="3" customFormat="1" ht="14.1" customHeight="1" x14ac:dyDescent="0.25">
      <c r="A113" s="7" t="s">
        <v>110</v>
      </c>
      <c r="B113" s="7" t="s">
        <v>111</v>
      </c>
      <c r="C113" s="8" t="s">
        <v>112</v>
      </c>
      <c r="D113" s="9">
        <f>F113+H113</f>
        <v>4700</v>
      </c>
      <c r="E113" s="9">
        <f>G113+I113</f>
        <v>5450</v>
      </c>
      <c r="F113" s="10">
        <f>SUM(F114:F116)</f>
        <v>4700</v>
      </c>
      <c r="G113" s="10">
        <f t="shared" ref="G113:I113" si="20">SUM(G114:G116)</f>
        <v>5450</v>
      </c>
      <c r="H113" s="10">
        <f t="shared" si="20"/>
        <v>0</v>
      </c>
      <c r="I113" s="10">
        <f t="shared" si="20"/>
        <v>0</v>
      </c>
    </row>
    <row r="114" spans="1:9" ht="14.1" customHeight="1" x14ac:dyDescent="0.25">
      <c r="A114" s="24"/>
      <c r="B114" s="24"/>
      <c r="C114" s="25" t="s">
        <v>113</v>
      </c>
      <c r="D114" s="26"/>
      <c r="E114" s="26"/>
      <c r="F114" s="26">
        <v>900</v>
      </c>
      <c r="G114" s="26">
        <v>900</v>
      </c>
      <c r="H114" s="26"/>
      <c r="I114" s="26"/>
    </row>
    <row r="115" spans="1:9" ht="14.1" customHeight="1" x14ac:dyDescent="0.25">
      <c r="A115" s="24"/>
      <c r="B115" s="24"/>
      <c r="C115" s="25" t="s">
        <v>114</v>
      </c>
      <c r="D115" s="26"/>
      <c r="E115" s="26"/>
      <c r="F115" s="26">
        <v>3100</v>
      </c>
      <c r="G115" s="26">
        <v>3600</v>
      </c>
      <c r="H115" s="26"/>
      <c r="I115" s="26"/>
    </row>
    <row r="116" spans="1:9" ht="14.1" customHeight="1" x14ac:dyDescent="0.25">
      <c r="A116" s="24"/>
      <c r="B116" s="24"/>
      <c r="C116" s="25" t="s">
        <v>115</v>
      </c>
      <c r="D116" s="26"/>
      <c r="E116" s="26"/>
      <c r="F116" s="26">
        <v>700</v>
      </c>
      <c r="G116" s="26">
        <v>950</v>
      </c>
      <c r="H116" s="26"/>
      <c r="I116" s="26"/>
    </row>
    <row r="117" spans="1:9" s="3" customFormat="1" ht="14.1" customHeight="1" x14ac:dyDescent="0.25">
      <c r="A117" s="7" t="s">
        <v>116</v>
      </c>
      <c r="B117" s="7" t="s">
        <v>117</v>
      </c>
      <c r="C117" s="8" t="s">
        <v>118</v>
      </c>
      <c r="D117" s="9">
        <f>F117+H117</f>
        <v>12440</v>
      </c>
      <c r="E117" s="9">
        <f>G117+I117</f>
        <v>12440</v>
      </c>
      <c r="F117" s="10">
        <v>0</v>
      </c>
      <c r="G117" s="10">
        <f>G118</f>
        <v>0</v>
      </c>
      <c r="H117" s="10">
        <v>12440</v>
      </c>
      <c r="I117" s="10">
        <f>I118</f>
        <v>12440</v>
      </c>
    </row>
    <row r="118" spans="1:9" s="3" customFormat="1" ht="14.1" customHeight="1" x14ac:dyDescent="0.25">
      <c r="A118" s="24"/>
      <c r="B118" s="24"/>
      <c r="C118" s="25" t="s">
        <v>289</v>
      </c>
      <c r="D118" s="26"/>
      <c r="E118" s="26"/>
      <c r="F118" s="26"/>
      <c r="G118" s="26"/>
      <c r="H118" s="26"/>
      <c r="I118" s="26">
        <v>12440</v>
      </c>
    </row>
    <row r="119" spans="1:9" s="3" customFormat="1" ht="14.1" customHeight="1" x14ac:dyDescent="0.25">
      <c r="A119" s="7" t="s">
        <v>119</v>
      </c>
      <c r="B119" s="7" t="s">
        <v>120</v>
      </c>
      <c r="C119" s="8" t="s">
        <v>121</v>
      </c>
      <c r="D119" s="9">
        <f>F119+H119</f>
        <v>0</v>
      </c>
      <c r="E119" s="9">
        <f>G119+I119</f>
        <v>0</v>
      </c>
      <c r="F119" s="10">
        <f>SUM(F120:F121)</f>
        <v>0</v>
      </c>
      <c r="G119" s="10">
        <f t="shared" ref="G119:I119" si="21">SUM(G120:G121)</f>
        <v>0</v>
      </c>
      <c r="H119" s="10">
        <f t="shared" si="21"/>
        <v>0</v>
      </c>
      <c r="I119" s="10">
        <f t="shared" si="21"/>
        <v>0</v>
      </c>
    </row>
    <row r="120" spans="1:9" ht="14.1" customHeight="1" x14ac:dyDescent="0.25">
      <c r="A120" s="24"/>
      <c r="B120" s="24"/>
      <c r="C120" s="25" t="s">
        <v>122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123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124</v>
      </c>
      <c r="B122" s="7" t="s">
        <v>125</v>
      </c>
      <c r="C122" s="8" t="s">
        <v>126</v>
      </c>
      <c r="D122" s="9">
        <f>F122+H122</f>
        <v>4340</v>
      </c>
      <c r="E122" s="9">
        <f>G122+I122</f>
        <v>1500</v>
      </c>
      <c r="F122" s="10">
        <v>4340</v>
      </c>
      <c r="G122" s="10">
        <v>1500</v>
      </c>
      <c r="H122" s="10">
        <v>0</v>
      </c>
      <c r="I122" s="10">
        <v>0</v>
      </c>
    </row>
    <row r="123" spans="1:9" s="3" customFormat="1" ht="14.1" customHeight="1" x14ac:dyDescent="0.25">
      <c r="A123" s="7" t="s">
        <v>127</v>
      </c>
      <c r="B123" s="7" t="s">
        <v>128</v>
      </c>
      <c r="C123" s="8" t="s">
        <v>129</v>
      </c>
      <c r="D123" s="9">
        <f>F123+H123</f>
        <v>0</v>
      </c>
      <c r="E123" s="9">
        <f>G123+I123</f>
        <v>0</v>
      </c>
      <c r="F123" s="10">
        <v>0</v>
      </c>
      <c r="G123" s="10">
        <f>SUM(G124:G125)</f>
        <v>0</v>
      </c>
      <c r="H123" s="10">
        <v>0</v>
      </c>
      <c r="I123" s="10">
        <f>SUM(I124:I125)</f>
        <v>0</v>
      </c>
    </row>
    <row r="124" spans="1:9" ht="14.1" customHeight="1" x14ac:dyDescent="0.25">
      <c r="A124" s="24"/>
      <c r="B124" s="24"/>
      <c r="C124" s="25" t="s">
        <v>130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131</v>
      </c>
      <c r="D125" s="26"/>
      <c r="E125" s="26"/>
      <c r="F125" s="26"/>
      <c r="G125" s="26"/>
      <c r="H125" s="26"/>
      <c r="I125" s="26"/>
    </row>
    <row r="126" spans="1:9" s="3" customFormat="1" ht="14.1" customHeight="1" x14ac:dyDescent="0.25">
      <c r="A126" s="7" t="s">
        <v>132</v>
      </c>
      <c r="B126" s="7" t="s">
        <v>133</v>
      </c>
      <c r="C126" s="8" t="s">
        <v>134</v>
      </c>
      <c r="D126" s="9">
        <f>F126+H126</f>
        <v>250</v>
      </c>
      <c r="E126" s="9">
        <f>G126+I126</f>
        <v>50</v>
      </c>
      <c r="F126" s="10">
        <f>SUM(F127:F129)</f>
        <v>250</v>
      </c>
      <c r="G126" s="10">
        <f t="shared" ref="G126:I126" si="22">SUM(G127:G129)</f>
        <v>50</v>
      </c>
      <c r="H126" s="10">
        <f t="shared" si="22"/>
        <v>0</v>
      </c>
      <c r="I126" s="10">
        <f t="shared" si="22"/>
        <v>0</v>
      </c>
    </row>
    <row r="127" spans="1:9" ht="14.1" customHeight="1" x14ac:dyDescent="0.25">
      <c r="A127" s="24"/>
      <c r="B127" s="24"/>
      <c r="C127" s="25" t="s">
        <v>135</v>
      </c>
      <c r="D127" s="26"/>
      <c r="E127" s="26"/>
      <c r="F127" s="26">
        <v>0</v>
      </c>
      <c r="G127" s="26">
        <v>0</v>
      </c>
      <c r="H127" s="26">
        <v>0</v>
      </c>
      <c r="I127" s="26">
        <v>0</v>
      </c>
    </row>
    <row r="128" spans="1:9" ht="14.1" customHeight="1" x14ac:dyDescent="0.25">
      <c r="A128" s="24"/>
      <c r="B128" s="24"/>
      <c r="C128" s="25" t="s">
        <v>136</v>
      </c>
      <c r="D128" s="26"/>
      <c r="E128" s="26"/>
      <c r="F128" s="26">
        <v>50</v>
      </c>
      <c r="G128" s="26">
        <v>0</v>
      </c>
      <c r="H128" s="26">
        <v>0</v>
      </c>
      <c r="I128" s="26">
        <v>0</v>
      </c>
    </row>
    <row r="129" spans="1:9" ht="14.1" customHeight="1" x14ac:dyDescent="0.25">
      <c r="A129" s="24"/>
      <c r="B129" s="24"/>
      <c r="C129" s="25" t="s">
        <v>137</v>
      </c>
      <c r="D129" s="26"/>
      <c r="E129" s="26"/>
      <c r="F129" s="26">
        <v>200</v>
      </c>
      <c r="G129" s="26">
        <v>50</v>
      </c>
      <c r="H129" s="26">
        <v>0</v>
      </c>
      <c r="I129" s="26">
        <v>0</v>
      </c>
    </row>
    <row r="130" spans="1:9" s="3" customFormat="1" ht="14.1" customHeight="1" x14ac:dyDescent="0.25">
      <c r="A130" s="7" t="s">
        <v>138</v>
      </c>
      <c r="B130" s="7" t="s">
        <v>139</v>
      </c>
      <c r="C130" s="8" t="s">
        <v>140</v>
      </c>
      <c r="D130" s="9">
        <f>F130+H130</f>
        <v>1200</v>
      </c>
      <c r="E130" s="9">
        <f>G130+I130</f>
        <v>1400</v>
      </c>
      <c r="F130" s="10">
        <f>SUM(F131:F134)</f>
        <v>1200</v>
      </c>
      <c r="G130" s="10">
        <f t="shared" ref="G130:I130" si="23">SUM(G131:G134)</f>
        <v>1400</v>
      </c>
      <c r="H130" s="10">
        <f t="shared" si="23"/>
        <v>0</v>
      </c>
      <c r="I130" s="10">
        <f t="shared" si="23"/>
        <v>0</v>
      </c>
    </row>
    <row r="131" spans="1:9" ht="14.1" customHeight="1" x14ac:dyDescent="0.25">
      <c r="A131" s="24"/>
      <c r="B131" s="24"/>
      <c r="C131" s="25" t="s">
        <v>141</v>
      </c>
      <c r="D131" s="26"/>
      <c r="E131" s="26"/>
      <c r="F131" s="26">
        <v>0</v>
      </c>
      <c r="G131" s="26"/>
      <c r="H131" s="26"/>
      <c r="I131" s="26"/>
    </row>
    <row r="132" spans="1:9" ht="14.1" customHeight="1" x14ac:dyDescent="0.25">
      <c r="A132" s="24"/>
      <c r="B132" s="24"/>
      <c r="C132" s="25" t="s">
        <v>142</v>
      </c>
      <c r="D132" s="26"/>
      <c r="E132" s="26"/>
      <c r="F132" s="26">
        <v>150</v>
      </c>
      <c r="G132" s="26">
        <v>200</v>
      </c>
      <c r="H132" s="26"/>
      <c r="I132" s="26"/>
    </row>
    <row r="133" spans="1:9" ht="14.1" customHeight="1" x14ac:dyDescent="0.25">
      <c r="A133" s="24"/>
      <c r="B133" s="24"/>
      <c r="C133" s="25" t="s">
        <v>143</v>
      </c>
      <c r="D133" s="26"/>
      <c r="E133" s="26"/>
      <c r="F133" s="26">
        <v>50</v>
      </c>
      <c r="G133" s="26"/>
      <c r="H133" s="26"/>
      <c r="I133" s="26"/>
    </row>
    <row r="134" spans="1:9" ht="14.1" customHeight="1" x14ac:dyDescent="0.25">
      <c r="A134" s="24"/>
      <c r="B134" s="24"/>
      <c r="C134" s="25" t="s">
        <v>144</v>
      </c>
      <c r="D134" s="26"/>
      <c r="E134" s="26"/>
      <c r="F134" s="26">
        <v>1000</v>
      </c>
      <c r="G134" s="26">
        <v>1200</v>
      </c>
      <c r="H134" s="26"/>
      <c r="I134" s="26"/>
    </row>
    <row r="135" spans="1:9" s="3" customFormat="1" ht="14.1" customHeight="1" x14ac:dyDescent="0.25">
      <c r="A135" s="16" t="s">
        <v>145</v>
      </c>
      <c r="B135" s="16" t="s">
        <v>146</v>
      </c>
      <c r="C135" s="17" t="s">
        <v>147</v>
      </c>
      <c r="D135" s="19">
        <f>D113+D117+D119+D122+D123+D126+D130</f>
        <v>22930</v>
      </c>
      <c r="E135" s="19">
        <f t="shared" ref="E135:I135" si="24">E113+E117+E119+E122+E123+E126+E130</f>
        <v>20840</v>
      </c>
      <c r="F135" s="19">
        <f t="shared" si="24"/>
        <v>10490</v>
      </c>
      <c r="G135" s="19">
        <f t="shared" si="24"/>
        <v>8400</v>
      </c>
      <c r="H135" s="19">
        <f t="shared" si="24"/>
        <v>12440</v>
      </c>
      <c r="I135" s="19">
        <f t="shared" si="24"/>
        <v>12440</v>
      </c>
    </row>
    <row r="136" spans="1:9" s="3" customFormat="1" ht="14.1" customHeight="1" x14ac:dyDescent="0.25">
      <c r="A136" s="7" t="s">
        <v>148</v>
      </c>
      <c r="B136" s="7" t="s">
        <v>149</v>
      </c>
      <c r="C136" s="8" t="s">
        <v>150</v>
      </c>
      <c r="D136" s="9">
        <f>F136+H136</f>
        <v>50</v>
      </c>
      <c r="E136" s="9">
        <f>G136+I136</f>
        <v>50</v>
      </c>
      <c r="F136" s="10">
        <f>SUM(F137:F138)</f>
        <v>50</v>
      </c>
      <c r="G136" s="10">
        <f t="shared" ref="G136:I136" si="25">SUM(G137:G138)</f>
        <v>50</v>
      </c>
      <c r="H136" s="10">
        <f t="shared" si="25"/>
        <v>0</v>
      </c>
      <c r="I136" s="10">
        <f t="shared" si="25"/>
        <v>0</v>
      </c>
    </row>
    <row r="137" spans="1:9" ht="14.1" customHeight="1" x14ac:dyDescent="0.25">
      <c r="A137" s="24"/>
      <c r="B137" s="24"/>
      <c r="C137" s="25" t="s">
        <v>151</v>
      </c>
      <c r="D137" s="26"/>
      <c r="E137" s="26"/>
      <c r="F137" s="26">
        <v>50</v>
      </c>
      <c r="G137" s="26">
        <v>50</v>
      </c>
      <c r="H137" s="26"/>
      <c r="I137" s="26"/>
    </row>
    <row r="138" spans="1:9" ht="14.1" customHeight="1" x14ac:dyDescent="0.25">
      <c r="A138" s="24"/>
      <c r="B138" s="24"/>
      <c r="C138" s="25" t="s">
        <v>152</v>
      </c>
      <c r="D138" s="26"/>
      <c r="E138" s="26"/>
      <c r="F138" s="26"/>
      <c r="G138" s="26"/>
      <c r="H138" s="26"/>
      <c r="I138" s="26"/>
    </row>
    <row r="139" spans="1:9" s="3" customFormat="1" ht="14.1" customHeight="1" x14ac:dyDescent="0.25">
      <c r="A139" s="7" t="s">
        <v>153</v>
      </c>
      <c r="B139" s="7" t="s">
        <v>154</v>
      </c>
      <c r="C139" s="8" t="s">
        <v>155</v>
      </c>
      <c r="D139" s="9">
        <f>F139+H139</f>
        <v>0</v>
      </c>
      <c r="E139" s="9">
        <f>G139+I139</f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1:9" s="3" customFormat="1" ht="14.1" customHeight="1" x14ac:dyDescent="0.25">
      <c r="A140" s="16" t="s">
        <v>156</v>
      </c>
      <c r="B140" s="16" t="s">
        <v>157</v>
      </c>
      <c r="C140" s="17" t="s">
        <v>158</v>
      </c>
      <c r="D140" s="19">
        <f>D136+D139</f>
        <v>50</v>
      </c>
      <c r="E140" s="19">
        <f t="shared" ref="E140:I140" si="26">E136+E139</f>
        <v>50</v>
      </c>
      <c r="F140" s="19">
        <f t="shared" si="26"/>
        <v>50</v>
      </c>
      <c r="G140" s="19">
        <f t="shared" si="26"/>
        <v>50</v>
      </c>
      <c r="H140" s="19">
        <f t="shared" si="26"/>
        <v>0</v>
      </c>
      <c r="I140" s="19">
        <f t="shared" si="26"/>
        <v>0</v>
      </c>
    </row>
    <row r="141" spans="1:9" s="3" customFormat="1" ht="14.1" customHeight="1" x14ac:dyDescent="0.25">
      <c r="A141" s="7" t="s">
        <v>159</v>
      </c>
      <c r="B141" s="7" t="s">
        <v>160</v>
      </c>
      <c r="C141" s="8" t="s">
        <v>161</v>
      </c>
      <c r="D141" s="9">
        <f>F141+H141</f>
        <v>7231</v>
      </c>
      <c r="E141" s="9">
        <f>G141+I141</f>
        <v>6768</v>
      </c>
      <c r="F141" s="10">
        <f>SUM(F142:F143)</f>
        <v>3872</v>
      </c>
      <c r="G141" s="10">
        <f t="shared" ref="G141:I141" si="27">SUM(G142:G143)</f>
        <v>3409</v>
      </c>
      <c r="H141" s="10">
        <f t="shared" si="27"/>
        <v>3359</v>
      </c>
      <c r="I141" s="10">
        <f t="shared" si="27"/>
        <v>3359</v>
      </c>
    </row>
    <row r="142" spans="1:9" ht="14.1" customHeight="1" x14ac:dyDescent="0.25">
      <c r="A142" s="24"/>
      <c r="B142" s="24"/>
      <c r="C142" s="25" t="s">
        <v>162</v>
      </c>
      <c r="D142" s="26"/>
      <c r="E142" s="26"/>
      <c r="F142" s="26"/>
      <c r="G142" s="26"/>
      <c r="H142" s="26"/>
      <c r="I142" s="26"/>
    </row>
    <row r="143" spans="1:9" ht="14.1" customHeight="1" x14ac:dyDescent="0.25">
      <c r="A143" s="24"/>
      <c r="B143" s="24"/>
      <c r="C143" s="25" t="s">
        <v>163</v>
      </c>
      <c r="D143" s="26"/>
      <c r="E143" s="26"/>
      <c r="F143" s="26">
        <v>3872</v>
      </c>
      <c r="G143" s="26">
        <f>ROUND((G101+G112+G135+G139)*0.27,0)</f>
        <v>3409</v>
      </c>
      <c r="H143" s="26">
        <v>3359</v>
      </c>
      <c r="I143" s="26">
        <f>ROUND((I101+I112+I135+I139)*0.27,0)</f>
        <v>3359</v>
      </c>
    </row>
    <row r="144" spans="1:9" s="3" customFormat="1" ht="14.1" customHeight="1" x14ac:dyDescent="0.25">
      <c r="A144" s="7" t="s">
        <v>164</v>
      </c>
      <c r="B144" s="7" t="s">
        <v>165</v>
      </c>
      <c r="C144" s="8" t="s">
        <v>166</v>
      </c>
      <c r="D144" s="9">
        <f>F144+H144</f>
        <v>0</v>
      </c>
      <c r="E144" s="9">
        <f>G144+I144</f>
        <v>0</v>
      </c>
      <c r="F144" s="10">
        <f>SUM(F145:F147)</f>
        <v>0</v>
      </c>
      <c r="G144" s="10">
        <f t="shared" ref="G144:I144" si="28">SUM(G145:G147)</f>
        <v>0</v>
      </c>
      <c r="H144" s="10">
        <f t="shared" si="28"/>
        <v>0</v>
      </c>
      <c r="I144" s="10">
        <f t="shared" si="28"/>
        <v>0</v>
      </c>
    </row>
    <row r="145" spans="1:9" ht="14.1" customHeight="1" x14ac:dyDescent="0.25">
      <c r="A145" s="24"/>
      <c r="B145" s="24"/>
      <c r="C145" s="25" t="s">
        <v>167</v>
      </c>
      <c r="D145" s="26"/>
      <c r="E145" s="26"/>
      <c r="F145" s="26"/>
      <c r="G145" s="26"/>
      <c r="H145" s="26"/>
      <c r="I145" s="26"/>
    </row>
    <row r="146" spans="1:9" ht="14.1" customHeight="1" x14ac:dyDescent="0.25">
      <c r="A146" s="24"/>
      <c r="B146" s="24"/>
      <c r="C146" s="25" t="s">
        <v>168</v>
      </c>
      <c r="D146" s="26"/>
      <c r="E146" s="26"/>
      <c r="F146" s="26"/>
      <c r="G146" s="26"/>
      <c r="H146" s="26"/>
      <c r="I146" s="26"/>
    </row>
    <row r="147" spans="1:9" ht="14.1" customHeight="1" x14ac:dyDescent="0.25">
      <c r="A147" s="24"/>
      <c r="B147" s="24"/>
      <c r="C147" s="25" t="s">
        <v>169</v>
      </c>
      <c r="D147" s="26"/>
      <c r="E147" s="26"/>
      <c r="F147" s="26"/>
      <c r="G147" s="26"/>
      <c r="H147" s="26"/>
      <c r="I147" s="26"/>
    </row>
    <row r="148" spans="1:9" s="3" customFormat="1" ht="14.1" customHeight="1" x14ac:dyDescent="0.25">
      <c r="A148" s="7" t="s">
        <v>170</v>
      </c>
      <c r="B148" s="7" t="s">
        <v>171</v>
      </c>
      <c r="C148" s="8" t="s">
        <v>172</v>
      </c>
      <c r="D148" s="9">
        <f>F148+H148</f>
        <v>0</v>
      </c>
      <c r="E148" s="9">
        <f>G148+I148</f>
        <v>0</v>
      </c>
      <c r="F148" s="10">
        <f>SUM(F149:F152)</f>
        <v>0</v>
      </c>
      <c r="G148" s="10">
        <f t="shared" ref="G148:I148" si="29">SUM(G149:G152)</f>
        <v>0</v>
      </c>
      <c r="H148" s="10">
        <f t="shared" si="29"/>
        <v>0</v>
      </c>
      <c r="I148" s="10">
        <f t="shared" si="29"/>
        <v>0</v>
      </c>
    </row>
    <row r="149" spans="1:9" ht="14.1" customHeight="1" x14ac:dyDescent="0.25">
      <c r="A149" s="24"/>
      <c r="B149" s="24"/>
      <c r="C149" s="25" t="s">
        <v>173</v>
      </c>
      <c r="D149" s="26"/>
      <c r="E149" s="26"/>
      <c r="F149" s="26"/>
      <c r="G149" s="26"/>
      <c r="H149" s="26"/>
      <c r="I149" s="26"/>
    </row>
    <row r="150" spans="1:9" ht="14.1" customHeight="1" x14ac:dyDescent="0.25">
      <c r="A150" s="24"/>
      <c r="B150" s="24"/>
      <c r="C150" s="25" t="s">
        <v>174</v>
      </c>
      <c r="D150" s="26"/>
      <c r="E150" s="26"/>
      <c r="F150" s="26"/>
      <c r="G150" s="26"/>
      <c r="H150" s="26"/>
      <c r="I150" s="26"/>
    </row>
    <row r="151" spans="1:9" ht="14.1" customHeight="1" x14ac:dyDescent="0.25">
      <c r="A151" s="24"/>
      <c r="B151" s="24"/>
      <c r="C151" s="25" t="s">
        <v>175</v>
      </c>
      <c r="D151" s="26"/>
      <c r="E151" s="26"/>
      <c r="F151" s="26"/>
      <c r="G151" s="26"/>
      <c r="H151" s="26"/>
      <c r="I151" s="26"/>
    </row>
    <row r="152" spans="1:9" ht="14.1" customHeight="1" x14ac:dyDescent="0.25">
      <c r="A152" s="24"/>
      <c r="B152" s="24"/>
      <c r="C152" s="25" t="s">
        <v>176</v>
      </c>
      <c r="D152" s="26"/>
      <c r="E152" s="26"/>
      <c r="F152" s="26"/>
      <c r="G152" s="26"/>
      <c r="H152" s="26"/>
      <c r="I152" s="26"/>
    </row>
    <row r="153" spans="1:9" s="3" customFormat="1" ht="14.1" customHeight="1" x14ac:dyDescent="0.25">
      <c r="A153" s="7" t="s">
        <v>177</v>
      </c>
      <c r="B153" s="7" t="s">
        <v>178</v>
      </c>
      <c r="C153" s="8" t="s">
        <v>179</v>
      </c>
      <c r="D153" s="9">
        <f>F153+H153</f>
        <v>0</v>
      </c>
      <c r="E153" s="9">
        <f>G153+I153</f>
        <v>0</v>
      </c>
      <c r="F153" s="10">
        <f>SUM(F154:F155)</f>
        <v>0</v>
      </c>
      <c r="G153" s="10">
        <f t="shared" ref="G153:I153" si="30">SUM(G154:G155)</f>
        <v>0</v>
      </c>
      <c r="H153" s="10">
        <f t="shared" si="30"/>
        <v>0</v>
      </c>
      <c r="I153" s="10">
        <f t="shared" si="30"/>
        <v>0</v>
      </c>
    </row>
    <row r="154" spans="1:9" ht="14.1" customHeight="1" x14ac:dyDescent="0.25">
      <c r="A154" s="24"/>
      <c r="B154" s="24"/>
      <c r="C154" s="25" t="s">
        <v>180</v>
      </c>
      <c r="D154" s="26"/>
      <c r="E154" s="26"/>
      <c r="F154" s="26"/>
      <c r="G154" s="26"/>
      <c r="H154" s="26"/>
      <c r="I154" s="26"/>
    </row>
    <row r="155" spans="1:9" ht="14.1" customHeight="1" x14ac:dyDescent="0.25">
      <c r="A155" s="24"/>
      <c r="B155" s="24"/>
      <c r="C155" s="25" t="s">
        <v>181</v>
      </c>
      <c r="D155" s="26"/>
      <c r="E155" s="26"/>
      <c r="F155" s="26"/>
      <c r="G155" s="26"/>
      <c r="H155" s="26"/>
      <c r="I155" s="26"/>
    </row>
    <row r="156" spans="1:9" s="3" customFormat="1" ht="14.1" customHeight="1" x14ac:dyDescent="0.25">
      <c r="A156" s="7" t="s">
        <v>182</v>
      </c>
      <c r="B156" s="7" t="s">
        <v>183</v>
      </c>
      <c r="C156" s="8" t="s">
        <v>184</v>
      </c>
      <c r="D156" s="9">
        <f>F156+H156</f>
        <v>10</v>
      </c>
      <c r="E156" s="9">
        <f>G156+I156</f>
        <v>300</v>
      </c>
      <c r="F156" s="10">
        <f>SUM(F157:F160)</f>
        <v>10</v>
      </c>
      <c r="G156" s="10">
        <f t="shared" ref="G156:I156" si="31">SUM(G157:G160)</f>
        <v>300</v>
      </c>
      <c r="H156" s="10">
        <f t="shared" si="31"/>
        <v>0</v>
      </c>
      <c r="I156" s="10">
        <f t="shared" si="31"/>
        <v>0</v>
      </c>
    </row>
    <row r="157" spans="1:9" ht="14.1" customHeight="1" x14ac:dyDescent="0.25">
      <c r="A157" s="24"/>
      <c r="B157" s="24"/>
      <c r="C157" s="25" t="s">
        <v>185</v>
      </c>
      <c r="D157" s="26"/>
      <c r="E157" s="26"/>
      <c r="F157" s="26"/>
      <c r="G157" s="26"/>
      <c r="H157" s="26"/>
      <c r="I157" s="26"/>
    </row>
    <row r="158" spans="1:9" ht="14.1" customHeight="1" x14ac:dyDescent="0.25">
      <c r="A158" s="24"/>
      <c r="B158" s="24"/>
      <c r="C158" s="25" t="s">
        <v>186</v>
      </c>
      <c r="D158" s="26"/>
      <c r="E158" s="26"/>
      <c r="F158" s="26"/>
      <c r="G158" s="26"/>
      <c r="H158" s="26"/>
      <c r="I158" s="26"/>
    </row>
    <row r="159" spans="1:9" ht="14.1" customHeight="1" x14ac:dyDescent="0.25">
      <c r="A159" s="24"/>
      <c r="B159" s="24"/>
      <c r="C159" s="25" t="s">
        <v>187</v>
      </c>
      <c r="D159" s="26"/>
      <c r="E159" s="26"/>
      <c r="F159" s="26"/>
      <c r="G159" s="26"/>
      <c r="H159" s="26"/>
      <c r="I159" s="26"/>
    </row>
    <row r="160" spans="1:9" ht="14.1" customHeight="1" x14ac:dyDescent="0.25">
      <c r="A160" s="24"/>
      <c r="B160" s="24"/>
      <c r="C160" s="25" t="s">
        <v>188</v>
      </c>
      <c r="D160" s="26"/>
      <c r="E160" s="26"/>
      <c r="F160" s="26">
        <v>10</v>
      </c>
      <c r="G160" s="26">
        <v>300</v>
      </c>
      <c r="H160" s="26"/>
      <c r="I160" s="26"/>
    </row>
    <row r="161" spans="1:252" s="3" customFormat="1" ht="14.1" customHeight="1" x14ac:dyDescent="0.25">
      <c r="A161" s="16" t="s">
        <v>189</v>
      </c>
      <c r="B161" s="16" t="s">
        <v>190</v>
      </c>
      <c r="C161" s="17" t="s">
        <v>191</v>
      </c>
      <c r="D161" s="19">
        <f>D141+D144+D148+D153+D156</f>
        <v>7241</v>
      </c>
      <c r="E161" s="19">
        <f t="shared" ref="E161:I161" si="32">E141+E144+E148+E153+E156</f>
        <v>7068</v>
      </c>
      <c r="F161" s="19">
        <f t="shared" si="32"/>
        <v>3882</v>
      </c>
      <c r="G161" s="19">
        <f t="shared" si="32"/>
        <v>3709</v>
      </c>
      <c r="H161" s="19">
        <f t="shared" si="32"/>
        <v>3359</v>
      </c>
      <c r="I161" s="19">
        <f t="shared" si="32"/>
        <v>3359</v>
      </c>
    </row>
    <row r="162" spans="1:252" s="3" customFormat="1" ht="14.1" customHeight="1" x14ac:dyDescent="0.25">
      <c r="A162" s="20" t="s">
        <v>192</v>
      </c>
      <c r="B162" s="20" t="s">
        <v>193</v>
      </c>
      <c r="C162" s="21" t="s">
        <v>292</v>
      </c>
      <c r="D162" s="23">
        <f>D101+D112+D135+D140+D161</f>
        <v>34073</v>
      </c>
      <c r="E162" s="23">
        <f t="shared" ref="E162:I162" si="33">E101+E112+E135+E140+E161</f>
        <v>32185</v>
      </c>
      <c r="F162" s="23">
        <f t="shared" si="33"/>
        <v>18274</v>
      </c>
      <c r="G162" s="23">
        <f t="shared" si="33"/>
        <v>16386</v>
      </c>
      <c r="H162" s="23">
        <f t="shared" si="33"/>
        <v>15799</v>
      </c>
      <c r="I162" s="23">
        <f t="shared" si="33"/>
        <v>15799</v>
      </c>
    </row>
    <row r="163" spans="1:252" ht="14.1" customHeight="1" x14ac:dyDescent="0.2">
      <c r="A163" s="1025" t="s">
        <v>291</v>
      </c>
      <c r="B163" s="1026"/>
      <c r="C163" s="1027"/>
      <c r="D163" s="28">
        <f>D75+D162</f>
        <v>154658</v>
      </c>
      <c r="E163" s="28">
        <f t="shared" ref="E163:I163" si="34">E75+E162</f>
        <v>153005</v>
      </c>
      <c r="F163" s="28">
        <f t="shared" si="34"/>
        <v>138859</v>
      </c>
      <c r="G163" s="28">
        <f t="shared" si="34"/>
        <v>137206</v>
      </c>
      <c r="H163" s="28">
        <f t="shared" si="34"/>
        <v>15799</v>
      </c>
      <c r="I163" s="28">
        <f t="shared" si="34"/>
        <v>15799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</row>
    <row r="164" spans="1:252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</row>
    <row r="165" spans="1:252" ht="14.1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</row>
    <row r="167" spans="1:252" s="1" customFormat="1" ht="12.75" customHeight="1" x14ac:dyDescent="0.25">
      <c r="A167" s="1022" t="s">
        <v>371</v>
      </c>
      <c r="B167" s="1022"/>
      <c r="C167" s="1022"/>
      <c r="D167" s="1022"/>
      <c r="E167" s="1022"/>
      <c r="F167" s="1022"/>
      <c r="G167" s="1022"/>
      <c r="H167" s="1022"/>
      <c r="I167" s="1022"/>
    </row>
    <row r="168" spans="1:252" s="1" customFormat="1" ht="14.1" customHeight="1" x14ac:dyDescent="0.25">
      <c r="A168" s="1022" t="s">
        <v>0</v>
      </c>
      <c r="B168" s="1023" t="s">
        <v>1</v>
      </c>
      <c r="C168" s="1022" t="s">
        <v>2</v>
      </c>
      <c r="D168" s="1024" t="s">
        <v>260</v>
      </c>
      <c r="E168" s="1014" t="s">
        <v>259</v>
      </c>
      <c r="F168" s="1016" t="s">
        <v>261</v>
      </c>
      <c r="G168" s="1017"/>
      <c r="H168" s="1016" t="s">
        <v>262</v>
      </c>
      <c r="I168" s="1017"/>
    </row>
    <row r="169" spans="1:252" s="3" customFormat="1" ht="27" customHeight="1" x14ac:dyDescent="0.25">
      <c r="A169" s="1022"/>
      <c r="B169" s="1023"/>
      <c r="C169" s="1022"/>
      <c r="D169" s="1024"/>
      <c r="E169" s="1015"/>
      <c r="F169" s="2" t="s">
        <v>260</v>
      </c>
      <c r="G169" s="2" t="s">
        <v>259</v>
      </c>
      <c r="H169" s="2" t="s">
        <v>260</v>
      </c>
      <c r="I169" s="2" t="s">
        <v>259</v>
      </c>
    </row>
    <row r="170" spans="1:252" ht="5.65" customHeight="1" x14ac:dyDescent="0.25"/>
    <row r="171" spans="1:252" ht="14.1" customHeight="1" x14ac:dyDescent="0.25">
      <c r="A171" s="1021" t="s">
        <v>194</v>
      </c>
      <c r="B171" s="1021"/>
      <c r="C171" s="1021"/>
      <c r="D171" s="1021"/>
      <c r="E171" s="1021"/>
      <c r="F171" s="1021"/>
      <c r="G171" s="1021"/>
      <c r="H171" s="1021"/>
      <c r="I171" s="1021"/>
    </row>
    <row r="172" spans="1:252" ht="14.1" customHeight="1" x14ac:dyDescent="0.25">
      <c r="A172" s="24" t="s">
        <v>195</v>
      </c>
      <c r="B172" s="24" t="s">
        <v>196</v>
      </c>
      <c r="C172" s="25" t="s">
        <v>197</v>
      </c>
      <c r="D172" s="26">
        <f>F172+H172</f>
        <v>0</v>
      </c>
      <c r="E172" s="26">
        <f>G172+I172</f>
        <v>0</v>
      </c>
      <c r="F172" s="26"/>
      <c r="G172" s="26"/>
      <c r="H172" s="26"/>
      <c r="I172" s="26"/>
    </row>
    <row r="173" spans="1:252" ht="14.1" customHeight="1" x14ac:dyDescent="0.25">
      <c r="A173" s="24" t="s">
        <v>198</v>
      </c>
      <c r="B173" s="24" t="s">
        <v>199</v>
      </c>
      <c r="C173" s="25" t="s">
        <v>200</v>
      </c>
      <c r="D173" s="26">
        <f t="shared" ref="D173:E179" si="35">F173+H173</f>
        <v>0</v>
      </c>
      <c r="E173" s="26">
        <f t="shared" si="35"/>
        <v>0</v>
      </c>
      <c r="F173" s="26"/>
      <c r="G173" s="26"/>
      <c r="H173" s="26"/>
      <c r="I173" s="26"/>
    </row>
    <row r="174" spans="1:252" ht="14.1" customHeight="1" x14ac:dyDescent="0.25">
      <c r="A174" s="24" t="s">
        <v>201</v>
      </c>
      <c r="B174" s="24" t="s">
        <v>202</v>
      </c>
      <c r="C174" s="25" t="s">
        <v>203</v>
      </c>
      <c r="D174" s="26">
        <f t="shared" si="35"/>
        <v>150</v>
      </c>
      <c r="E174" s="26">
        <f t="shared" si="35"/>
        <v>0</v>
      </c>
      <c r="F174" s="26">
        <v>150</v>
      </c>
      <c r="G174" s="26"/>
      <c r="H174" s="26"/>
      <c r="I174" s="26"/>
    </row>
    <row r="175" spans="1:252" ht="14.1" customHeight="1" x14ac:dyDescent="0.25">
      <c r="A175" s="24" t="s">
        <v>204</v>
      </c>
      <c r="B175" s="24" t="s">
        <v>205</v>
      </c>
      <c r="C175" s="25" t="s">
        <v>206</v>
      </c>
      <c r="D175" s="26">
        <f t="shared" si="35"/>
        <v>200</v>
      </c>
      <c r="E175" s="26">
        <f t="shared" si="35"/>
        <v>320</v>
      </c>
      <c r="F175" s="26">
        <v>200</v>
      </c>
      <c r="G175" s="26">
        <v>320</v>
      </c>
      <c r="H175" s="26"/>
      <c r="I175" s="26"/>
    </row>
    <row r="176" spans="1:252" ht="14.1" customHeight="1" x14ac:dyDescent="0.25">
      <c r="A176" s="24"/>
      <c r="B176" s="24" t="s">
        <v>207</v>
      </c>
      <c r="C176" s="25" t="s">
        <v>208</v>
      </c>
      <c r="D176" s="26">
        <f t="shared" si="35"/>
        <v>0</v>
      </c>
      <c r="E176" s="26">
        <f t="shared" si="35"/>
        <v>0</v>
      </c>
      <c r="F176" s="26"/>
      <c r="G176" s="26"/>
      <c r="H176" s="26"/>
      <c r="I176" s="26"/>
    </row>
    <row r="177" spans="1:9" ht="14.1" customHeight="1" x14ac:dyDescent="0.25">
      <c r="A177" s="24" t="s">
        <v>209</v>
      </c>
      <c r="B177" s="24" t="s">
        <v>210</v>
      </c>
      <c r="C177" s="25" t="s">
        <v>211</v>
      </c>
      <c r="D177" s="26">
        <f t="shared" si="35"/>
        <v>0</v>
      </c>
      <c r="E177" s="26">
        <f t="shared" si="35"/>
        <v>0</v>
      </c>
      <c r="F177" s="26"/>
      <c r="G177" s="26"/>
      <c r="H177" s="26"/>
      <c r="I177" s="26"/>
    </row>
    <row r="178" spans="1:9" ht="14.1" customHeight="1" x14ac:dyDescent="0.25">
      <c r="A178" s="24" t="s">
        <v>212</v>
      </c>
      <c r="B178" s="24" t="s">
        <v>213</v>
      </c>
      <c r="C178" s="25" t="s">
        <v>214</v>
      </c>
      <c r="D178" s="26">
        <f t="shared" si="35"/>
        <v>0</v>
      </c>
      <c r="E178" s="26">
        <f t="shared" si="35"/>
        <v>0</v>
      </c>
      <c r="F178" s="26"/>
      <c r="G178" s="26"/>
      <c r="H178" s="26"/>
      <c r="I178" s="26"/>
    </row>
    <row r="179" spans="1:9" ht="14.1" customHeight="1" x14ac:dyDescent="0.25">
      <c r="A179" s="24" t="s">
        <v>215</v>
      </c>
      <c r="B179" s="24" t="s">
        <v>216</v>
      </c>
      <c r="C179" s="25" t="s">
        <v>217</v>
      </c>
      <c r="D179" s="26">
        <f t="shared" si="35"/>
        <v>95</v>
      </c>
      <c r="E179" s="26">
        <f t="shared" si="35"/>
        <v>86</v>
      </c>
      <c r="F179" s="26">
        <v>95</v>
      </c>
      <c r="G179" s="26">
        <f>ROUND((G172+G173+G174+G175+G176)*0.27,0)</f>
        <v>86</v>
      </c>
      <c r="H179" s="26">
        <v>0</v>
      </c>
      <c r="I179" s="26">
        <f>ROUND((I172+I173+I174+I175+I176)*0.27,0)</f>
        <v>0</v>
      </c>
    </row>
    <row r="180" spans="1:9" s="3" customFormat="1" ht="14.1" customHeight="1" x14ac:dyDescent="0.25">
      <c r="A180" s="20" t="s">
        <v>218</v>
      </c>
      <c r="B180" s="20" t="s">
        <v>219</v>
      </c>
      <c r="C180" s="21" t="s">
        <v>220</v>
      </c>
      <c r="D180" s="23">
        <f>SUM(D172:D179)</f>
        <v>445</v>
      </c>
      <c r="E180" s="23">
        <f t="shared" ref="E180:I180" si="36">SUM(E172:E179)</f>
        <v>406</v>
      </c>
      <c r="F180" s="23">
        <f t="shared" si="36"/>
        <v>445</v>
      </c>
      <c r="G180" s="23">
        <f t="shared" si="36"/>
        <v>406</v>
      </c>
      <c r="H180" s="23">
        <f t="shared" si="36"/>
        <v>0</v>
      </c>
      <c r="I180" s="23">
        <f t="shared" si="36"/>
        <v>0</v>
      </c>
    </row>
    <row r="181" spans="1:9" ht="14.1" customHeight="1" x14ac:dyDescent="0.25">
      <c r="A181" s="24" t="s">
        <v>221</v>
      </c>
      <c r="B181" s="24" t="s">
        <v>222</v>
      </c>
      <c r="C181" s="25" t="s">
        <v>223</v>
      </c>
      <c r="D181" s="26">
        <f>F181+H181</f>
        <v>0</v>
      </c>
      <c r="E181" s="26">
        <f t="shared" ref="E181:E185" si="37">G181+I181</f>
        <v>0</v>
      </c>
      <c r="F181" s="26"/>
      <c r="G181" s="26"/>
      <c r="H181" s="26"/>
      <c r="I181" s="26"/>
    </row>
    <row r="182" spans="1:9" ht="14.1" customHeight="1" x14ac:dyDescent="0.25">
      <c r="A182" s="24" t="s">
        <v>224</v>
      </c>
      <c r="B182" s="24" t="s">
        <v>225</v>
      </c>
      <c r="C182" s="25" t="s">
        <v>226</v>
      </c>
      <c r="D182" s="26">
        <f t="shared" ref="D182:D185" si="38">F182+H182</f>
        <v>0</v>
      </c>
      <c r="E182" s="26">
        <f t="shared" si="37"/>
        <v>0</v>
      </c>
      <c r="F182" s="26"/>
      <c r="G182" s="26"/>
      <c r="H182" s="26"/>
      <c r="I182" s="26"/>
    </row>
    <row r="183" spans="1:9" ht="14.1" customHeight="1" x14ac:dyDescent="0.25">
      <c r="A183" s="24" t="s">
        <v>227</v>
      </c>
      <c r="B183" s="24" t="s">
        <v>228</v>
      </c>
      <c r="C183" s="25" t="s">
        <v>229</v>
      </c>
      <c r="D183" s="26">
        <f t="shared" si="38"/>
        <v>0</v>
      </c>
      <c r="E183" s="26">
        <f>G183+I183</f>
        <v>0</v>
      </c>
      <c r="F183" s="26"/>
      <c r="G183" s="26"/>
      <c r="H183" s="26"/>
      <c r="I183" s="26"/>
    </row>
    <row r="184" spans="1:9" ht="14.1" customHeight="1" x14ac:dyDescent="0.25">
      <c r="A184" s="24"/>
      <c r="B184" s="24" t="s">
        <v>230</v>
      </c>
      <c r="C184" s="25" t="s">
        <v>231</v>
      </c>
      <c r="D184" s="26">
        <f t="shared" si="38"/>
        <v>0</v>
      </c>
      <c r="E184" s="26">
        <f t="shared" si="37"/>
        <v>0</v>
      </c>
      <c r="F184" s="26"/>
      <c r="G184" s="26"/>
      <c r="H184" s="26"/>
      <c r="I184" s="26"/>
    </row>
    <row r="185" spans="1:9" ht="14.1" customHeight="1" x14ac:dyDescent="0.25">
      <c r="A185" s="24" t="s">
        <v>232</v>
      </c>
      <c r="B185" s="24" t="s">
        <v>233</v>
      </c>
      <c r="C185" s="25" t="s">
        <v>234</v>
      </c>
      <c r="D185" s="26">
        <f t="shared" si="38"/>
        <v>0</v>
      </c>
      <c r="E185" s="26">
        <f t="shared" si="37"/>
        <v>0</v>
      </c>
      <c r="F185" s="26">
        <v>0</v>
      </c>
      <c r="G185" s="26">
        <f>ROUND((G181+G182+G183+G184)*0.27,0)</f>
        <v>0</v>
      </c>
      <c r="H185" s="26">
        <v>0</v>
      </c>
      <c r="I185" s="26">
        <f>ROUND((I181+I182+I183+I184)*0.27,0)</f>
        <v>0</v>
      </c>
    </row>
    <row r="186" spans="1:9" s="3" customFormat="1" ht="14.1" customHeight="1" x14ac:dyDescent="0.25">
      <c r="A186" s="20" t="s">
        <v>235</v>
      </c>
      <c r="B186" s="20" t="s">
        <v>236</v>
      </c>
      <c r="C186" s="21" t="s">
        <v>237</v>
      </c>
      <c r="D186" s="23">
        <f>SUM(D181:D185)</f>
        <v>0</v>
      </c>
      <c r="E186" s="23">
        <f t="shared" ref="E186:I186" si="39">SUM(E181:E185)</f>
        <v>0</v>
      </c>
      <c r="F186" s="23">
        <f t="shared" si="39"/>
        <v>0</v>
      </c>
      <c r="G186" s="23">
        <f t="shared" si="39"/>
        <v>0</v>
      </c>
      <c r="H186" s="23">
        <f t="shared" si="39"/>
        <v>0</v>
      </c>
      <c r="I186" s="23">
        <f t="shared" si="39"/>
        <v>0</v>
      </c>
    </row>
    <row r="187" spans="1:9" s="3" customFormat="1" ht="14.1" customHeight="1" x14ac:dyDescent="0.25">
      <c r="A187" s="1025" t="s">
        <v>293</v>
      </c>
      <c r="B187" s="1026"/>
      <c r="C187" s="1027" t="s">
        <v>238</v>
      </c>
      <c r="D187" s="28">
        <f>D180+D186</f>
        <v>445</v>
      </c>
      <c r="E187" s="28">
        <f t="shared" ref="E187:I187" si="40">E180+E186</f>
        <v>406</v>
      </c>
      <c r="F187" s="28">
        <f t="shared" si="40"/>
        <v>445</v>
      </c>
      <c r="G187" s="28">
        <f t="shared" si="40"/>
        <v>406</v>
      </c>
      <c r="H187" s="28">
        <f t="shared" si="40"/>
        <v>0</v>
      </c>
      <c r="I187" s="28">
        <f t="shared" si="40"/>
        <v>0</v>
      </c>
    </row>
    <row r="188" spans="1:9" ht="6.75" customHeight="1" x14ac:dyDescent="0.25"/>
    <row r="189" spans="1:9" ht="14.1" customHeight="1" x14ac:dyDescent="0.25">
      <c r="A189" s="1018" t="s">
        <v>294</v>
      </c>
      <c r="B189" s="1019"/>
      <c r="C189" s="1020"/>
      <c r="D189" s="30">
        <f>D187+D163</f>
        <v>155103</v>
      </c>
      <c r="E189" s="30">
        <f t="shared" ref="E189:I189" si="41">E187+E163</f>
        <v>153411</v>
      </c>
      <c r="F189" s="30">
        <f t="shared" si="41"/>
        <v>139304</v>
      </c>
      <c r="G189" s="30">
        <f t="shared" si="41"/>
        <v>137612</v>
      </c>
      <c r="H189" s="30">
        <f t="shared" si="41"/>
        <v>15799</v>
      </c>
      <c r="I189" s="30">
        <f t="shared" si="41"/>
        <v>15799</v>
      </c>
    </row>
    <row r="194" spans="1:9" s="1" customFormat="1" ht="12.75" customHeight="1" x14ac:dyDescent="0.25">
      <c r="A194" s="1022" t="s">
        <v>370</v>
      </c>
      <c r="B194" s="1022"/>
      <c r="C194" s="1022"/>
      <c r="D194" s="1022"/>
      <c r="E194" s="1022"/>
      <c r="F194" s="1022"/>
      <c r="G194" s="1022"/>
      <c r="H194" s="1022"/>
      <c r="I194" s="1022"/>
    </row>
    <row r="195" spans="1:9" s="1" customFormat="1" ht="14.1" customHeight="1" x14ac:dyDescent="0.25">
      <c r="A195" s="1022" t="s">
        <v>0</v>
      </c>
      <c r="B195" s="1023" t="s">
        <v>1</v>
      </c>
      <c r="C195" s="1022" t="s">
        <v>2</v>
      </c>
      <c r="D195" s="1024" t="s">
        <v>260</v>
      </c>
      <c r="E195" s="1014" t="s">
        <v>259</v>
      </c>
      <c r="F195" s="1016" t="s">
        <v>261</v>
      </c>
      <c r="G195" s="1017"/>
      <c r="H195" s="1016" t="s">
        <v>262</v>
      </c>
      <c r="I195" s="1017"/>
    </row>
    <row r="196" spans="1:9" s="3" customFormat="1" ht="23.25" customHeight="1" x14ac:dyDescent="0.25">
      <c r="A196" s="1022"/>
      <c r="B196" s="1023"/>
      <c r="C196" s="1022"/>
      <c r="D196" s="1024"/>
      <c r="E196" s="1015"/>
      <c r="F196" s="2" t="s">
        <v>260</v>
      </c>
      <c r="G196" s="2" t="s">
        <v>259</v>
      </c>
      <c r="H196" s="2" t="s">
        <v>260</v>
      </c>
      <c r="I196" s="2" t="s">
        <v>259</v>
      </c>
    </row>
    <row r="197" spans="1:9" ht="5.65" customHeight="1" x14ac:dyDescent="0.25"/>
    <row r="198" spans="1:9" ht="14.1" customHeight="1" x14ac:dyDescent="0.25">
      <c r="A198" s="1021" t="s">
        <v>239</v>
      </c>
      <c r="B198" s="1021"/>
      <c r="C198" s="1021"/>
      <c r="D198" s="1021"/>
      <c r="E198" s="1021"/>
      <c r="F198" s="1021"/>
      <c r="G198" s="1021"/>
      <c r="H198" s="1021"/>
      <c r="I198" s="1021"/>
    </row>
    <row r="199" spans="1:9" s="3" customFormat="1" ht="14.1" customHeight="1" x14ac:dyDescent="0.25">
      <c r="A199" s="20" t="s">
        <v>240</v>
      </c>
      <c r="B199" s="20"/>
      <c r="C199" s="21" t="s">
        <v>241</v>
      </c>
      <c r="D199" s="23">
        <f>SUM(D200:D209)</f>
        <v>10088</v>
      </c>
      <c r="E199" s="23">
        <f t="shared" ref="E199:I199" si="42">SUM(E200:E209)</f>
        <v>3759</v>
      </c>
      <c r="F199" s="23">
        <f t="shared" si="42"/>
        <v>0</v>
      </c>
      <c r="G199" s="23">
        <f t="shared" si="42"/>
        <v>0</v>
      </c>
      <c r="H199" s="23">
        <f t="shared" si="42"/>
        <v>10088</v>
      </c>
      <c r="I199" s="23">
        <f t="shared" si="42"/>
        <v>3759</v>
      </c>
    </row>
    <row r="200" spans="1:9" ht="14.1" customHeight="1" x14ac:dyDescent="0.25">
      <c r="A200" s="24" t="s">
        <v>242</v>
      </c>
      <c r="B200" s="24"/>
      <c r="C200" s="25" t="s">
        <v>243</v>
      </c>
      <c r="D200" s="26">
        <f>F200+H200</f>
        <v>0</v>
      </c>
      <c r="E200" s="26">
        <f>G200+I200</f>
        <v>0</v>
      </c>
      <c r="F200" s="26"/>
      <c r="G200" s="26"/>
      <c r="H200" s="26"/>
      <c r="I200" s="26"/>
    </row>
    <row r="201" spans="1:9" ht="14.1" customHeight="1" x14ac:dyDescent="0.25">
      <c r="A201" s="24" t="s">
        <v>244</v>
      </c>
      <c r="B201" s="24"/>
      <c r="C201" s="25" t="s">
        <v>245</v>
      </c>
      <c r="D201" s="26">
        <f t="shared" ref="D201:E209" si="43">F201+H201</f>
        <v>0</v>
      </c>
      <c r="E201" s="26">
        <f t="shared" si="43"/>
        <v>0</v>
      </c>
      <c r="F201" s="26"/>
      <c r="G201" s="26"/>
      <c r="H201" s="26"/>
      <c r="I201" s="26"/>
    </row>
    <row r="202" spans="1:9" ht="14.1" customHeight="1" x14ac:dyDescent="0.25">
      <c r="A202" s="24" t="s">
        <v>246</v>
      </c>
      <c r="B202" s="24"/>
      <c r="C202" s="25" t="s">
        <v>247</v>
      </c>
      <c r="D202" s="26">
        <f t="shared" si="43"/>
        <v>0</v>
      </c>
      <c r="E202" s="26">
        <f t="shared" si="43"/>
        <v>0</v>
      </c>
      <c r="F202" s="26"/>
      <c r="G202" s="26"/>
      <c r="H202" s="26"/>
      <c r="I202" s="26"/>
    </row>
    <row r="203" spans="1:9" ht="14.1" customHeight="1" x14ac:dyDescent="0.25">
      <c r="A203" s="24" t="s">
        <v>248</v>
      </c>
      <c r="B203" s="24"/>
      <c r="C203" s="25" t="s">
        <v>249</v>
      </c>
      <c r="D203" s="26">
        <f t="shared" si="43"/>
        <v>0</v>
      </c>
      <c r="E203" s="26">
        <f t="shared" si="43"/>
        <v>0</v>
      </c>
      <c r="F203" s="26"/>
      <c r="G203" s="26"/>
      <c r="H203" s="26"/>
      <c r="I203" s="26"/>
    </row>
    <row r="204" spans="1:9" ht="14.1" customHeight="1" x14ac:dyDescent="0.25">
      <c r="A204" s="24" t="s">
        <v>296</v>
      </c>
      <c r="B204" s="24"/>
      <c r="C204" s="25" t="s">
        <v>297</v>
      </c>
      <c r="D204" s="26">
        <f t="shared" si="43"/>
        <v>7628</v>
      </c>
      <c r="E204" s="26">
        <f t="shared" si="43"/>
        <v>2960</v>
      </c>
      <c r="F204" s="26"/>
      <c r="G204" s="26"/>
      <c r="H204" s="26">
        <v>7628</v>
      </c>
      <c r="I204" s="26">
        <v>2960</v>
      </c>
    </row>
    <row r="205" spans="1:9" ht="14.1" customHeight="1" x14ac:dyDescent="0.25">
      <c r="A205" s="24" t="s">
        <v>250</v>
      </c>
      <c r="B205" s="24"/>
      <c r="C205" s="25" t="s">
        <v>251</v>
      </c>
      <c r="D205" s="26">
        <f t="shared" si="43"/>
        <v>2060</v>
      </c>
      <c r="E205" s="26">
        <f t="shared" si="43"/>
        <v>799</v>
      </c>
      <c r="F205" s="26"/>
      <c r="G205" s="26">
        <f>ROUND((G200+G201+G202+G203+G204)*0.27,0)</f>
        <v>0</v>
      </c>
      <c r="H205" s="26">
        <v>2060</v>
      </c>
      <c r="I205" s="26">
        <f>ROUND((I200+I201+I202+I203+I204)*0.27,0)</f>
        <v>799</v>
      </c>
    </row>
    <row r="206" spans="1:9" ht="14.1" customHeight="1" x14ac:dyDescent="0.25">
      <c r="A206" s="24" t="s">
        <v>298</v>
      </c>
      <c r="B206" s="24"/>
      <c r="C206" s="25" t="s">
        <v>299</v>
      </c>
      <c r="D206" s="26">
        <f t="shared" si="43"/>
        <v>400</v>
      </c>
      <c r="E206" s="26">
        <f t="shared" si="43"/>
        <v>0</v>
      </c>
      <c r="F206" s="26"/>
      <c r="G206" s="26"/>
      <c r="H206" s="26">
        <v>400</v>
      </c>
      <c r="I206" s="26"/>
    </row>
    <row r="207" spans="1:9" ht="14.1" customHeight="1" x14ac:dyDescent="0.25">
      <c r="A207" s="24" t="s">
        <v>252</v>
      </c>
      <c r="B207" s="24"/>
      <c r="C207" s="25" t="s">
        <v>253</v>
      </c>
      <c r="D207" s="26">
        <f t="shared" si="43"/>
        <v>0</v>
      </c>
      <c r="E207" s="26">
        <f t="shared" si="43"/>
        <v>0</v>
      </c>
      <c r="F207" s="26"/>
      <c r="G207" s="26"/>
      <c r="H207" s="26"/>
      <c r="I207" s="26"/>
    </row>
    <row r="208" spans="1:9" ht="14.1" customHeight="1" x14ac:dyDescent="0.25">
      <c r="A208" s="24" t="s">
        <v>300</v>
      </c>
      <c r="B208" s="24"/>
      <c r="C208" s="25" t="s">
        <v>301</v>
      </c>
      <c r="D208" s="26">
        <f t="shared" si="43"/>
        <v>0</v>
      </c>
      <c r="E208" s="26">
        <f t="shared" si="43"/>
        <v>0</v>
      </c>
      <c r="F208" s="26"/>
      <c r="G208" s="26"/>
      <c r="H208" s="26"/>
      <c r="I208" s="26"/>
    </row>
    <row r="209" spans="1:9" ht="14.1" customHeight="1" x14ac:dyDescent="0.25">
      <c r="A209" s="24" t="s">
        <v>254</v>
      </c>
      <c r="B209" s="24"/>
      <c r="C209" s="25" t="s">
        <v>255</v>
      </c>
      <c r="D209" s="26">
        <f t="shared" si="43"/>
        <v>0</v>
      </c>
      <c r="E209" s="26">
        <f t="shared" si="43"/>
        <v>0</v>
      </c>
      <c r="F209" s="26"/>
      <c r="G209" s="26"/>
      <c r="H209" s="26"/>
      <c r="I209" s="26"/>
    </row>
    <row r="210" spans="1:9" s="3" customFormat="1" ht="14.1" customHeight="1" x14ac:dyDescent="0.25">
      <c r="A210" s="20" t="s">
        <v>256</v>
      </c>
      <c r="B210" s="20"/>
      <c r="C210" s="21" t="s">
        <v>257</v>
      </c>
      <c r="D210" s="23">
        <f>F210+H210</f>
        <v>0</v>
      </c>
      <c r="E210" s="23">
        <f>G210+I210</f>
        <v>0</v>
      </c>
      <c r="F210" s="23">
        <v>0</v>
      </c>
      <c r="G210" s="23">
        <v>0</v>
      </c>
      <c r="H210" s="23">
        <v>0</v>
      </c>
      <c r="I210" s="23">
        <v>0</v>
      </c>
    </row>
    <row r="211" spans="1:9" s="3" customFormat="1" ht="14.1" customHeight="1" x14ac:dyDescent="0.25">
      <c r="A211" s="1018" t="s">
        <v>295</v>
      </c>
      <c r="B211" s="1019"/>
      <c r="C211" s="1020"/>
      <c r="D211" s="30">
        <f>D199+D210</f>
        <v>10088</v>
      </c>
      <c r="E211" s="30">
        <f t="shared" ref="E211:I211" si="44">E199+E210</f>
        <v>3759</v>
      </c>
      <c r="F211" s="30">
        <f t="shared" si="44"/>
        <v>0</v>
      </c>
      <c r="G211" s="30">
        <f t="shared" si="44"/>
        <v>0</v>
      </c>
      <c r="H211" s="30">
        <f t="shared" si="44"/>
        <v>10088</v>
      </c>
      <c r="I211" s="30">
        <f t="shared" si="44"/>
        <v>3759</v>
      </c>
    </row>
  </sheetData>
  <sheetProtection selectLockedCells="1" selectUnlockedCells="1"/>
  <mergeCells count="41">
    <mergeCell ref="A1:I1"/>
    <mergeCell ref="A2:A3"/>
    <mergeCell ref="B2:B3"/>
    <mergeCell ref="C2:C3"/>
    <mergeCell ref="D2:D3"/>
    <mergeCell ref="E2:E3"/>
    <mergeCell ref="F2:G2"/>
    <mergeCell ref="H2:I2"/>
    <mergeCell ref="A5:I5"/>
    <mergeCell ref="A75:C75"/>
    <mergeCell ref="A79:I79"/>
    <mergeCell ref="A80:A81"/>
    <mergeCell ref="B80:B81"/>
    <mergeCell ref="C80:C81"/>
    <mergeCell ref="D80:D81"/>
    <mergeCell ref="E80:E81"/>
    <mergeCell ref="F80:G80"/>
    <mergeCell ref="H80:I80"/>
    <mergeCell ref="A83:I83"/>
    <mergeCell ref="A163:C163"/>
    <mergeCell ref="A167:I167"/>
    <mergeCell ref="A168:A169"/>
    <mergeCell ref="B168:B169"/>
    <mergeCell ref="C168:C169"/>
    <mergeCell ref="D168:D169"/>
    <mergeCell ref="E168:E169"/>
    <mergeCell ref="F168:G168"/>
    <mergeCell ref="H168:I168"/>
    <mergeCell ref="H195:I195"/>
    <mergeCell ref="A198:I198"/>
    <mergeCell ref="A211:C211"/>
    <mergeCell ref="A171:I171"/>
    <mergeCell ref="A187:C187"/>
    <mergeCell ref="A189:C189"/>
    <mergeCell ref="A194:I194"/>
    <mergeCell ref="A195:A196"/>
    <mergeCell ref="B195:B196"/>
    <mergeCell ref="C195:C196"/>
    <mergeCell ref="D195:D196"/>
    <mergeCell ref="E195:E196"/>
    <mergeCell ref="F195:G195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75" max="16383" man="1"/>
    <brk id="140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R180"/>
  <sheetViews>
    <sheetView view="pageBreakPreview" zoomScale="150" zoomScaleNormal="100" zoomScaleSheetLayoutView="150" workbookViewId="0">
      <pane ySplit="4" topLeftCell="A56" activePane="bottomLeft" state="frozen"/>
      <selection pane="bottomLeft" activeCell="B69" sqref="B6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22" t="s">
        <v>404</v>
      </c>
      <c r="B1" s="1022"/>
      <c r="C1" s="1022"/>
      <c r="D1" s="1022"/>
      <c r="E1" s="1022"/>
      <c r="F1" s="1022"/>
      <c r="G1" s="1022"/>
      <c r="H1" s="1022"/>
      <c r="I1" s="1022"/>
    </row>
    <row r="2" spans="1:9" s="1" customFormat="1" ht="14.1" customHeight="1" x14ac:dyDescent="0.25">
      <c r="A2" s="1022" t="s">
        <v>0</v>
      </c>
      <c r="B2" s="1023" t="s">
        <v>1</v>
      </c>
      <c r="C2" s="1022" t="s">
        <v>2</v>
      </c>
      <c r="D2" s="1024" t="s">
        <v>260</v>
      </c>
      <c r="E2" s="1014" t="s">
        <v>259</v>
      </c>
      <c r="F2" s="1016" t="s">
        <v>261</v>
      </c>
      <c r="G2" s="1017"/>
      <c r="H2" s="1016" t="s">
        <v>262</v>
      </c>
      <c r="I2" s="1017"/>
    </row>
    <row r="3" spans="1:9" s="3" customFormat="1" ht="25.5" customHeight="1" x14ac:dyDescent="0.25">
      <c r="A3" s="1022"/>
      <c r="B3" s="1023"/>
      <c r="C3" s="1022"/>
      <c r="D3" s="1024"/>
      <c r="E3" s="1015"/>
      <c r="F3" s="29" t="s">
        <v>263</v>
      </c>
      <c r="G3" s="29" t="s">
        <v>259</v>
      </c>
      <c r="H3" s="29" t="s">
        <v>260</v>
      </c>
      <c r="I3" s="29" t="s">
        <v>259</v>
      </c>
    </row>
    <row r="4" spans="1:9" ht="5.65" customHeight="1" x14ac:dyDescent="0.25"/>
    <row r="5" spans="1:9" ht="14.1" customHeight="1" x14ac:dyDescent="0.25">
      <c r="A5" s="1021" t="s">
        <v>3</v>
      </c>
      <c r="B5" s="1021"/>
      <c r="C5" s="1021"/>
      <c r="D5" s="1021"/>
      <c r="E5" s="1021"/>
      <c r="F5" s="1021"/>
      <c r="G5" s="1021"/>
      <c r="H5" s="1021"/>
      <c r="I5" s="1021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132520</v>
      </c>
      <c r="E6" s="9">
        <f>G6+I6</f>
        <v>145416</v>
      </c>
      <c r="F6" s="10">
        <v>132520</v>
      </c>
      <c r="G6" s="10">
        <f>SUM(G7:G8)</f>
        <v>145416</v>
      </c>
      <c r="H6" s="10">
        <v>0</v>
      </c>
      <c r="I6" s="10">
        <f>SUM(I7:I7)</f>
        <v>0</v>
      </c>
    </row>
    <row r="7" spans="1:9" s="15" customFormat="1" ht="11.45" customHeight="1" x14ac:dyDescent="0.25">
      <c r="A7" s="11"/>
      <c r="B7" s="11"/>
      <c r="C7" s="12" t="s">
        <v>1164</v>
      </c>
      <c r="D7" s="13"/>
      <c r="E7" s="13"/>
      <c r="F7" s="14"/>
      <c r="G7" s="14">
        <v>145029</v>
      </c>
      <c r="H7" s="14"/>
      <c r="I7" s="14"/>
    </row>
    <row r="8" spans="1:9" s="15" customFormat="1" ht="11.45" customHeight="1" x14ac:dyDescent="0.25">
      <c r="A8" s="11"/>
      <c r="B8" s="11"/>
      <c r="C8" s="12" t="s">
        <v>1165</v>
      </c>
      <c r="D8" s="13"/>
      <c r="E8" s="13"/>
      <c r="F8" s="14"/>
      <c r="G8" s="14">
        <v>387</v>
      </c>
      <c r="H8" s="14"/>
      <c r="I8" s="14"/>
    </row>
    <row r="9" spans="1:9" s="3" customFormat="1" ht="12.75" customHeight="1" x14ac:dyDescent="0.25">
      <c r="A9" s="7" t="s">
        <v>7</v>
      </c>
      <c r="B9" s="7" t="s">
        <v>8</v>
      </c>
      <c r="C9" s="8" t="s">
        <v>9</v>
      </c>
      <c r="D9" s="9">
        <f t="shared" ref="D9:E11" si="0">F9+H9</f>
        <v>0</v>
      </c>
      <c r="E9" s="9">
        <f t="shared" si="0"/>
        <v>0</v>
      </c>
      <c r="F9" s="10">
        <v>0</v>
      </c>
      <c r="G9" s="10">
        <v>0</v>
      </c>
      <c r="H9" s="10">
        <v>0</v>
      </c>
      <c r="I9" s="10">
        <v>0</v>
      </c>
    </row>
    <row r="10" spans="1:9" s="3" customFormat="1" ht="12.75" customHeight="1" x14ac:dyDescent="0.25">
      <c r="A10" s="7" t="s">
        <v>10</v>
      </c>
      <c r="B10" s="7" t="s">
        <v>11</v>
      </c>
      <c r="C10" s="8" t="s">
        <v>12</v>
      </c>
      <c r="D10" s="9">
        <f t="shared" si="0"/>
        <v>0</v>
      </c>
      <c r="E10" s="9">
        <f t="shared" si="0"/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s="3" customFormat="1" ht="12.75" customHeight="1" x14ac:dyDescent="0.25">
      <c r="A11" s="7" t="s">
        <v>13</v>
      </c>
      <c r="B11" s="7" t="s">
        <v>14</v>
      </c>
      <c r="C11" s="8" t="s">
        <v>15</v>
      </c>
      <c r="D11" s="9">
        <f t="shared" si="0"/>
        <v>1200</v>
      </c>
      <c r="E11" s="9">
        <f t="shared" si="0"/>
        <v>800</v>
      </c>
      <c r="F11" s="10">
        <f>SUM(F12:F13)</f>
        <v>1200</v>
      </c>
      <c r="G11" s="10">
        <f>SUM(G12:G13)</f>
        <v>800</v>
      </c>
      <c r="H11" s="10">
        <v>0</v>
      </c>
      <c r="I11" s="10">
        <f t="shared" ref="I11" si="1">SUM(I12:I13)</f>
        <v>0</v>
      </c>
    </row>
    <row r="12" spans="1:9" s="15" customFormat="1" ht="11.45" customHeight="1" x14ac:dyDescent="0.25">
      <c r="A12" s="11"/>
      <c r="B12" s="11"/>
      <c r="C12" s="12" t="s">
        <v>16</v>
      </c>
      <c r="D12" s="13"/>
      <c r="E12" s="13"/>
      <c r="F12" s="14">
        <v>1200</v>
      </c>
      <c r="G12" s="14">
        <v>800</v>
      </c>
      <c r="H12" s="14"/>
      <c r="I12" s="14"/>
    </row>
    <row r="13" spans="1:9" s="15" customFormat="1" ht="11.45" customHeight="1" x14ac:dyDescent="0.25">
      <c r="A13" s="11"/>
      <c r="B13" s="11"/>
      <c r="C13" s="12" t="s">
        <v>17</v>
      </c>
      <c r="D13" s="13"/>
      <c r="E13" s="13"/>
      <c r="F13" s="14"/>
      <c r="G13" s="14"/>
      <c r="H13" s="14"/>
      <c r="I13" s="14"/>
    </row>
    <row r="14" spans="1:9" s="3" customFormat="1" ht="12.75" customHeight="1" x14ac:dyDescent="0.25">
      <c r="A14" s="7" t="s">
        <v>18</v>
      </c>
      <c r="B14" s="7" t="s">
        <v>19</v>
      </c>
      <c r="C14" s="8" t="s">
        <v>20</v>
      </c>
      <c r="D14" s="9">
        <f t="shared" ref="D14:E18" si="2">F14+H14</f>
        <v>0</v>
      </c>
      <c r="E14" s="9">
        <f t="shared" si="2"/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s="3" customFormat="1" ht="12.75" customHeight="1" x14ac:dyDescent="0.25">
      <c r="A15" s="7" t="s">
        <v>21</v>
      </c>
      <c r="B15" s="7" t="s">
        <v>22</v>
      </c>
      <c r="C15" s="8" t="s">
        <v>23</v>
      </c>
      <c r="D15" s="9">
        <f t="shared" si="2"/>
        <v>2124</v>
      </c>
      <c r="E15" s="9">
        <f t="shared" si="2"/>
        <v>1115</v>
      </c>
      <c r="F15" s="10">
        <v>2124</v>
      </c>
      <c r="G15" s="10">
        <f>SUM(G16:G17)</f>
        <v>1115</v>
      </c>
      <c r="H15" s="10">
        <v>0</v>
      </c>
      <c r="I15" s="10">
        <v>0</v>
      </c>
    </row>
    <row r="16" spans="1:9" s="3" customFormat="1" ht="12.75" customHeight="1" x14ac:dyDescent="0.25">
      <c r="A16" s="11"/>
      <c r="B16" s="11"/>
      <c r="C16" s="12" t="s">
        <v>1166</v>
      </c>
      <c r="D16" s="13"/>
      <c r="E16" s="13"/>
      <c r="F16" s="14"/>
      <c r="G16" s="14">
        <v>549</v>
      </c>
      <c r="H16" s="14"/>
      <c r="I16" s="14"/>
    </row>
    <row r="17" spans="1:9" s="3" customFormat="1" ht="12.75" customHeight="1" x14ac:dyDescent="0.25">
      <c r="A17" s="11"/>
      <c r="B17" s="11"/>
      <c r="C17" s="12" t="s">
        <v>1167</v>
      </c>
      <c r="D17" s="13"/>
      <c r="E17" s="13"/>
      <c r="F17" s="14"/>
      <c r="G17" s="14">
        <v>566</v>
      </c>
      <c r="H17" s="14"/>
      <c r="I17" s="14"/>
    </row>
    <row r="18" spans="1:9" s="3" customFormat="1" ht="12.75" customHeight="1" x14ac:dyDescent="0.25">
      <c r="A18" s="7" t="s">
        <v>24</v>
      </c>
      <c r="B18" s="7" t="s">
        <v>25</v>
      </c>
      <c r="C18" s="8" t="s">
        <v>26</v>
      </c>
      <c r="D18" s="9">
        <f t="shared" si="2"/>
        <v>5376</v>
      </c>
      <c r="E18" s="9">
        <f t="shared" si="2"/>
        <v>5376</v>
      </c>
      <c r="F18" s="10">
        <v>5376</v>
      </c>
      <c r="G18" s="10">
        <f>G19</f>
        <v>5376</v>
      </c>
      <c r="H18" s="10">
        <v>0</v>
      </c>
      <c r="I18" s="10">
        <f t="shared" ref="I18" si="3">I19</f>
        <v>0</v>
      </c>
    </row>
    <row r="19" spans="1:9" s="15" customFormat="1" ht="11.45" customHeight="1" x14ac:dyDescent="0.25">
      <c r="A19" s="11"/>
      <c r="B19" s="11"/>
      <c r="C19" s="12" t="s">
        <v>407</v>
      </c>
      <c r="D19" s="13"/>
      <c r="E19" s="13"/>
      <c r="F19" s="14"/>
      <c r="G19" s="14">
        <v>5376</v>
      </c>
      <c r="H19" s="14"/>
      <c r="I19" s="14"/>
    </row>
    <row r="20" spans="1:9" s="3" customFormat="1" ht="12.75" customHeight="1" x14ac:dyDescent="0.25">
      <c r="A20" s="7" t="s">
        <v>27</v>
      </c>
      <c r="B20" s="7" t="s">
        <v>28</v>
      </c>
      <c r="C20" s="8" t="s">
        <v>29</v>
      </c>
      <c r="D20" s="9">
        <f t="shared" ref="D20:E22" si="4">F20+H20</f>
        <v>100</v>
      </c>
      <c r="E20" s="9">
        <f t="shared" si="4"/>
        <v>0</v>
      </c>
      <c r="F20" s="10">
        <v>100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30</v>
      </c>
      <c r="B21" s="7" t="s">
        <v>31</v>
      </c>
      <c r="C21" s="8" t="s">
        <v>32</v>
      </c>
      <c r="D21" s="9">
        <f t="shared" si="4"/>
        <v>1080</v>
      </c>
      <c r="E21" s="9">
        <f t="shared" si="4"/>
        <v>1200</v>
      </c>
      <c r="F21" s="10">
        <v>1080</v>
      </c>
      <c r="G21" s="10">
        <v>1200</v>
      </c>
      <c r="H21" s="10">
        <v>0</v>
      </c>
      <c r="I21" s="10">
        <v>0</v>
      </c>
    </row>
    <row r="22" spans="1:9" s="3" customFormat="1" ht="12.75" customHeight="1" x14ac:dyDescent="0.25">
      <c r="A22" s="7" t="s">
        <v>33</v>
      </c>
      <c r="B22" s="7" t="s">
        <v>34</v>
      </c>
      <c r="C22" s="8" t="s">
        <v>35</v>
      </c>
      <c r="D22" s="9">
        <f t="shared" si="4"/>
        <v>0</v>
      </c>
      <c r="E22" s="9">
        <f t="shared" si="4"/>
        <v>792</v>
      </c>
      <c r="F22" s="10">
        <v>0</v>
      </c>
      <c r="G22" s="10">
        <f>G23+G24</f>
        <v>792</v>
      </c>
      <c r="H22" s="10">
        <v>0</v>
      </c>
      <c r="I22" s="10">
        <f>I23</f>
        <v>0</v>
      </c>
    </row>
    <row r="23" spans="1:9" s="3" customFormat="1" ht="12.75" customHeight="1" x14ac:dyDescent="0.25">
      <c r="A23" s="11"/>
      <c r="B23" s="11"/>
      <c r="C23" s="12" t="s">
        <v>279</v>
      </c>
      <c r="D23" s="13"/>
      <c r="E23" s="13"/>
      <c r="F23" s="14"/>
      <c r="G23" s="14">
        <v>120</v>
      </c>
      <c r="H23" s="14"/>
      <c r="I23" s="14"/>
    </row>
    <row r="24" spans="1:9" s="3" customFormat="1" ht="12.75" customHeight="1" x14ac:dyDescent="0.25">
      <c r="A24" s="11"/>
      <c r="B24" s="11"/>
      <c r="C24" s="12" t="s">
        <v>1275</v>
      </c>
      <c r="D24" s="13"/>
      <c r="E24" s="13"/>
      <c r="F24" s="14"/>
      <c r="G24" s="14">
        <v>672</v>
      </c>
      <c r="H24" s="14"/>
      <c r="I24" s="14"/>
    </row>
    <row r="25" spans="1:9" s="3" customFormat="1" ht="12.75" customHeight="1" x14ac:dyDescent="0.25">
      <c r="A25" s="7" t="s">
        <v>36</v>
      </c>
      <c r="B25" s="7" t="s">
        <v>37</v>
      </c>
      <c r="C25" s="8" t="s">
        <v>38</v>
      </c>
      <c r="D25" s="9">
        <f>F25+H25</f>
        <v>0</v>
      </c>
      <c r="E25" s="9">
        <f>G25+I25</f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>F26+H26</f>
        <v>663</v>
      </c>
      <c r="E26" s="9">
        <f>G26+I26</f>
        <v>582</v>
      </c>
      <c r="F26" s="10">
        <f>F27</f>
        <v>663</v>
      </c>
      <c r="G26" s="10">
        <f t="shared" ref="G26:I26" si="5">G27</f>
        <v>582</v>
      </c>
      <c r="H26" s="10">
        <f t="shared" si="5"/>
        <v>0</v>
      </c>
      <c r="I26" s="10">
        <f t="shared" si="5"/>
        <v>0</v>
      </c>
    </row>
    <row r="27" spans="1:9" s="3" customFormat="1" ht="12.75" customHeight="1" x14ac:dyDescent="0.25">
      <c r="A27" s="11"/>
      <c r="B27" s="11"/>
      <c r="C27" s="12" t="s">
        <v>280</v>
      </c>
      <c r="D27" s="13"/>
      <c r="E27" s="13"/>
      <c r="F27" s="14">
        <v>663</v>
      </c>
      <c r="G27" s="14">
        <f>ROUND(G6*0.004,0)</f>
        <v>582</v>
      </c>
      <c r="H27" s="14"/>
      <c r="I27" s="14"/>
    </row>
    <row r="28" spans="1:9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</f>
        <v>1650</v>
      </c>
      <c r="E28" s="9">
        <f>G28+I28</f>
        <v>4862</v>
      </c>
      <c r="F28" s="10">
        <v>1650</v>
      </c>
      <c r="G28" s="10">
        <f>G29+G30</f>
        <v>4862</v>
      </c>
      <c r="H28" s="10">
        <v>0</v>
      </c>
      <c r="I28" s="10">
        <f>I29</f>
        <v>0</v>
      </c>
    </row>
    <row r="29" spans="1:9" s="15" customFormat="1" ht="11.45" customHeight="1" x14ac:dyDescent="0.25">
      <c r="A29" s="11"/>
      <c r="B29" s="11"/>
      <c r="C29" s="12" t="s">
        <v>408</v>
      </c>
      <c r="D29" s="13"/>
      <c r="E29" s="13"/>
      <c r="F29" s="14"/>
      <c r="G29" s="14">
        <v>500</v>
      </c>
      <c r="H29" s="14"/>
      <c r="I29" s="14"/>
    </row>
    <row r="30" spans="1:9" s="15" customFormat="1" ht="11.45" customHeight="1" x14ac:dyDescent="0.25">
      <c r="A30" s="11"/>
      <c r="B30" s="11"/>
      <c r="C30" s="12" t="s">
        <v>1277</v>
      </c>
      <c r="D30" s="13"/>
      <c r="E30" s="13"/>
      <c r="F30" s="14"/>
      <c r="G30" s="14">
        <f>ROUND(G6*0.03,0)</f>
        <v>4362</v>
      </c>
      <c r="H30" s="14"/>
      <c r="I30" s="14"/>
    </row>
    <row r="31" spans="1:9" s="3" customFormat="1" ht="12.75" customHeight="1" x14ac:dyDescent="0.25">
      <c r="A31" s="16" t="s">
        <v>45</v>
      </c>
      <c r="B31" s="16" t="s">
        <v>46</v>
      </c>
      <c r="C31" s="17" t="s">
        <v>47</v>
      </c>
      <c r="D31" s="18">
        <f t="shared" ref="D31:I31" si="6">D6+D9+D10+D11+D14+D15+D18+D20+D21+D22+D25+D26+D28</f>
        <v>144713</v>
      </c>
      <c r="E31" s="18">
        <f t="shared" si="6"/>
        <v>160143</v>
      </c>
      <c r="F31" s="18">
        <f t="shared" si="6"/>
        <v>144713</v>
      </c>
      <c r="G31" s="18">
        <f t="shared" si="6"/>
        <v>160143</v>
      </c>
      <c r="H31" s="18">
        <f t="shared" si="6"/>
        <v>0</v>
      </c>
      <c r="I31" s="18">
        <f t="shared" si="6"/>
        <v>0</v>
      </c>
    </row>
    <row r="32" spans="1:9" s="3" customFormat="1" ht="12.75" customHeight="1" x14ac:dyDescent="0.25">
      <c r="A32" s="7" t="s">
        <v>48</v>
      </c>
      <c r="B32" s="7" t="s">
        <v>49</v>
      </c>
      <c r="C32" s="8" t="s">
        <v>50</v>
      </c>
      <c r="D32" s="9">
        <f>F32+H32</f>
        <v>0</v>
      </c>
      <c r="E32" s="9">
        <f>G32+I32</f>
        <v>0</v>
      </c>
      <c r="F32" s="10">
        <v>0</v>
      </c>
      <c r="G32" s="10">
        <v>0</v>
      </c>
      <c r="H32" s="10">
        <v>0</v>
      </c>
      <c r="I32" s="10">
        <v>0</v>
      </c>
    </row>
    <row r="33" spans="1:9" s="3" customFormat="1" ht="12.75" customHeight="1" x14ac:dyDescent="0.25">
      <c r="A33" s="7" t="s">
        <v>51</v>
      </c>
      <c r="B33" s="7" t="s">
        <v>52</v>
      </c>
      <c r="C33" s="8" t="s">
        <v>53</v>
      </c>
      <c r="D33" s="9">
        <f>F33+H33</f>
        <v>400</v>
      </c>
      <c r="E33" s="9">
        <f>G33+I33</f>
        <v>300</v>
      </c>
      <c r="F33" s="10">
        <f>F34</f>
        <v>400</v>
      </c>
      <c r="G33" s="10">
        <f t="shared" ref="G33:I33" si="7">G34</f>
        <v>300</v>
      </c>
      <c r="H33" s="10">
        <f t="shared" si="7"/>
        <v>0</v>
      </c>
      <c r="I33" s="10">
        <f t="shared" si="7"/>
        <v>0</v>
      </c>
    </row>
    <row r="34" spans="1:9" s="15" customFormat="1" ht="11.45" customHeight="1" x14ac:dyDescent="0.25">
      <c r="A34" s="11"/>
      <c r="B34" s="11"/>
      <c r="C34" s="12" t="s">
        <v>282</v>
      </c>
      <c r="D34" s="13"/>
      <c r="E34" s="13"/>
      <c r="F34" s="14">
        <v>400</v>
      </c>
      <c r="G34" s="14">
        <v>300</v>
      </c>
      <c r="H34" s="14"/>
      <c r="I34" s="14"/>
    </row>
    <row r="35" spans="1:9" s="3" customFormat="1" ht="12.75" customHeight="1" x14ac:dyDescent="0.25">
      <c r="A35" s="7" t="s">
        <v>54</v>
      </c>
      <c r="B35" s="7" t="s">
        <v>55</v>
      </c>
      <c r="C35" s="8" t="s">
        <v>285</v>
      </c>
      <c r="D35" s="9">
        <f>F35+H35</f>
        <v>100</v>
      </c>
      <c r="E35" s="9">
        <f>G35+I35</f>
        <v>60</v>
      </c>
      <c r="F35" s="10">
        <f>F36</f>
        <v>100</v>
      </c>
      <c r="G35" s="10">
        <f t="shared" ref="G35:I35" si="8">G36</f>
        <v>60</v>
      </c>
      <c r="H35" s="10">
        <f t="shared" si="8"/>
        <v>0</v>
      </c>
      <c r="I35" s="10">
        <f t="shared" si="8"/>
        <v>0</v>
      </c>
    </row>
    <row r="36" spans="1:9" s="15" customFormat="1" ht="11.45" customHeight="1" x14ac:dyDescent="0.25">
      <c r="A36" s="11"/>
      <c r="B36" s="11"/>
      <c r="C36" s="12" t="s">
        <v>283</v>
      </c>
      <c r="D36" s="13"/>
      <c r="E36" s="13"/>
      <c r="F36" s="14">
        <v>100</v>
      </c>
      <c r="G36" s="14">
        <v>60</v>
      </c>
      <c r="H36" s="14"/>
      <c r="I36" s="14"/>
    </row>
    <row r="37" spans="1:9" s="3" customFormat="1" ht="12.75" customHeight="1" x14ac:dyDescent="0.25">
      <c r="A37" s="16" t="s">
        <v>56</v>
      </c>
      <c r="B37" s="16" t="s">
        <v>57</v>
      </c>
      <c r="C37" s="17" t="s">
        <v>58</v>
      </c>
      <c r="D37" s="18">
        <f>D32+D33+D35</f>
        <v>500</v>
      </c>
      <c r="E37" s="18">
        <f t="shared" ref="E37:I37" si="9">E32+E33+E35</f>
        <v>360</v>
      </c>
      <c r="F37" s="18">
        <f t="shared" si="9"/>
        <v>500</v>
      </c>
      <c r="G37" s="18">
        <f t="shared" si="9"/>
        <v>360</v>
      </c>
      <c r="H37" s="18">
        <f t="shared" si="9"/>
        <v>0</v>
      </c>
      <c r="I37" s="18">
        <f t="shared" si="9"/>
        <v>0</v>
      </c>
    </row>
    <row r="38" spans="1:9" s="3" customFormat="1" ht="12.75" customHeight="1" x14ac:dyDescent="0.25">
      <c r="A38" s="20" t="s">
        <v>59</v>
      </c>
      <c r="B38" s="20" t="s">
        <v>60</v>
      </c>
      <c r="C38" s="21" t="s">
        <v>286</v>
      </c>
      <c r="D38" s="22">
        <f>D31+D37</f>
        <v>145213</v>
      </c>
      <c r="E38" s="22">
        <f t="shared" ref="E38:I38" si="10">E31+E37</f>
        <v>160503</v>
      </c>
      <c r="F38" s="22">
        <f t="shared" si="10"/>
        <v>145213</v>
      </c>
      <c r="G38" s="22">
        <f t="shared" si="10"/>
        <v>160503</v>
      </c>
      <c r="H38" s="22">
        <f t="shared" si="10"/>
        <v>0</v>
      </c>
      <c r="I38" s="22">
        <f t="shared" si="10"/>
        <v>0</v>
      </c>
    </row>
    <row r="39" spans="1:9" s="15" customFormat="1" ht="11.45" customHeight="1" x14ac:dyDescent="0.25">
      <c r="A39" s="11"/>
      <c r="B39" s="11"/>
      <c r="C39" s="12" t="s">
        <v>284</v>
      </c>
      <c r="D39" s="13">
        <f>H39+F39</f>
        <v>37231</v>
      </c>
      <c r="E39" s="13">
        <f>I39+G39</f>
        <v>41330</v>
      </c>
      <c r="F39" s="13">
        <v>37231</v>
      </c>
      <c r="G39" s="13">
        <f>ROUND((G6+G9+G10+G11+G14+G15+G26+G28+G33)*0.27,0)</f>
        <v>41330</v>
      </c>
      <c r="H39" s="13">
        <f>ROUND((H6+H9+H10+H11+H14+H15+H33)*0.27,0)</f>
        <v>0</v>
      </c>
      <c r="I39" s="13">
        <f>ROUND((I6+I9+I10+I11+I14+I15+I33)*0.27,0)</f>
        <v>0</v>
      </c>
    </row>
    <row r="40" spans="1:9" s="15" customFormat="1" ht="11.45" customHeight="1" x14ac:dyDescent="0.25">
      <c r="A40" s="11"/>
      <c r="B40" s="11"/>
      <c r="C40" s="12" t="s">
        <v>61</v>
      </c>
      <c r="D40" s="13">
        <f t="shared" ref="D40:E42" si="11">H40+F40</f>
        <v>928</v>
      </c>
      <c r="E40" s="13">
        <f t="shared" si="11"/>
        <v>915</v>
      </c>
      <c r="F40" s="14">
        <v>928</v>
      </c>
      <c r="G40" s="13">
        <f>ROUND(G18*1.19*0.14+(G35)*1.19*0.27,0)</f>
        <v>915</v>
      </c>
      <c r="H40" s="14"/>
      <c r="I40" s="14"/>
    </row>
    <row r="41" spans="1:9" s="15" customFormat="1" ht="11.45" customHeight="1" x14ac:dyDescent="0.25">
      <c r="A41" s="11"/>
      <c r="B41" s="11"/>
      <c r="C41" s="12" t="s">
        <v>62</v>
      </c>
      <c r="D41" s="13">
        <f t="shared" si="11"/>
        <v>2675</v>
      </c>
      <c r="E41" s="13">
        <f t="shared" si="11"/>
        <v>2675</v>
      </c>
      <c r="F41" s="14">
        <v>2675</v>
      </c>
      <c r="G41" s="14">
        <v>2675</v>
      </c>
      <c r="H41" s="14"/>
      <c r="I41" s="14"/>
    </row>
    <row r="42" spans="1:9" s="15" customFormat="1" ht="11.45" customHeight="1" x14ac:dyDescent="0.25">
      <c r="A42" s="11"/>
      <c r="B42" s="11"/>
      <c r="C42" s="12" t="s">
        <v>63</v>
      </c>
      <c r="D42" s="13">
        <f t="shared" si="11"/>
        <v>1043</v>
      </c>
      <c r="E42" s="13">
        <f t="shared" si="11"/>
        <v>1035</v>
      </c>
      <c r="F42" s="14">
        <v>1043</v>
      </c>
      <c r="G42" s="14">
        <f>ROUND((G36+G19)*1.19*0.16,0)</f>
        <v>1035</v>
      </c>
      <c r="H42" s="14"/>
      <c r="I42" s="14"/>
    </row>
    <row r="43" spans="1:9" s="3" customFormat="1" ht="12.75" customHeight="1" x14ac:dyDescent="0.25">
      <c r="A43" s="20" t="s">
        <v>64</v>
      </c>
      <c r="B43" s="20" t="s">
        <v>65</v>
      </c>
      <c r="C43" s="21" t="s">
        <v>287</v>
      </c>
      <c r="D43" s="22">
        <f>D39+D40+D41+D42</f>
        <v>41877</v>
      </c>
      <c r="E43" s="22">
        <f t="shared" ref="E43:I43" si="12">E39+E40+E41+E42</f>
        <v>45955</v>
      </c>
      <c r="F43" s="22">
        <f t="shared" si="12"/>
        <v>41877</v>
      </c>
      <c r="G43" s="22">
        <f t="shared" si="12"/>
        <v>45955</v>
      </c>
      <c r="H43" s="22">
        <f t="shared" si="12"/>
        <v>0</v>
      </c>
      <c r="I43" s="22">
        <f t="shared" si="12"/>
        <v>0</v>
      </c>
    </row>
    <row r="44" spans="1:9" s="3" customFormat="1" ht="14.1" customHeight="1" x14ac:dyDescent="0.25">
      <c r="A44" s="1018" t="s">
        <v>66</v>
      </c>
      <c r="B44" s="1019"/>
      <c r="C44" s="1020"/>
      <c r="D44" s="30">
        <f>D38+D43</f>
        <v>187090</v>
      </c>
      <c r="E44" s="30">
        <f t="shared" ref="E44:I44" si="13">E38+E43</f>
        <v>206458</v>
      </c>
      <c r="F44" s="30">
        <f t="shared" si="13"/>
        <v>187090</v>
      </c>
      <c r="G44" s="30">
        <f t="shared" si="13"/>
        <v>206458</v>
      </c>
      <c r="H44" s="30">
        <f t="shared" si="13"/>
        <v>0</v>
      </c>
      <c r="I44" s="30">
        <f t="shared" si="13"/>
        <v>0</v>
      </c>
    </row>
    <row r="45" spans="1:9" s="3" customFormat="1" ht="14.1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</row>
    <row r="46" spans="1:9" s="3" customFormat="1" ht="14.1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</row>
    <row r="47" spans="1:9" s="3" customFormat="1" ht="14.1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</row>
    <row r="48" spans="1:9" s="1" customFormat="1" ht="12.75" customHeight="1" x14ac:dyDescent="0.25">
      <c r="A48" s="1022" t="s">
        <v>405</v>
      </c>
      <c r="B48" s="1022"/>
      <c r="C48" s="1022"/>
      <c r="D48" s="1022"/>
      <c r="E48" s="1022"/>
      <c r="F48" s="1022"/>
      <c r="G48" s="1022"/>
      <c r="H48" s="1022"/>
      <c r="I48" s="1022"/>
    </row>
    <row r="49" spans="1:9" s="1" customFormat="1" ht="14.1" customHeight="1" x14ac:dyDescent="0.25">
      <c r="A49" s="1022" t="s">
        <v>0</v>
      </c>
      <c r="B49" s="1023" t="s">
        <v>1</v>
      </c>
      <c r="C49" s="1022" t="s">
        <v>2</v>
      </c>
      <c r="D49" s="1024" t="s">
        <v>260</v>
      </c>
      <c r="E49" s="1014" t="s">
        <v>259</v>
      </c>
      <c r="F49" s="1016" t="s">
        <v>261</v>
      </c>
      <c r="G49" s="1017"/>
      <c r="H49" s="1016" t="s">
        <v>262</v>
      </c>
      <c r="I49" s="1017"/>
    </row>
    <row r="50" spans="1:9" s="3" customFormat="1" ht="33" customHeight="1" x14ac:dyDescent="0.25">
      <c r="A50" s="1022"/>
      <c r="B50" s="1023"/>
      <c r="C50" s="1022"/>
      <c r="D50" s="1024"/>
      <c r="E50" s="1015"/>
      <c r="F50" s="29" t="s">
        <v>260</v>
      </c>
      <c r="G50" s="29" t="s">
        <v>259</v>
      </c>
      <c r="H50" s="29" t="s">
        <v>260</v>
      </c>
      <c r="I50" s="29" t="s">
        <v>259</v>
      </c>
    </row>
    <row r="51" spans="1:9" ht="5.65" customHeight="1" x14ac:dyDescent="0.25"/>
    <row r="52" spans="1:9" ht="14.1" customHeight="1" x14ac:dyDescent="0.25">
      <c r="A52" s="1021" t="s">
        <v>288</v>
      </c>
      <c r="B52" s="1021"/>
      <c r="C52" s="1021"/>
      <c r="D52" s="1021"/>
      <c r="E52" s="1021"/>
      <c r="F52" s="1021"/>
      <c r="G52" s="1021"/>
      <c r="H52" s="1021"/>
      <c r="I52" s="1021"/>
    </row>
    <row r="53" spans="1:9" s="3" customFormat="1" ht="14.1" customHeight="1" x14ac:dyDescent="0.25">
      <c r="A53" s="7" t="s">
        <v>67</v>
      </c>
      <c r="B53" s="7" t="s">
        <v>68</v>
      </c>
      <c r="C53" s="8" t="s">
        <v>69</v>
      </c>
      <c r="D53" s="9">
        <f>F53+H53</f>
        <v>260</v>
      </c>
      <c r="E53" s="9">
        <f>G53+I53</f>
        <v>320</v>
      </c>
      <c r="F53" s="10">
        <f>SUM(F54:F59)</f>
        <v>260</v>
      </c>
      <c r="G53" s="10">
        <f t="shared" ref="G53:I53" si="14">SUM(G54:G59)</f>
        <v>320</v>
      </c>
      <c r="H53" s="10">
        <f t="shared" si="14"/>
        <v>0</v>
      </c>
      <c r="I53" s="10">
        <f t="shared" si="14"/>
        <v>0</v>
      </c>
    </row>
    <row r="54" spans="1:9" ht="14.1" customHeight="1" x14ac:dyDescent="0.25">
      <c r="A54" s="24"/>
      <c r="B54" s="24"/>
      <c r="C54" s="25" t="s">
        <v>70</v>
      </c>
      <c r="D54" s="26"/>
      <c r="E54" s="26"/>
      <c r="F54" s="26">
        <v>40</v>
      </c>
      <c r="G54" s="26"/>
      <c r="H54" s="26"/>
      <c r="I54" s="26"/>
    </row>
    <row r="55" spans="1:9" ht="14.1" customHeight="1" x14ac:dyDescent="0.25">
      <c r="A55" s="24"/>
      <c r="B55" s="24"/>
      <c r="C55" s="25" t="s">
        <v>71</v>
      </c>
      <c r="D55" s="26"/>
      <c r="E55" s="26"/>
      <c r="F55" s="26"/>
      <c r="G55" s="26"/>
      <c r="H55" s="26"/>
      <c r="I55" s="26"/>
    </row>
    <row r="56" spans="1:9" ht="14.1" customHeight="1" x14ac:dyDescent="0.25">
      <c r="A56" s="24"/>
      <c r="B56" s="24"/>
      <c r="C56" s="25" t="s">
        <v>72</v>
      </c>
      <c r="D56" s="26"/>
      <c r="E56" s="26"/>
      <c r="F56" s="26">
        <v>150</v>
      </c>
      <c r="G56" s="26">
        <v>180</v>
      </c>
      <c r="H56" s="26"/>
      <c r="I56" s="26"/>
    </row>
    <row r="57" spans="1:9" ht="14.1" customHeight="1" x14ac:dyDescent="0.25">
      <c r="A57" s="24"/>
      <c r="B57" s="24"/>
      <c r="C57" s="25" t="s">
        <v>73</v>
      </c>
      <c r="D57" s="26"/>
      <c r="E57" s="26"/>
      <c r="F57" s="26">
        <v>40</v>
      </c>
      <c r="G57" s="26">
        <v>40</v>
      </c>
      <c r="H57" s="26"/>
      <c r="I57" s="26"/>
    </row>
    <row r="58" spans="1:9" ht="14.1" customHeight="1" x14ac:dyDescent="0.25">
      <c r="A58" s="24"/>
      <c r="B58" s="24"/>
      <c r="C58" s="25" t="s">
        <v>74</v>
      </c>
      <c r="D58" s="26"/>
      <c r="E58" s="26"/>
      <c r="F58" s="26">
        <v>0</v>
      </c>
      <c r="G58" s="26"/>
      <c r="H58" s="26"/>
      <c r="I58" s="26"/>
    </row>
    <row r="59" spans="1:9" ht="14.1" customHeight="1" x14ac:dyDescent="0.25">
      <c r="A59" s="24"/>
      <c r="B59" s="24"/>
      <c r="C59" s="25" t="s">
        <v>75</v>
      </c>
      <c r="D59" s="26"/>
      <c r="E59" s="26"/>
      <c r="F59" s="26">
        <v>30</v>
      </c>
      <c r="G59" s="26">
        <v>100</v>
      </c>
      <c r="H59" s="26"/>
      <c r="I59" s="26"/>
    </row>
    <row r="60" spans="1:9" s="3" customFormat="1" ht="14.1" customHeight="1" x14ac:dyDescent="0.25">
      <c r="A60" s="7" t="s">
        <v>76</v>
      </c>
      <c r="B60" s="7" t="s">
        <v>77</v>
      </c>
      <c r="C60" s="8" t="s">
        <v>78</v>
      </c>
      <c r="D60" s="9">
        <f>F60+H60</f>
        <v>4285</v>
      </c>
      <c r="E60" s="9">
        <f>G60+I60</f>
        <v>3335</v>
      </c>
      <c r="F60" s="10">
        <f>SUM(F61:F66)</f>
        <v>4285</v>
      </c>
      <c r="G60" s="10">
        <f>SUM(G61:G66)</f>
        <v>3335</v>
      </c>
      <c r="H60" s="10">
        <f>SUM(H61:H66)</f>
        <v>0</v>
      </c>
      <c r="I60" s="10">
        <f>SUM(I61:I66)</f>
        <v>0</v>
      </c>
    </row>
    <row r="61" spans="1:9" ht="14.1" customHeight="1" x14ac:dyDescent="0.25">
      <c r="A61" s="24"/>
      <c r="B61" s="24"/>
      <c r="C61" s="25" t="s">
        <v>79</v>
      </c>
      <c r="D61" s="26"/>
      <c r="E61" s="26"/>
      <c r="F61" s="26"/>
      <c r="G61" s="26"/>
      <c r="H61" s="26"/>
      <c r="I61" s="26"/>
    </row>
    <row r="62" spans="1:9" ht="14.1" customHeight="1" x14ac:dyDescent="0.25">
      <c r="A62" s="24"/>
      <c r="B62" s="24"/>
      <c r="C62" s="25" t="s">
        <v>80</v>
      </c>
      <c r="D62" s="26"/>
      <c r="E62" s="26"/>
      <c r="F62" s="26">
        <v>250</v>
      </c>
      <c r="G62" s="26">
        <v>200</v>
      </c>
      <c r="H62" s="26"/>
      <c r="I62" s="26"/>
    </row>
    <row r="63" spans="1:9" ht="14.1" customHeight="1" x14ac:dyDescent="0.25">
      <c r="A63" s="24"/>
      <c r="B63" s="24"/>
      <c r="C63" s="25" t="s">
        <v>81</v>
      </c>
      <c r="D63" s="26"/>
      <c r="E63" s="26"/>
      <c r="F63" s="26"/>
      <c r="G63" s="26"/>
      <c r="H63" s="26"/>
      <c r="I63" s="26"/>
    </row>
    <row r="64" spans="1:9" ht="14.1" customHeight="1" x14ac:dyDescent="0.25">
      <c r="A64" s="24"/>
      <c r="B64" s="24"/>
      <c r="C64" s="25" t="s">
        <v>82</v>
      </c>
      <c r="D64" s="26"/>
      <c r="E64" s="26"/>
      <c r="F64" s="26">
        <v>35</v>
      </c>
      <c r="G64" s="26">
        <v>35</v>
      </c>
      <c r="H64" s="26"/>
      <c r="I64" s="26"/>
    </row>
    <row r="65" spans="1:9" ht="14.1" customHeight="1" x14ac:dyDescent="0.25">
      <c r="A65" s="24"/>
      <c r="B65" s="24"/>
      <c r="C65" s="25" t="s">
        <v>83</v>
      </c>
      <c r="D65" s="26"/>
      <c r="E65" s="26"/>
      <c r="F65" s="26">
        <v>100</v>
      </c>
      <c r="G65" s="26">
        <v>100</v>
      </c>
      <c r="H65" s="26"/>
      <c r="I65" s="26"/>
    </row>
    <row r="66" spans="1:9" ht="14.1" customHeight="1" x14ac:dyDescent="0.25">
      <c r="A66" s="24"/>
      <c r="B66" s="24"/>
      <c r="C66" s="25" t="s">
        <v>84</v>
      </c>
      <c r="D66" s="26"/>
      <c r="E66" s="26"/>
      <c r="F66" s="26">
        <v>3900</v>
      </c>
      <c r="G66" s="26">
        <v>3000</v>
      </c>
      <c r="H66" s="26"/>
      <c r="I66" s="26"/>
    </row>
    <row r="67" spans="1:9" s="3" customFormat="1" ht="14.1" customHeight="1" x14ac:dyDescent="0.25">
      <c r="A67" s="7" t="s">
        <v>85</v>
      </c>
      <c r="B67" s="7" t="s">
        <v>86</v>
      </c>
      <c r="C67" s="8" t="s">
        <v>87</v>
      </c>
      <c r="D67" s="9">
        <f>F67+H67</f>
        <v>0</v>
      </c>
      <c r="E67" s="9">
        <f>G67+I67</f>
        <v>0</v>
      </c>
      <c r="F67" s="10">
        <f>SUM(F68:F69)</f>
        <v>0</v>
      </c>
      <c r="G67" s="10">
        <f t="shared" ref="G67:I67" si="15">SUM(G68:G69)</f>
        <v>0</v>
      </c>
      <c r="H67" s="10">
        <f t="shared" si="15"/>
        <v>0</v>
      </c>
      <c r="I67" s="10">
        <f t="shared" si="15"/>
        <v>0</v>
      </c>
    </row>
    <row r="68" spans="1:9" ht="14.1" customHeight="1" x14ac:dyDescent="0.25">
      <c r="A68" s="24"/>
      <c r="B68" s="24"/>
      <c r="C68" s="25" t="s">
        <v>88</v>
      </c>
      <c r="D68" s="26"/>
      <c r="E68" s="26"/>
      <c r="F68" s="26"/>
      <c r="G68" s="26"/>
      <c r="H68" s="26"/>
      <c r="I68" s="26"/>
    </row>
    <row r="69" spans="1:9" ht="14.1" customHeight="1" x14ac:dyDescent="0.25">
      <c r="A69" s="24"/>
      <c r="B69" s="24"/>
      <c r="C69" s="25" t="s">
        <v>89</v>
      </c>
      <c r="D69" s="26"/>
      <c r="E69" s="26"/>
      <c r="F69" s="26"/>
      <c r="G69" s="26"/>
      <c r="H69" s="26"/>
      <c r="I69" s="26"/>
    </row>
    <row r="70" spans="1:9" s="3" customFormat="1" ht="14.1" customHeight="1" x14ac:dyDescent="0.25">
      <c r="A70" s="16" t="s">
        <v>90</v>
      </c>
      <c r="B70" s="16" t="s">
        <v>91</v>
      </c>
      <c r="C70" s="17" t="s">
        <v>92</v>
      </c>
      <c r="D70" s="19">
        <f>D53+D60</f>
        <v>4545</v>
      </c>
      <c r="E70" s="19">
        <f t="shared" ref="E70:I70" si="16">E53+E60</f>
        <v>3655</v>
      </c>
      <c r="F70" s="19">
        <f t="shared" si="16"/>
        <v>4545</v>
      </c>
      <c r="G70" s="19">
        <f t="shared" si="16"/>
        <v>3655</v>
      </c>
      <c r="H70" s="19">
        <f t="shared" si="16"/>
        <v>0</v>
      </c>
      <c r="I70" s="19">
        <f t="shared" si="16"/>
        <v>0</v>
      </c>
    </row>
    <row r="71" spans="1:9" s="3" customFormat="1" ht="14.1" customHeight="1" x14ac:dyDescent="0.25">
      <c r="A71" s="7" t="s">
        <v>93</v>
      </c>
      <c r="B71" s="7" t="s">
        <v>94</v>
      </c>
      <c r="C71" s="8" t="s">
        <v>95</v>
      </c>
      <c r="D71" s="9">
        <f>F71+H71</f>
        <v>300</v>
      </c>
      <c r="E71" s="9">
        <f>G71+I71</f>
        <v>400</v>
      </c>
      <c r="F71" s="10">
        <f>SUM(F72:F77)</f>
        <v>300</v>
      </c>
      <c r="G71" s="10">
        <f>SUM(G72:G77)</f>
        <v>400</v>
      </c>
      <c r="H71" s="10">
        <f t="shared" ref="H71:I71" si="17">SUM(H72:H77)</f>
        <v>0</v>
      </c>
      <c r="I71" s="10">
        <f t="shared" si="17"/>
        <v>0</v>
      </c>
    </row>
    <row r="72" spans="1:9" ht="14.1" customHeight="1" x14ac:dyDescent="0.25">
      <c r="A72" s="24"/>
      <c r="B72" s="24"/>
      <c r="C72" s="25" t="s">
        <v>96</v>
      </c>
      <c r="D72" s="26"/>
      <c r="E72" s="26"/>
      <c r="F72" s="26"/>
      <c r="G72" s="26"/>
      <c r="H72" s="26"/>
      <c r="I72" s="26"/>
    </row>
    <row r="73" spans="1:9" ht="14.1" customHeight="1" x14ac:dyDescent="0.25">
      <c r="A73" s="24"/>
      <c r="B73" s="24"/>
      <c r="C73" s="25" t="s">
        <v>97</v>
      </c>
      <c r="D73" s="26"/>
      <c r="E73" s="26"/>
      <c r="F73" s="26"/>
      <c r="G73" s="26"/>
      <c r="H73" s="26"/>
      <c r="I73" s="26"/>
    </row>
    <row r="74" spans="1:9" ht="14.1" customHeight="1" x14ac:dyDescent="0.25">
      <c r="A74" s="24"/>
      <c r="B74" s="24"/>
      <c r="C74" s="25" t="s">
        <v>98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99</v>
      </c>
      <c r="D75" s="26"/>
      <c r="E75" s="26"/>
      <c r="F75" s="26">
        <v>300</v>
      </c>
      <c r="G75" s="26">
        <v>400</v>
      </c>
      <c r="H75" s="26"/>
      <c r="I75" s="26"/>
    </row>
    <row r="76" spans="1:9" ht="14.1" customHeight="1" x14ac:dyDescent="0.25">
      <c r="A76" s="24"/>
      <c r="B76" s="24"/>
      <c r="C76" s="25" t="s">
        <v>100</v>
      </c>
      <c r="D76" s="26"/>
      <c r="E76" s="26"/>
      <c r="F76" s="26"/>
      <c r="G76" s="26"/>
      <c r="H76" s="26"/>
      <c r="I76" s="26"/>
    </row>
    <row r="77" spans="1:9" ht="14.1" customHeight="1" x14ac:dyDescent="0.25">
      <c r="A77" s="24"/>
      <c r="B77" s="24"/>
      <c r="C77" s="25" t="s">
        <v>101</v>
      </c>
      <c r="D77" s="26"/>
      <c r="E77" s="26"/>
      <c r="F77" s="26"/>
      <c r="G77" s="26"/>
      <c r="H77" s="26"/>
      <c r="I77" s="26"/>
    </row>
    <row r="78" spans="1:9" s="3" customFormat="1" ht="14.1" customHeight="1" x14ac:dyDescent="0.25">
      <c r="A78" s="7" t="s">
        <v>102</v>
      </c>
      <c r="B78" s="7" t="s">
        <v>103</v>
      </c>
      <c r="C78" s="8" t="s">
        <v>104</v>
      </c>
      <c r="D78" s="9">
        <f>F78+H78</f>
        <v>200</v>
      </c>
      <c r="E78" s="9">
        <f>G78+I78</f>
        <v>250</v>
      </c>
      <c r="F78" s="10">
        <f>SUM(F79:F80)</f>
        <v>200</v>
      </c>
      <c r="G78" s="10">
        <f t="shared" ref="G78:I78" si="18">SUM(G79:G80)</f>
        <v>250</v>
      </c>
      <c r="H78" s="10">
        <f t="shared" si="18"/>
        <v>0</v>
      </c>
      <c r="I78" s="10">
        <f t="shared" si="18"/>
        <v>0</v>
      </c>
    </row>
    <row r="79" spans="1:9" ht="14.1" customHeight="1" x14ac:dyDescent="0.25">
      <c r="A79" s="24"/>
      <c r="B79" s="24"/>
      <c r="C79" s="25" t="s">
        <v>105</v>
      </c>
      <c r="D79" s="26"/>
      <c r="E79" s="26"/>
      <c r="F79" s="26">
        <v>200</v>
      </c>
      <c r="G79" s="26">
        <v>250</v>
      </c>
      <c r="H79" s="26"/>
      <c r="I79" s="26"/>
    </row>
    <row r="80" spans="1:9" ht="14.1" customHeight="1" x14ac:dyDescent="0.25">
      <c r="A80" s="24"/>
      <c r="B80" s="24"/>
      <c r="C80" s="25" t="s">
        <v>106</v>
      </c>
      <c r="D80" s="26"/>
      <c r="E80" s="26"/>
      <c r="F80" s="26"/>
      <c r="G80" s="26"/>
      <c r="H80" s="26"/>
      <c r="I80" s="26"/>
    </row>
    <row r="81" spans="1:9" s="3" customFormat="1" ht="14.1" customHeight="1" x14ac:dyDescent="0.25">
      <c r="A81" s="16" t="s">
        <v>107</v>
      </c>
      <c r="B81" s="16" t="s">
        <v>108</v>
      </c>
      <c r="C81" s="17" t="s">
        <v>109</v>
      </c>
      <c r="D81" s="19">
        <f>D71+D78</f>
        <v>500</v>
      </c>
      <c r="E81" s="19">
        <f t="shared" ref="E81:I81" si="19">E71+E78</f>
        <v>650</v>
      </c>
      <c r="F81" s="19">
        <f t="shared" si="19"/>
        <v>500</v>
      </c>
      <c r="G81" s="19">
        <f t="shared" si="19"/>
        <v>650</v>
      </c>
      <c r="H81" s="19">
        <f t="shared" si="19"/>
        <v>0</v>
      </c>
      <c r="I81" s="19">
        <f t="shared" si="19"/>
        <v>0</v>
      </c>
    </row>
    <row r="82" spans="1:9" s="3" customFormat="1" ht="14.1" customHeight="1" x14ac:dyDescent="0.25">
      <c r="A82" s="7" t="s">
        <v>110</v>
      </c>
      <c r="B82" s="7" t="s">
        <v>111</v>
      </c>
      <c r="C82" s="8" t="s">
        <v>112</v>
      </c>
      <c r="D82" s="9">
        <f>F82+H82</f>
        <v>9700</v>
      </c>
      <c r="E82" s="9">
        <f>G82+I82</f>
        <v>9150</v>
      </c>
      <c r="F82" s="10">
        <f>SUM(F83:F85)</f>
        <v>9700</v>
      </c>
      <c r="G82" s="10">
        <f t="shared" ref="G82:I82" si="20">SUM(G83:G85)</f>
        <v>9150</v>
      </c>
      <c r="H82" s="10">
        <f t="shared" si="20"/>
        <v>0</v>
      </c>
      <c r="I82" s="10">
        <f t="shared" si="20"/>
        <v>0</v>
      </c>
    </row>
    <row r="83" spans="1:9" ht="14.1" customHeight="1" x14ac:dyDescent="0.25">
      <c r="A83" s="24"/>
      <c r="B83" s="24"/>
      <c r="C83" s="25" t="s">
        <v>113</v>
      </c>
      <c r="D83" s="26"/>
      <c r="E83" s="26"/>
      <c r="F83" s="26">
        <v>6400</v>
      </c>
      <c r="G83" s="26">
        <v>6000</v>
      </c>
      <c r="H83" s="26"/>
      <c r="I83" s="26"/>
    </row>
    <row r="84" spans="1:9" ht="14.1" customHeight="1" x14ac:dyDescent="0.25">
      <c r="A84" s="24"/>
      <c r="B84" s="24"/>
      <c r="C84" s="25" t="s">
        <v>114</v>
      </c>
      <c r="D84" s="26"/>
      <c r="E84" s="26"/>
      <c r="F84" s="26">
        <v>2200</v>
      </c>
      <c r="G84" s="26">
        <v>2200</v>
      </c>
      <c r="H84" s="26"/>
      <c r="I84" s="26"/>
    </row>
    <row r="85" spans="1:9" ht="14.1" customHeight="1" x14ac:dyDescent="0.25">
      <c r="A85" s="24"/>
      <c r="B85" s="24"/>
      <c r="C85" s="25" t="s">
        <v>115</v>
      </c>
      <c r="D85" s="26"/>
      <c r="E85" s="26"/>
      <c r="F85" s="26">
        <v>1100</v>
      </c>
      <c r="G85" s="26">
        <v>950</v>
      </c>
      <c r="H85" s="26"/>
      <c r="I85" s="26"/>
    </row>
    <row r="86" spans="1:9" s="3" customFormat="1" ht="14.1" customHeight="1" x14ac:dyDescent="0.25">
      <c r="A86" s="7" t="s">
        <v>116</v>
      </c>
      <c r="B86" s="7" t="s">
        <v>117</v>
      </c>
      <c r="C86" s="8" t="s">
        <v>118</v>
      </c>
      <c r="D86" s="9">
        <f>F86+H86</f>
        <v>18663</v>
      </c>
      <c r="E86" s="9">
        <f>G86+I86</f>
        <v>18660</v>
      </c>
      <c r="F86" s="10">
        <v>0</v>
      </c>
      <c r="G86" s="10">
        <f>G87</f>
        <v>0</v>
      </c>
      <c r="H86" s="10">
        <v>18663</v>
      </c>
      <c r="I86" s="10">
        <f>I87</f>
        <v>18660</v>
      </c>
    </row>
    <row r="87" spans="1:9" s="3" customFormat="1" ht="14.1" customHeight="1" x14ac:dyDescent="0.25">
      <c r="A87" s="24"/>
      <c r="B87" s="24"/>
      <c r="C87" s="25" t="s">
        <v>289</v>
      </c>
      <c r="D87" s="26"/>
      <c r="E87" s="26"/>
      <c r="F87" s="26"/>
      <c r="G87" s="26"/>
      <c r="H87" s="26"/>
      <c r="I87" s="26">
        <v>18660</v>
      </c>
    </row>
    <row r="88" spans="1:9" s="3" customFormat="1" ht="14.1" customHeight="1" x14ac:dyDescent="0.25">
      <c r="A88" s="7" t="s">
        <v>119</v>
      </c>
      <c r="B88" s="7" t="s">
        <v>120</v>
      </c>
      <c r="C88" s="8" t="s">
        <v>121</v>
      </c>
      <c r="D88" s="9">
        <f>F88+H88</f>
        <v>0</v>
      </c>
      <c r="E88" s="9">
        <f>G88+I88</f>
        <v>0</v>
      </c>
      <c r="F88" s="10">
        <f>SUM(F89:F90)</f>
        <v>0</v>
      </c>
      <c r="G88" s="10">
        <f t="shared" ref="G88:I88" si="21">SUM(G89:G90)</f>
        <v>0</v>
      </c>
      <c r="H88" s="10">
        <f t="shared" si="21"/>
        <v>0</v>
      </c>
      <c r="I88" s="10">
        <f t="shared" si="21"/>
        <v>0</v>
      </c>
    </row>
    <row r="89" spans="1:9" ht="14.1" customHeight="1" x14ac:dyDescent="0.25">
      <c r="A89" s="24"/>
      <c r="B89" s="24"/>
      <c r="C89" s="25" t="s">
        <v>122</v>
      </c>
      <c r="D89" s="26"/>
      <c r="E89" s="26"/>
      <c r="F89" s="26"/>
      <c r="G89" s="26"/>
      <c r="H89" s="26"/>
      <c r="I89" s="26"/>
    </row>
    <row r="90" spans="1:9" ht="14.1" customHeight="1" x14ac:dyDescent="0.25">
      <c r="A90" s="24"/>
      <c r="B90" s="24"/>
      <c r="C90" s="25" t="s">
        <v>123</v>
      </c>
      <c r="D90" s="26"/>
      <c r="E90" s="26"/>
      <c r="F90" s="26"/>
      <c r="G90" s="26"/>
      <c r="H90" s="26"/>
      <c r="I90" s="26"/>
    </row>
    <row r="91" spans="1:9" s="3" customFormat="1" ht="14.1" customHeight="1" x14ac:dyDescent="0.25">
      <c r="A91" s="7" t="s">
        <v>124</v>
      </c>
      <c r="B91" s="7" t="s">
        <v>125</v>
      </c>
      <c r="C91" s="8" t="s">
        <v>126</v>
      </c>
      <c r="D91" s="9">
        <f>F91+H91</f>
        <v>4400</v>
      </c>
      <c r="E91" s="9">
        <f>G91+I91</f>
        <v>3200</v>
      </c>
      <c r="F91" s="10">
        <v>4400</v>
      </c>
      <c r="G91" s="10">
        <v>3200</v>
      </c>
      <c r="H91" s="10">
        <v>0</v>
      </c>
      <c r="I91" s="10">
        <v>0</v>
      </c>
    </row>
    <row r="92" spans="1:9" s="3" customFormat="1" ht="14.1" customHeight="1" x14ac:dyDescent="0.25">
      <c r="A92" s="7" t="s">
        <v>127</v>
      </c>
      <c r="B92" s="7" t="s">
        <v>128</v>
      </c>
      <c r="C92" s="8" t="s">
        <v>129</v>
      </c>
      <c r="D92" s="9">
        <f>F92+H92</f>
        <v>0</v>
      </c>
      <c r="E92" s="9">
        <f>G92+I92</f>
        <v>0</v>
      </c>
      <c r="F92" s="10">
        <v>0</v>
      </c>
      <c r="G92" s="10">
        <f>SUM(G93:G94)</f>
        <v>0</v>
      </c>
      <c r="H92" s="10">
        <v>0</v>
      </c>
      <c r="I92" s="10">
        <f>SUM(I93:I94)</f>
        <v>0</v>
      </c>
    </row>
    <row r="93" spans="1:9" ht="14.1" customHeight="1" x14ac:dyDescent="0.25">
      <c r="A93" s="24"/>
      <c r="B93" s="24"/>
      <c r="C93" s="25" t="s">
        <v>130</v>
      </c>
      <c r="D93" s="26"/>
      <c r="E93" s="26"/>
      <c r="F93" s="26"/>
      <c r="G93" s="26"/>
      <c r="H93" s="26"/>
      <c r="I93" s="26"/>
    </row>
    <row r="94" spans="1:9" ht="14.1" customHeight="1" x14ac:dyDescent="0.25">
      <c r="A94" s="24"/>
      <c r="B94" s="24"/>
      <c r="C94" s="25" t="s">
        <v>131</v>
      </c>
      <c r="D94" s="26"/>
      <c r="E94" s="26"/>
      <c r="F94" s="26"/>
      <c r="G94" s="26"/>
      <c r="H94" s="26"/>
      <c r="I94" s="26"/>
    </row>
    <row r="95" spans="1:9" s="3" customFormat="1" ht="14.1" customHeight="1" x14ac:dyDescent="0.25">
      <c r="A95" s="7" t="s">
        <v>132</v>
      </c>
      <c r="B95" s="7" t="s">
        <v>133</v>
      </c>
      <c r="C95" s="8" t="s">
        <v>134</v>
      </c>
      <c r="D95" s="9">
        <f>F95+H95</f>
        <v>420</v>
      </c>
      <c r="E95" s="9">
        <f>G95+I95</f>
        <v>170</v>
      </c>
      <c r="F95" s="10">
        <f>SUM(F96:F98)</f>
        <v>420</v>
      </c>
      <c r="G95" s="10">
        <f t="shared" ref="G95:I95" si="22">SUM(G96:G98)</f>
        <v>170</v>
      </c>
      <c r="H95" s="10">
        <f t="shared" si="22"/>
        <v>0</v>
      </c>
      <c r="I95" s="10">
        <f t="shared" si="22"/>
        <v>0</v>
      </c>
    </row>
    <row r="96" spans="1:9" ht="14.1" customHeight="1" x14ac:dyDescent="0.25">
      <c r="A96" s="24"/>
      <c r="B96" s="24"/>
      <c r="C96" s="25" t="s">
        <v>135</v>
      </c>
      <c r="D96" s="26"/>
      <c r="E96" s="26"/>
      <c r="F96" s="26">
        <v>0</v>
      </c>
      <c r="G96" s="26">
        <v>0</v>
      </c>
      <c r="H96" s="26">
        <v>0</v>
      </c>
      <c r="I96" s="26">
        <v>0</v>
      </c>
    </row>
    <row r="97" spans="1:9" ht="14.1" customHeight="1" x14ac:dyDescent="0.25">
      <c r="A97" s="24"/>
      <c r="B97" s="24"/>
      <c r="C97" s="25" t="s">
        <v>136</v>
      </c>
      <c r="D97" s="26"/>
      <c r="E97" s="26"/>
      <c r="F97" s="26">
        <v>120</v>
      </c>
      <c r="G97" s="26">
        <v>120</v>
      </c>
      <c r="H97" s="26">
        <v>0</v>
      </c>
      <c r="I97" s="26">
        <v>0</v>
      </c>
    </row>
    <row r="98" spans="1:9" ht="14.1" customHeight="1" x14ac:dyDescent="0.25">
      <c r="A98" s="24"/>
      <c r="B98" s="24"/>
      <c r="C98" s="25" t="s">
        <v>137</v>
      </c>
      <c r="D98" s="26"/>
      <c r="E98" s="26"/>
      <c r="F98" s="26">
        <v>300</v>
      </c>
      <c r="G98" s="26">
        <v>50</v>
      </c>
      <c r="H98" s="26">
        <v>0</v>
      </c>
      <c r="I98" s="26">
        <v>0</v>
      </c>
    </row>
    <row r="99" spans="1:9" s="3" customFormat="1" ht="14.1" customHeight="1" x14ac:dyDescent="0.25">
      <c r="A99" s="7" t="s">
        <v>138</v>
      </c>
      <c r="B99" s="7" t="s">
        <v>139</v>
      </c>
      <c r="C99" s="8" t="s">
        <v>140</v>
      </c>
      <c r="D99" s="9">
        <f>F99+H99</f>
        <v>9780</v>
      </c>
      <c r="E99" s="9">
        <f>G99+I99</f>
        <v>10010</v>
      </c>
      <c r="F99" s="10">
        <f>SUM(F100:F103)</f>
        <v>9780</v>
      </c>
      <c r="G99" s="10">
        <f t="shared" ref="G99:I99" si="23">SUM(G100:G103)</f>
        <v>10010</v>
      </c>
      <c r="H99" s="10">
        <f t="shared" si="23"/>
        <v>0</v>
      </c>
      <c r="I99" s="10">
        <f t="shared" si="23"/>
        <v>0</v>
      </c>
    </row>
    <row r="100" spans="1:9" ht="14.1" customHeight="1" x14ac:dyDescent="0.25">
      <c r="A100" s="24"/>
      <c r="B100" s="24"/>
      <c r="C100" s="25" t="s">
        <v>141</v>
      </c>
      <c r="D100" s="26"/>
      <c r="E100" s="26"/>
      <c r="F100" s="26">
        <v>0</v>
      </c>
      <c r="G100" s="26"/>
      <c r="H100" s="26"/>
      <c r="I100" s="26"/>
    </row>
    <row r="101" spans="1:9" ht="14.1" customHeight="1" x14ac:dyDescent="0.25">
      <c r="A101" s="24"/>
      <c r="B101" s="24"/>
      <c r="C101" s="25" t="s">
        <v>142</v>
      </c>
      <c r="D101" s="26"/>
      <c r="E101" s="26"/>
      <c r="F101" s="26">
        <v>250</v>
      </c>
      <c r="G101" s="26">
        <v>480</v>
      </c>
      <c r="H101" s="26"/>
      <c r="I101" s="26"/>
    </row>
    <row r="102" spans="1:9" ht="14.1" customHeight="1" x14ac:dyDescent="0.25">
      <c r="A102" s="24"/>
      <c r="B102" s="24"/>
      <c r="C102" s="25" t="s">
        <v>143</v>
      </c>
      <c r="D102" s="26"/>
      <c r="E102" s="26"/>
      <c r="F102" s="26">
        <v>30</v>
      </c>
      <c r="G102" s="26">
        <v>30</v>
      </c>
      <c r="H102" s="26"/>
      <c r="I102" s="26"/>
    </row>
    <row r="103" spans="1:9" ht="14.1" customHeight="1" x14ac:dyDescent="0.25">
      <c r="A103" s="24"/>
      <c r="B103" s="24"/>
      <c r="C103" s="25" t="s">
        <v>144</v>
      </c>
      <c r="D103" s="26"/>
      <c r="E103" s="26"/>
      <c r="F103" s="26">
        <v>9500</v>
      </c>
      <c r="G103" s="26">
        <v>9500</v>
      </c>
      <c r="H103" s="26"/>
      <c r="I103" s="26"/>
    </row>
    <row r="104" spans="1:9" s="3" customFormat="1" ht="14.1" customHeight="1" x14ac:dyDescent="0.25">
      <c r="A104" s="16" t="s">
        <v>145</v>
      </c>
      <c r="B104" s="16" t="s">
        <v>146</v>
      </c>
      <c r="C104" s="17" t="s">
        <v>147</v>
      </c>
      <c r="D104" s="19">
        <f>D82+D86+D88+D91+D92+D95+D99</f>
        <v>42963</v>
      </c>
      <c r="E104" s="19">
        <f t="shared" ref="E104:I104" si="24">E82+E86+E88+E91+E92+E95+E99</f>
        <v>41190</v>
      </c>
      <c r="F104" s="19">
        <f t="shared" si="24"/>
        <v>24300</v>
      </c>
      <c r="G104" s="19">
        <f t="shared" si="24"/>
        <v>22530</v>
      </c>
      <c r="H104" s="19">
        <f t="shared" si="24"/>
        <v>18663</v>
      </c>
      <c r="I104" s="19">
        <f t="shared" si="24"/>
        <v>18660</v>
      </c>
    </row>
    <row r="105" spans="1:9" s="3" customFormat="1" ht="14.1" customHeight="1" x14ac:dyDescent="0.25">
      <c r="A105" s="7" t="s">
        <v>148</v>
      </c>
      <c r="B105" s="7" t="s">
        <v>149</v>
      </c>
      <c r="C105" s="8" t="s">
        <v>150</v>
      </c>
      <c r="D105" s="9">
        <f>F105+H105</f>
        <v>100</v>
      </c>
      <c r="E105" s="9">
        <f>G105+I105</f>
        <v>50</v>
      </c>
      <c r="F105" s="10">
        <f>SUM(F106:F107)</f>
        <v>100</v>
      </c>
      <c r="G105" s="10">
        <f t="shared" ref="G105:I105" si="25">SUM(G106:G107)</f>
        <v>50</v>
      </c>
      <c r="H105" s="10">
        <f t="shared" si="25"/>
        <v>0</v>
      </c>
      <c r="I105" s="10">
        <f t="shared" si="25"/>
        <v>0</v>
      </c>
    </row>
    <row r="106" spans="1:9" ht="14.1" customHeight="1" x14ac:dyDescent="0.25">
      <c r="A106" s="24"/>
      <c r="B106" s="24"/>
      <c r="C106" s="25" t="s">
        <v>151</v>
      </c>
      <c r="D106" s="26"/>
      <c r="E106" s="26"/>
      <c r="F106" s="26">
        <v>100</v>
      </c>
      <c r="G106" s="26">
        <v>50</v>
      </c>
      <c r="H106" s="26"/>
      <c r="I106" s="26"/>
    </row>
    <row r="107" spans="1:9" ht="14.1" customHeight="1" x14ac:dyDescent="0.25">
      <c r="A107" s="24"/>
      <c r="B107" s="24"/>
      <c r="C107" s="25" t="s">
        <v>152</v>
      </c>
      <c r="D107" s="26"/>
      <c r="E107" s="26"/>
      <c r="F107" s="26"/>
      <c r="G107" s="26"/>
      <c r="H107" s="26"/>
      <c r="I107" s="26"/>
    </row>
    <row r="108" spans="1:9" s="3" customFormat="1" ht="14.1" customHeight="1" x14ac:dyDescent="0.25">
      <c r="A108" s="7" t="s">
        <v>153</v>
      </c>
      <c r="B108" s="7" t="s">
        <v>154</v>
      </c>
      <c r="C108" s="8" t="s">
        <v>155</v>
      </c>
      <c r="D108" s="9">
        <f>F108+H108</f>
        <v>0</v>
      </c>
      <c r="E108" s="9">
        <f>G108+I108</f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1:9" s="3" customFormat="1" ht="14.1" customHeight="1" x14ac:dyDescent="0.25">
      <c r="A109" s="16" t="s">
        <v>156</v>
      </c>
      <c r="B109" s="16" t="s">
        <v>157</v>
      </c>
      <c r="C109" s="17" t="s">
        <v>158</v>
      </c>
      <c r="D109" s="19">
        <f>D105+D108</f>
        <v>100</v>
      </c>
      <c r="E109" s="19">
        <f t="shared" ref="E109:I109" si="26">E105+E108</f>
        <v>50</v>
      </c>
      <c r="F109" s="19">
        <f t="shared" si="26"/>
        <v>100</v>
      </c>
      <c r="G109" s="19">
        <f t="shared" si="26"/>
        <v>50</v>
      </c>
      <c r="H109" s="19">
        <f t="shared" si="26"/>
        <v>0</v>
      </c>
      <c r="I109" s="19">
        <f t="shared" si="26"/>
        <v>0</v>
      </c>
    </row>
    <row r="110" spans="1:9" s="3" customFormat="1" ht="14.1" customHeight="1" x14ac:dyDescent="0.25">
      <c r="A110" s="7" t="s">
        <v>159</v>
      </c>
      <c r="B110" s="7" t="s">
        <v>160</v>
      </c>
      <c r="C110" s="8" t="s">
        <v>161</v>
      </c>
      <c r="D110" s="9">
        <f>F110+H110</f>
        <v>12962</v>
      </c>
      <c r="E110" s="9">
        <f>G110+I110</f>
        <v>12283</v>
      </c>
      <c r="F110" s="10">
        <f>SUM(F111:F112)</f>
        <v>7923</v>
      </c>
      <c r="G110" s="10">
        <f t="shared" ref="G110:I110" si="27">SUM(G111:G112)</f>
        <v>7245</v>
      </c>
      <c r="H110" s="10">
        <f t="shared" si="27"/>
        <v>5039</v>
      </c>
      <c r="I110" s="10">
        <f t="shared" si="27"/>
        <v>5038</v>
      </c>
    </row>
    <row r="111" spans="1:9" ht="14.1" customHeight="1" x14ac:dyDescent="0.25">
      <c r="A111" s="24"/>
      <c r="B111" s="24"/>
      <c r="C111" s="25" t="s">
        <v>162</v>
      </c>
      <c r="D111" s="26"/>
      <c r="E111" s="26"/>
      <c r="F111" s="26"/>
      <c r="G111" s="26"/>
      <c r="H111" s="26"/>
      <c r="I111" s="26"/>
    </row>
    <row r="112" spans="1:9" ht="14.1" customHeight="1" x14ac:dyDescent="0.25">
      <c r="A112" s="24"/>
      <c r="B112" s="24"/>
      <c r="C112" s="25" t="s">
        <v>163</v>
      </c>
      <c r="D112" s="26"/>
      <c r="E112" s="26"/>
      <c r="F112" s="26">
        <v>7923</v>
      </c>
      <c r="G112" s="26">
        <f>ROUND((G70+G81+G104+G108)*0.27,0)</f>
        <v>7245</v>
      </c>
      <c r="H112" s="26">
        <v>5039</v>
      </c>
      <c r="I112" s="26">
        <f>ROUND((I70+I81+I104+I108)*0.27,0)</f>
        <v>5038</v>
      </c>
    </row>
    <row r="113" spans="1:9" s="3" customFormat="1" ht="14.1" customHeight="1" x14ac:dyDescent="0.25">
      <c r="A113" s="7" t="s">
        <v>164</v>
      </c>
      <c r="B113" s="7" t="s">
        <v>165</v>
      </c>
      <c r="C113" s="8" t="s">
        <v>166</v>
      </c>
      <c r="D113" s="9">
        <f>F113+H113</f>
        <v>0</v>
      </c>
      <c r="E113" s="9">
        <f>G113+I113</f>
        <v>0</v>
      </c>
      <c r="F113" s="10">
        <f>SUM(F114:F116)</f>
        <v>0</v>
      </c>
      <c r="G113" s="10">
        <f t="shared" ref="G113:I113" si="28">SUM(G114:G116)</f>
        <v>0</v>
      </c>
      <c r="H113" s="10">
        <f t="shared" si="28"/>
        <v>0</v>
      </c>
      <c r="I113" s="10">
        <f t="shared" si="28"/>
        <v>0</v>
      </c>
    </row>
    <row r="114" spans="1:9" ht="14.1" customHeight="1" x14ac:dyDescent="0.25">
      <c r="A114" s="24"/>
      <c r="B114" s="24"/>
      <c r="C114" s="25" t="s">
        <v>167</v>
      </c>
      <c r="D114" s="26"/>
      <c r="E114" s="26"/>
      <c r="F114" s="26"/>
      <c r="G114" s="26"/>
      <c r="H114" s="26"/>
      <c r="I114" s="26"/>
    </row>
    <row r="115" spans="1:9" ht="14.1" customHeight="1" x14ac:dyDescent="0.25">
      <c r="A115" s="24"/>
      <c r="B115" s="24"/>
      <c r="C115" s="25" t="s">
        <v>168</v>
      </c>
      <c r="D115" s="26"/>
      <c r="E115" s="26"/>
      <c r="F115" s="26"/>
      <c r="G115" s="26"/>
      <c r="H115" s="26"/>
      <c r="I115" s="26"/>
    </row>
    <row r="116" spans="1:9" ht="14.1" customHeight="1" x14ac:dyDescent="0.25">
      <c r="A116" s="24"/>
      <c r="B116" s="24"/>
      <c r="C116" s="25" t="s">
        <v>169</v>
      </c>
      <c r="D116" s="26"/>
      <c r="E116" s="26"/>
      <c r="F116" s="26"/>
      <c r="G116" s="26"/>
      <c r="H116" s="26"/>
      <c r="I116" s="26"/>
    </row>
    <row r="117" spans="1:9" s="3" customFormat="1" ht="14.1" customHeight="1" x14ac:dyDescent="0.25">
      <c r="A117" s="7" t="s">
        <v>170</v>
      </c>
      <c r="B117" s="7" t="s">
        <v>171</v>
      </c>
      <c r="C117" s="8" t="s">
        <v>172</v>
      </c>
      <c r="D117" s="9">
        <f>F117+H117</f>
        <v>0</v>
      </c>
      <c r="E117" s="9">
        <f>G117+I117</f>
        <v>0</v>
      </c>
      <c r="F117" s="10">
        <f>SUM(F118:F121)</f>
        <v>0</v>
      </c>
      <c r="G117" s="10">
        <f t="shared" ref="G117:I117" si="29">SUM(G118:G121)</f>
        <v>0</v>
      </c>
      <c r="H117" s="10">
        <f t="shared" si="29"/>
        <v>0</v>
      </c>
      <c r="I117" s="10">
        <f t="shared" si="29"/>
        <v>0</v>
      </c>
    </row>
    <row r="118" spans="1:9" ht="14.1" customHeight="1" x14ac:dyDescent="0.25">
      <c r="A118" s="24"/>
      <c r="B118" s="24"/>
      <c r="C118" s="25" t="s">
        <v>173</v>
      </c>
      <c r="D118" s="26"/>
      <c r="E118" s="26"/>
      <c r="F118" s="26"/>
      <c r="G118" s="26"/>
      <c r="H118" s="26"/>
      <c r="I118" s="26"/>
    </row>
    <row r="119" spans="1:9" ht="14.1" customHeight="1" x14ac:dyDescent="0.25">
      <c r="A119" s="24"/>
      <c r="B119" s="24"/>
      <c r="C119" s="25" t="s">
        <v>174</v>
      </c>
      <c r="D119" s="26"/>
      <c r="E119" s="26"/>
      <c r="F119" s="26"/>
      <c r="G119" s="26"/>
      <c r="H119" s="26"/>
      <c r="I119" s="26"/>
    </row>
    <row r="120" spans="1:9" ht="14.1" customHeight="1" x14ac:dyDescent="0.25">
      <c r="A120" s="24"/>
      <c r="B120" s="24"/>
      <c r="C120" s="25" t="s">
        <v>175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176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177</v>
      </c>
      <c r="B122" s="7" t="s">
        <v>178</v>
      </c>
      <c r="C122" s="8" t="s">
        <v>179</v>
      </c>
      <c r="D122" s="9">
        <f>F122+H122</f>
        <v>0</v>
      </c>
      <c r="E122" s="9">
        <f>G122+I122</f>
        <v>0</v>
      </c>
      <c r="F122" s="10">
        <f>SUM(F123:F124)</f>
        <v>0</v>
      </c>
      <c r="G122" s="10">
        <f t="shared" ref="G122:I122" si="30">SUM(G123:G124)</f>
        <v>0</v>
      </c>
      <c r="H122" s="10">
        <f t="shared" si="30"/>
        <v>0</v>
      </c>
      <c r="I122" s="10">
        <f t="shared" si="30"/>
        <v>0</v>
      </c>
    </row>
    <row r="123" spans="1:9" ht="14.1" customHeight="1" x14ac:dyDescent="0.25">
      <c r="A123" s="24"/>
      <c r="B123" s="24"/>
      <c r="C123" s="25" t="s">
        <v>180</v>
      </c>
      <c r="D123" s="26"/>
      <c r="E123" s="26"/>
      <c r="F123" s="26"/>
      <c r="G123" s="26"/>
      <c r="H123" s="26"/>
      <c r="I123" s="26"/>
    </row>
    <row r="124" spans="1:9" ht="14.1" customHeight="1" x14ac:dyDescent="0.25">
      <c r="A124" s="24"/>
      <c r="B124" s="24"/>
      <c r="C124" s="25" t="s">
        <v>181</v>
      </c>
      <c r="D124" s="26"/>
      <c r="E124" s="26"/>
      <c r="F124" s="26"/>
      <c r="G124" s="26"/>
      <c r="H124" s="26"/>
      <c r="I124" s="26"/>
    </row>
    <row r="125" spans="1:9" s="3" customFormat="1" ht="14.1" customHeight="1" x14ac:dyDescent="0.25">
      <c r="A125" s="7" t="s">
        <v>182</v>
      </c>
      <c r="B125" s="7" t="s">
        <v>183</v>
      </c>
      <c r="C125" s="8" t="s">
        <v>184</v>
      </c>
      <c r="D125" s="9">
        <f>F125+H125</f>
        <v>30</v>
      </c>
      <c r="E125" s="9">
        <f>G125+I125</f>
        <v>300</v>
      </c>
      <c r="F125" s="10">
        <f>SUM(F126:F129)</f>
        <v>30</v>
      </c>
      <c r="G125" s="10">
        <f t="shared" ref="G125:I125" si="31">SUM(G126:G129)</f>
        <v>300</v>
      </c>
      <c r="H125" s="10">
        <f t="shared" si="31"/>
        <v>0</v>
      </c>
      <c r="I125" s="10">
        <f t="shared" si="31"/>
        <v>0</v>
      </c>
    </row>
    <row r="126" spans="1:9" ht="14.1" customHeight="1" x14ac:dyDescent="0.25">
      <c r="A126" s="24"/>
      <c r="B126" s="24"/>
      <c r="C126" s="25" t="s">
        <v>185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186</v>
      </c>
      <c r="D127" s="26"/>
      <c r="E127" s="26"/>
      <c r="F127" s="26"/>
      <c r="G127" s="26"/>
      <c r="H127" s="26"/>
      <c r="I127" s="26"/>
    </row>
    <row r="128" spans="1:9" ht="14.1" customHeight="1" x14ac:dyDescent="0.25">
      <c r="A128" s="24"/>
      <c r="B128" s="24"/>
      <c r="C128" s="25" t="s">
        <v>187</v>
      </c>
      <c r="D128" s="26"/>
      <c r="E128" s="26"/>
      <c r="F128" s="26"/>
      <c r="G128" s="26"/>
      <c r="H128" s="26"/>
      <c r="I128" s="26"/>
    </row>
    <row r="129" spans="1:252" ht="14.1" customHeight="1" x14ac:dyDescent="0.25">
      <c r="A129" s="24"/>
      <c r="B129" s="24"/>
      <c r="C129" s="25" t="s">
        <v>188</v>
      </c>
      <c r="D129" s="26"/>
      <c r="E129" s="26"/>
      <c r="F129" s="26">
        <v>30</v>
      </c>
      <c r="G129" s="26">
        <v>300</v>
      </c>
      <c r="H129" s="26"/>
      <c r="I129" s="26"/>
    </row>
    <row r="130" spans="1:252" s="3" customFormat="1" ht="14.1" customHeight="1" x14ac:dyDescent="0.25">
      <c r="A130" s="16" t="s">
        <v>189</v>
      </c>
      <c r="B130" s="16" t="s">
        <v>190</v>
      </c>
      <c r="C130" s="17" t="s">
        <v>191</v>
      </c>
      <c r="D130" s="19">
        <f>D110+D113+D117+D122+D125</f>
        <v>12992</v>
      </c>
      <c r="E130" s="19">
        <f t="shared" ref="E130:I130" si="32">E110+E113+E117+E122+E125</f>
        <v>12583</v>
      </c>
      <c r="F130" s="19">
        <f t="shared" si="32"/>
        <v>7953</v>
      </c>
      <c r="G130" s="19">
        <f t="shared" si="32"/>
        <v>7545</v>
      </c>
      <c r="H130" s="19">
        <f t="shared" si="32"/>
        <v>5039</v>
      </c>
      <c r="I130" s="19">
        <f t="shared" si="32"/>
        <v>5038</v>
      </c>
    </row>
    <row r="131" spans="1:252" s="3" customFormat="1" ht="14.1" customHeight="1" x14ac:dyDescent="0.25">
      <c r="A131" s="20" t="s">
        <v>192</v>
      </c>
      <c r="B131" s="20" t="s">
        <v>193</v>
      </c>
      <c r="C131" s="21" t="s">
        <v>292</v>
      </c>
      <c r="D131" s="23">
        <f>D70+D81+D104+D109+D130</f>
        <v>61100</v>
      </c>
      <c r="E131" s="23">
        <f t="shared" ref="E131:I131" si="33">E70+E81+E104+E109+E130</f>
        <v>58128</v>
      </c>
      <c r="F131" s="23">
        <f t="shared" si="33"/>
        <v>37398</v>
      </c>
      <c r="G131" s="23">
        <f t="shared" si="33"/>
        <v>34430</v>
      </c>
      <c r="H131" s="23">
        <f t="shared" si="33"/>
        <v>23702</v>
      </c>
      <c r="I131" s="23">
        <f t="shared" si="33"/>
        <v>23698</v>
      </c>
    </row>
    <row r="132" spans="1:252" ht="14.1" customHeight="1" x14ac:dyDescent="0.2">
      <c r="A132" s="1025" t="s">
        <v>291</v>
      </c>
      <c r="B132" s="1026"/>
      <c r="C132" s="1027"/>
      <c r="D132" s="28">
        <f>D44+D131</f>
        <v>248190</v>
      </c>
      <c r="E132" s="28">
        <f t="shared" ref="E132:I132" si="34">E44+E131</f>
        <v>264586</v>
      </c>
      <c r="F132" s="28">
        <f t="shared" si="34"/>
        <v>224488</v>
      </c>
      <c r="G132" s="28">
        <f t="shared" si="34"/>
        <v>240888</v>
      </c>
      <c r="H132" s="28">
        <f t="shared" si="34"/>
        <v>23702</v>
      </c>
      <c r="I132" s="28">
        <f t="shared" si="34"/>
        <v>23698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</row>
    <row r="133" spans="1:252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</row>
    <row r="134" spans="1:252" ht="14.1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</row>
    <row r="136" spans="1:252" s="1" customFormat="1" ht="12.75" customHeight="1" x14ac:dyDescent="0.25">
      <c r="A136" s="1022" t="s">
        <v>406</v>
      </c>
      <c r="B136" s="1022"/>
      <c r="C136" s="1022"/>
      <c r="D136" s="1022"/>
      <c r="E136" s="1022"/>
      <c r="F136" s="1022"/>
      <c r="G136" s="1022"/>
      <c r="H136" s="1022"/>
      <c r="I136" s="1022"/>
    </row>
    <row r="137" spans="1:252" s="1" customFormat="1" ht="14.1" customHeight="1" x14ac:dyDescent="0.25">
      <c r="A137" s="1022" t="s">
        <v>0</v>
      </c>
      <c r="B137" s="1023" t="s">
        <v>1</v>
      </c>
      <c r="C137" s="1022" t="s">
        <v>2</v>
      </c>
      <c r="D137" s="1024" t="s">
        <v>260</v>
      </c>
      <c r="E137" s="1014" t="s">
        <v>259</v>
      </c>
      <c r="F137" s="1016" t="s">
        <v>261</v>
      </c>
      <c r="G137" s="1017"/>
      <c r="H137" s="1016" t="s">
        <v>262</v>
      </c>
      <c r="I137" s="1017"/>
    </row>
    <row r="138" spans="1:252" s="3" customFormat="1" ht="27" customHeight="1" x14ac:dyDescent="0.25">
      <c r="A138" s="1022"/>
      <c r="B138" s="1023"/>
      <c r="C138" s="1022"/>
      <c r="D138" s="1024"/>
      <c r="E138" s="1015"/>
      <c r="F138" s="29" t="s">
        <v>260</v>
      </c>
      <c r="G138" s="29" t="s">
        <v>259</v>
      </c>
      <c r="H138" s="29" t="s">
        <v>260</v>
      </c>
      <c r="I138" s="29" t="s">
        <v>259</v>
      </c>
    </row>
    <row r="139" spans="1:252" ht="5.65" customHeight="1" x14ac:dyDescent="0.25"/>
    <row r="140" spans="1:252" ht="14.1" customHeight="1" x14ac:dyDescent="0.25">
      <c r="A140" s="1021" t="s">
        <v>194</v>
      </c>
      <c r="B140" s="1021"/>
      <c r="C140" s="1021"/>
      <c r="D140" s="1021"/>
      <c r="E140" s="1021"/>
      <c r="F140" s="1021"/>
      <c r="G140" s="1021"/>
      <c r="H140" s="1021"/>
      <c r="I140" s="1021"/>
    </row>
    <row r="141" spans="1:252" ht="14.1" customHeight="1" x14ac:dyDescent="0.25">
      <c r="A141" s="24" t="s">
        <v>195</v>
      </c>
      <c r="B141" s="24" t="s">
        <v>196</v>
      </c>
      <c r="C141" s="25" t="s">
        <v>197</v>
      </c>
      <c r="D141" s="26">
        <f>F141+H141</f>
        <v>0</v>
      </c>
      <c r="E141" s="26">
        <f>G141+I141</f>
        <v>0</v>
      </c>
      <c r="F141" s="26"/>
      <c r="G141" s="26"/>
      <c r="H141" s="26"/>
      <c r="I141" s="26"/>
    </row>
    <row r="142" spans="1:252" ht="14.1" customHeight="1" x14ac:dyDescent="0.25">
      <c r="A142" s="24" t="s">
        <v>198</v>
      </c>
      <c r="B142" s="24" t="s">
        <v>199</v>
      </c>
      <c r="C142" s="25" t="s">
        <v>200</v>
      </c>
      <c r="D142" s="26">
        <f t="shared" ref="D142:E148" si="35">F142+H142</f>
        <v>0</v>
      </c>
      <c r="E142" s="26">
        <f t="shared" si="35"/>
        <v>0</v>
      </c>
      <c r="F142" s="26"/>
      <c r="G142" s="26"/>
      <c r="H142" s="26"/>
      <c r="I142" s="26"/>
    </row>
    <row r="143" spans="1:252" ht="14.1" customHeight="1" x14ac:dyDescent="0.25">
      <c r="A143" s="24" t="s">
        <v>201</v>
      </c>
      <c r="B143" s="24" t="s">
        <v>202</v>
      </c>
      <c r="C143" s="25" t="s">
        <v>203</v>
      </c>
      <c r="D143" s="26">
        <f t="shared" si="35"/>
        <v>150</v>
      </c>
      <c r="E143" s="26">
        <f t="shared" si="35"/>
        <v>0</v>
      </c>
      <c r="F143" s="26">
        <v>150</v>
      </c>
      <c r="G143" s="26"/>
      <c r="H143" s="26"/>
      <c r="I143" s="26"/>
    </row>
    <row r="144" spans="1:252" ht="14.1" customHeight="1" x14ac:dyDescent="0.25">
      <c r="A144" s="24" t="s">
        <v>204</v>
      </c>
      <c r="B144" s="24" t="s">
        <v>205</v>
      </c>
      <c r="C144" s="25" t="s">
        <v>206</v>
      </c>
      <c r="D144" s="26">
        <f t="shared" si="35"/>
        <v>200</v>
      </c>
      <c r="E144" s="26">
        <f t="shared" si="35"/>
        <v>200</v>
      </c>
      <c r="F144" s="26">
        <v>200</v>
      </c>
      <c r="G144" s="26">
        <v>200</v>
      </c>
      <c r="H144" s="26"/>
      <c r="I144" s="26"/>
    </row>
    <row r="145" spans="1:9" ht="14.1" customHeight="1" x14ac:dyDescent="0.25">
      <c r="A145" s="24"/>
      <c r="B145" s="24" t="s">
        <v>207</v>
      </c>
      <c r="C145" s="25" t="s">
        <v>208</v>
      </c>
      <c r="D145" s="26">
        <f t="shared" si="35"/>
        <v>0</v>
      </c>
      <c r="E145" s="26">
        <f t="shared" si="35"/>
        <v>0</v>
      </c>
      <c r="F145" s="26"/>
      <c r="G145" s="26"/>
      <c r="H145" s="26"/>
      <c r="I145" s="26"/>
    </row>
    <row r="146" spans="1:9" ht="14.1" customHeight="1" x14ac:dyDescent="0.25">
      <c r="A146" s="24" t="s">
        <v>209</v>
      </c>
      <c r="B146" s="24" t="s">
        <v>210</v>
      </c>
      <c r="C146" s="25" t="s">
        <v>211</v>
      </c>
      <c r="D146" s="26">
        <f t="shared" si="35"/>
        <v>0</v>
      </c>
      <c r="E146" s="26">
        <f t="shared" si="35"/>
        <v>0</v>
      </c>
      <c r="F146" s="26"/>
      <c r="G146" s="26"/>
      <c r="H146" s="26"/>
      <c r="I146" s="26"/>
    </row>
    <row r="147" spans="1:9" ht="14.1" customHeight="1" x14ac:dyDescent="0.25">
      <c r="A147" s="24" t="s">
        <v>212</v>
      </c>
      <c r="B147" s="24" t="s">
        <v>213</v>
      </c>
      <c r="C147" s="25" t="s">
        <v>214</v>
      </c>
      <c r="D147" s="26">
        <f t="shared" si="35"/>
        <v>0</v>
      </c>
      <c r="E147" s="26">
        <f t="shared" si="35"/>
        <v>0</v>
      </c>
      <c r="F147" s="26"/>
      <c r="G147" s="26"/>
      <c r="H147" s="26"/>
      <c r="I147" s="26"/>
    </row>
    <row r="148" spans="1:9" ht="14.1" customHeight="1" x14ac:dyDescent="0.25">
      <c r="A148" s="24" t="s">
        <v>215</v>
      </c>
      <c r="B148" s="24" t="s">
        <v>216</v>
      </c>
      <c r="C148" s="25" t="s">
        <v>217</v>
      </c>
      <c r="D148" s="26">
        <f t="shared" si="35"/>
        <v>95</v>
      </c>
      <c r="E148" s="26">
        <f t="shared" si="35"/>
        <v>54</v>
      </c>
      <c r="F148" s="26">
        <v>95</v>
      </c>
      <c r="G148" s="26">
        <f>ROUND((G141+G142+G143+G144+G145)*0.27,0)</f>
        <v>54</v>
      </c>
      <c r="H148" s="26">
        <v>0</v>
      </c>
      <c r="I148" s="26">
        <f>ROUND((I141+I142+I143+I144+I145)*0.27,0)</f>
        <v>0</v>
      </c>
    </row>
    <row r="149" spans="1:9" s="3" customFormat="1" ht="14.1" customHeight="1" x14ac:dyDescent="0.25">
      <c r="A149" s="20" t="s">
        <v>218</v>
      </c>
      <c r="B149" s="20" t="s">
        <v>219</v>
      </c>
      <c r="C149" s="21" t="s">
        <v>220</v>
      </c>
      <c r="D149" s="23">
        <f>SUM(D141:D148)</f>
        <v>445</v>
      </c>
      <c r="E149" s="23">
        <f t="shared" ref="E149:I149" si="36">SUM(E141:E148)</f>
        <v>254</v>
      </c>
      <c r="F149" s="23">
        <f t="shared" si="36"/>
        <v>445</v>
      </c>
      <c r="G149" s="23">
        <f t="shared" si="36"/>
        <v>254</v>
      </c>
      <c r="H149" s="23">
        <f t="shared" si="36"/>
        <v>0</v>
      </c>
      <c r="I149" s="23">
        <f t="shared" si="36"/>
        <v>0</v>
      </c>
    </row>
    <row r="150" spans="1:9" ht="14.1" customHeight="1" x14ac:dyDescent="0.25">
      <c r="A150" s="24" t="s">
        <v>221</v>
      </c>
      <c r="B150" s="24" t="s">
        <v>222</v>
      </c>
      <c r="C150" s="25" t="s">
        <v>223</v>
      </c>
      <c r="D150" s="26">
        <f>F150+H150</f>
        <v>0</v>
      </c>
      <c r="E150" s="26">
        <f t="shared" ref="E150:E154" si="37">G150+I150</f>
        <v>0</v>
      </c>
      <c r="F150" s="26"/>
      <c r="G150" s="26"/>
      <c r="H150" s="26"/>
      <c r="I150" s="26"/>
    </row>
    <row r="151" spans="1:9" ht="14.1" customHeight="1" x14ac:dyDescent="0.25">
      <c r="A151" s="24" t="s">
        <v>224</v>
      </c>
      <c r="B151" s="24" t="s">
        <v>225</v>
      </c>
      <c r="C151" s="25" t="s">
        <v>226</v>
      </c>
      <c r="D151" s="26">
        <f t="shared" ref="D151:D154" si="38">F151+H151</f>
        <v>0</v>
      </c>
      <c r="E151" s="26">
        <f t="shared" si="37"/>
        <v>0</v>
      </c>
      <c r="F151" s="26"/>
      <c r="G151" s="26"/>
      <c r="H151" s="26"/>
      <c r="I151" s="26"/>
    </row>
    <row r="152" spans="1:9" ht="14.1" customHeight="1" x14ac:dyDescent="0.25">
      <c r="A152" s="24" t="s">
        <v>227</v>
      </c>
      <c r="B152" s="24" t="s">
        <v>228</v>
      </c>
      <c r="C152" s="25" t="s">
        <v>229</v>
      </c>
      <c r="D152" s="26">
        <f t="shared" si="38"/>
        <v>0</v>
      </c>
      <c r="E152" s="26">
        <f>G152+I152</f>
        <v>0</v>
      </c>
      <c r="F152" s="26"/>
      <c r="G152" s="26"/>
      <c r="H152" s="26"/>
      <c r="I152" s="26"/>
    </row>
    <row r="153" spans="1:9" ht="14.1" customHeight="1" x14ac:dyDescent="0.25">
      <c r="A153" s="24"/>
      <c r="B153" s="24" t="s">
        <v>230</v>
      </c>
      <c r="C153" s="25" t="s">
        <v>231</v>
      </c>
      <c r="D153" s="26">
        <f t="shared" si="38"/>
        <v>0</v>
      </c>
      <c r="E153" s="26">
        <f t="shared" si="37"/>
        <v>0</v>
      </c>
      <c r="F153" s="26"/>
      <c r="G153" s="26"/>
      <c r="H153" s="26"/>
      <c r="I153" s="26"/>
    </row>
    <row r="154" spans="1:9" ht="14.1" customHeight="1" x14ac:dyDescent="0.25">
      <c r="A154" s="24" t="s">
        <v>232</v>
      </c>
      <c r="B154" s="24" t="s">
        <v>233</v>
      </c>
      <c r="C154" s="25" t="s">
        <v>234</v>
      </c>
      <c r="D154" s="26">
        <f t="shared" si="38"/>
        <v>0</v>
      </c>
      <c r="E154" s="26">
        <f t="shared" si="37"/>
        <v>0</v>
      </c>
      <c r="F154" s="26">
        <v>0</v>
      </c>
      <c r="G154" s="26">
        <f>ROUND((G150+G151+G152+G153)*0.27,0)</f>
        <v>0</v>
      </c>
      <c r="H154" s="26">
        <v>0</v>
      </c>
      <c r="I154" s="26">
        <f>ROUND((I150+I151+I152+I153)*0.27,0)</f>
        <v>0</v>
      </c>
    </row>
    <row r="155" spans="1:9" s="3" customFormat="1" ht="14.1" customHeight="1" x14ac:dyDescent="0.25">
      <c r="A155" s="20" t="s">
        <v>235</v>
      </c>
      <c r="B155" s="20" t="s">
        <v>236</v>
      </c>
      <c r="C155" s="21" t="s">
        <v>237</v>
      </c>
      <c r="D155" s="23">
        <f>SUM(D150:D154)</f>
        <v>0</v>
      </c>
      <c r="E155" s="23">
        <f t="shared" ref="E155:I155" si="39">SUM(E150:E154)</f>
        <v>0</v>
      </c>
      <c r="F155" s="23">
        <f t="shared" si="39"/>
        <v>0</v>
      </c>
      <c r="G155" s="23">
        <f t="shared" si="39"/>
        <v>0</v>
      </c>
      <c r="H155" s="23">
        <f t="shared" si="39"/>
        <v>0</v>
      </c>
      <c r="I155" s="23">
        <f t="shared" si="39"/>
        <v>0</v>
      </c>
    </row>
    <row r="156" spans="1:9" s="3" customFormat="1" ht="14.1" customHeight="1" x14ac:dyDescent="0.25">
      <c r="A156" s="1025" t="s">
        <v>293</v>
      </c>
      <c r="B156" s="1026"/>
      <c r="C156" s="1027" t="s">
        <v>238</v>
      </c>
      <c r="D156" s="28">
        <f>D149+D155</f>
        <v>445</v>
      </c>
      <c r="E156" s="28">
        <f t="shared" ref="E156:I156" si="40">E149+E155</f>
        <v>254</v>
      </c>
      <c r="F156" s="28">
        <f t="shared" si="40"/>
        <v>445</v>
      </c>
      <c r="G156" s="28">
        <f t="shared" si="40"/>
        <v>254</v>
      </c>
      <c r="H156" s="28">
        <f t="shared" si="40"/>
        <v>0</v>
      </c>
      <c r="I156" s="28">
        <f t="shared" si="40"/>
        <v>0</v>
      </c>
    </row>
    <row r="157" spans="1:9" ht="6.75" customHeight="1" x14ac:dyDescent="0.25"/>
    <row r="158" spans="1:9" ht="14.1" customHeight="1" x14ac:dyDescent="0.25">
      <c r="A158" s="1018" t="s">
        <v>294</v>
      </c>
      <c r="B158" s="1019"/>
      <c r="C158" s="1020"/>
      <c r="D158" s="30">
        <f>D156+D132</f>
        <v>248635</v>
      </c>
      <c r="E158" s="30">
        <f t="shared" ref="E158:I158" si="41">E156+E132</f>
        <v>264840</v>
      </c>
      <c r="F158" s="30">
        <f t="shared" si="41"/>
        <v>224933</v>
      </c>
      <c r="G158" s="30">
        <f t="shared" si="41"/>
        <v>241142</v>
      </c>
      <c r="H158" s="30">
        <f t="shared" si="41"/>
        <v>23702</v>
      </c>
      <c r="I158" s="30">
        <f t="shared" si="41"/>
        <v>23698</v>
      </c>
    </row>
    <row r="163" spans="1:9" s="1" customFormat="1" ht="12.75" customHeight="1" x14ac:dyDescent="0.25">
      <c r="A163" s="1022" t="s">
        <v>405</v>
      </c>
      <c r="B163" s="1022"/>
      <c r="C163" s="1022"/>
      <c r="D163" s="1022"/>
      <c r="E163" s="1022"/>
      <c r="F163" s="1022"/>
      <c r="G163" s="1022"/>
      <c r="H163" s="1022"/>
      <c r="I163" s="1022"/>
    </row>
    <row r="164" spans="1:9" s="1" customFormat="1" ht="14.1" customHeight="1" x14ac:dyDescent="0.25">
      <c r="A164" s="1022" t="s">
        <v>0</v>
      </c>
      <c r="B164" s="1023" t="s">
        <v>1</v>
      </c>
      <c r="C164" s="1022" t="s">
        <v>2</v>
      </c>
      <c r="D164" s="1024" t="s">
        <v>260</v>
      </c>
      <c r="E164" s="1014" t="s">
        <v>259</v>
      </c>
      <c r="F164" s="1016" t="s">
        <v>261</v>
      </c>
      <c r="G164" s="1017"/>
      <c r="H164" s="1016" t="s">
        <v>262</v>
      </c>
      <c r="I164" s="1017"/>
    </row>
    <row r="165" spans="1:9" s="3" customFormat="1" ht="23.25" customHeight="1" x14ac:dyDescent="0.25">
      <c r="A165" s="1022"/>
      <c r="B165" s="1023"/>
      <c r="C165" s="1022"/>
      <c r="D165" s="1024"/>
      <c r="E165" s="1015"/>
      <c r="F165" s="29" t="s">
        <v>260</v>
      </c>
      <c r="G165" s="29" t="s">
        <v>259</v>
      </c>
      <c r="H165" s="29" t="s">
        <v>260</v>
      </c>
      <c r="I165" s="29" t="s">
        <v>259</v>
      </c>
    </row>
    <row r="166" spans="1:9" ht="5.65" customHeight="1" x14ac:dyDescent="0.25"/>
    <row r="167" spans="1:9" ht="14.1" customHeight="1" x14ac:dyDescent="0.25">
      <c r="A167" s="1021" t="s">
        <v>239</v>
      </c>
      <c r="B167" s="1021"/>
      <c r="C167" s="1021"/>
      <c r="D167" s="1021"/>
      <c r="E167" s="1021"/>
      <c r="F167" s="1021"/>
      <c r="G167" s="1021"/>
      <c r="H167" s="1021"/>
      <c r="I167" s="1021"/>
    </row>
    <row r="168" spans="1:9" s="3" customFormat="1" ht="14.1" customHeight="1" x14ac:dyDescent="0.25">
      <c r="A168" s="20" t="s">
        <v>240</v>
      </c>
      <c r="B168" s="20"/>
      <c r="C168" s="21" t="s">
        <v>241</v>
      </c>
      <c r="D168" s="23">
        <f>SUM(D169:D178)</f>
        <v>14338</v>
      </c>
      <c r="E168" s="23">
        <f t="shared" ref="E168:I168" si="42">SUM(E169:E178)</f>
        <v>7684</v>
      </c>
      <c r="F168" s="23">
        <f t="shared" si="42"/>
        <v>0</v>
      </c>
      <c r="G168" s="23">
        <f t="shared" si="42"/>
        <v>0</v>
      </c>
      <c r="H168" s="23">
        <f t="shared" si="42"/>
        <v>14338</v>
      </c>
      <c r="I168" s="23">
        <f t="shared" si="42"/>
        <v>7684</v>
      </c>
    </row>
    <row r="169" spans="1:9" ht="14.1" customHeight="1" x14ac:dyDescent="0.25">
      <c r="A169" s="24" t="s">
        <v>242</v>
      </c>
      <c r="B169" s="24"/>
      <c r="C169" s="25" t="s">
        <v>243</v>
      </c>
      <c r="D169" s="26">
        <f>F169+H169</f>
        <v>0</v>
      </c>
      <c r="E169" s="26">
        <f>G169+I169</f>
        <v>0</v>
      </c>
      <c r="F169" s="26"/>
      <c r="G169" s="26"/>
      <c r="H169" s="26"/>
      <c r="I169" s="26"/>
    </row>
    <row r="170" spans="1:9" ht="14.1" customHeight="1" x14ac:dyDescent="0.25">
      <c r="A170" s="24" t="s">
        <v>244</v>
      </c>
      <c r="B170" s="24"/>
      <c r="C170" s="25" t="s">
        <v>245</v>
      </c>
      <c r="D170" s="26">
        <f t="shared" ref="D170:E178" si="43">F170+H170</f>
        <v>0</v>
      </c>
      <c r="E170" s="26">
        <f t="shared" si="43"/>
        <v>0</v>
      </c>
      <c r="F170" s="26"/>
      <c r="G170" s="26"/>
      <c r="H170" s="26"/>
      <c r="I170" s="26"/>
    </row>
    <row r="171" spans="1:9" ht="14.1" customHeight="1" x14ac:dyDescent="0.25">
      <c r="A171" s="24" t="s">
        <v>246</v>
      </c>
      <c r="B171" s="24"/>
      <c r="C171" s="25" t="s">
        <v>247</v>
      </c>
      <c r="D171" s="26">
        <f t="shared" si="43"/>
        <v>0</v>
      </c>
      <c r="E171" s="26">
        <f t="shared" si="43"/>
        <v>0</v>
      </c>
      <c r="F171" s="26"/>
      <c r="G171" s="26"/>
      <c r="H171" s="26"/>
      <c r="I171" s="26"/>
    </row>
    <row r="172" spans="1:9" ht="14.1" customHeight="1" x14ac:dyDescent="0.25">
      <c r="A172" s="24" t="s">
        <v>248</v>
      </c>
      <c r="B172" s="24"/>
      <c r="C172" s="25" t="s">
        <v>249</v>
      </c>
      <c r="D172" s="26">
        <f t="shared" si="43"/>
        <v>0</v>
      </c>
      <c r="E172" s="26">
        <f t="shared" si="43"/>
        <v>0</v>
      </c>
      <c r="F172" s="26"/>
      <c r="G172" s="26"/>
      <c r="H172" s="26"/>
      <c r="I172" s="26"/>
    </row>
    <row r="173" spans="1:9" ht="14.1" customHeight="1" x14ac:dyDescent="0.25">
      <c r="A173" s="24" t="s">
        <v>296</v>
      </c>
      <c r="B173" s="24"/>
      <c r="C173" s="25" t="s">
        <v>297</v>
      </c>
      <c r="D173" s="26">
        <f t="shared" si="43"/>
        <v>11290</v>
      </c>
      <c r="E173" s="26">
        <f t="shared" si="43"/>
        <v>6050</v>
      </c>
      <c r="F173" s="26"/>
      <c r="G173" s="26"/>
      <c r="H173" s="26">
        <v>11290</v>
      </c>
      <c r="I173" s="26">
        <v>6050</v>
      </c>
    </row>
    <row r="174" spans="1:9" ht="14.1" customHeight="1" x14ac:dyDescent="0.25">
      <c r="A174" s="24" t="s">
        <v>250</v>
      </c>
      <c r="B174" s="24"/>
      <c r="C174" s="25" t="s">
        <v>251</v>
      </c>
      <c r="D174" s="26">
        <f t="shared" si="43"/>
        <v>3048</v>
      </c>
      <c r="E174" s="26">
        <f t="shared" si="43"/>
        <v>1634</v>
      </c>
      <c r="F174" s="26"/>
      <c r="G174" s="26">
        <f>ROUND((G169+G170+G171+G172+G173)*0.27,0)</f>
        <v>0</v>
      </c>
      <c r="H174" s="26">
        <v>3048</v>
      </c>
      <c r="I174" s="26">
        <f>ROUND((I169+I170+I171+I172+I173)*0.27,0)</f>
        <v>1634</v>
      </c>
    </row>
    <row r="175" spans="1:9" ht="14.1" customHeight="1" x14ac:dyDescent="0.25">
      <c r="A175" s="24" t="s">
        <v>298</v>
      </c>
      <c r="B175" s="24"/>
      <c r="C175" s="25" t="s">
        <v>299</v>
      </c>
      <c r="D175" s="26">
        <f t="shared" si="43"/>
        <v>0</v>
      </c>
      <c r="E175" s="26">
        <f t="shared" si="43"/>
        <v>0</v>
      </c>
      <c r="F175" s="26"/>
      <c r="G175" s="26"/>
      <c r="H175" s="26">
        <v>0</v>
      </c>
      <c r="I175" s="26"/>
    </row>
    <row r="176" spans="1:9" ht="14.1" customHeight="1" x14ac:dyDescent="0.25">
      <c r="A176" s="24" t="s">
        <v>252</v>
      </c>
      <c r="B176" s="24"/>
      <c r="C176" s="25" t="s">
        <v>253</v>
      </c>
      <c r="D176" s="26">
        <f t="shared" si="43"/>
        <v>0</v>
      </c>
      <c r="E176" s="26">
        <f t="shared" si="43"/>
        <v>0</v>
      </c>
      <c r="F176" s="26"/>
      <c r="G176" s="26"/>
      <c r="H176" s="26"/>
      <c r="I176" s="26"/>
    </row>
    <row r="177" spans="1:9" ht="14.1" customHeight="1" x14ac:dyDescent="0.25">
      <c r="A177" s="24" t="s">
        <v>300</v>
      </c>
      <c r="B177" s="24"/>
      <c r="C177" s="25" t="s">
        <v>301</v>
      </c>
      <c r="D177" s="26">
        <f t="shared" si="43"/>
        <v>0</v>
      </c>
      <c r="E177" s="26">
        <f t="shared" si="43"/>
        <v>0</v>
      </c>
      <c r="F177" s="26"/>
      <c r="G177" s="26"/>
      <c r="H177" s="26"/>
      <c r="I177" s="26"/>
    </row>
    <row r="178" spans="1:9" ht="14.1" customHeight="1" x14ac:dyDescent="0.25">
      <c r="A178" s="24" t="s">
        <v>254</v>
      </c>
      <c r="B178" s="24"/>
      <c r="C178" s="25" t="s">
        <v>255</v>
      </c>
      <c r="D178" s="26">
        <f t="shared" si="43"/>
        <v>0</v>
      </c>
      <c r="E178" s="26">
        <f t="shared" si="43"/>
        <v>0</v>
      </c>
      <c r="F178" s="26"/>
      <c r="G178" s="26"/>
      <c r="H178" s="26"/>
      <c r="I178" s="26"/>
    </row>
    <row r="179" spans="1:9" s="3" customFormat="1" ht="14.1" customHeight="1" x14ac:dyDescent="0.25">
      <c r="A179" s="20" t="s">
        <v>256</v>
      </c>
      <c r="B179" s="20"/>
      <c r="C179" s="21" t="s">
        <v>257</v>
      </c>
      <c r="D179" s="23">
        <f>F179+H179</f>
        <v>0</v>
      </c>
      <c r="E179" s="23">
        <f>G179+I179</f>
        <v>0</v>
      </c>
      <c r="F179" s="23">
        <v>0</v>
      </c>
      <c r="G179" s="23">
        <v>0</v>
      </c>
      <c r="H179" s="23">
        <v>0</v>
      </c>
      <c r="I179" s="23">
        <v>0</v>
      </c>
    </row>
    <row r="180" spans="1:9" s="3" customFormat="1" ht="14.1" customHeight="1" x14ac:dyDescent="0.25">
      <c r="A180" s="1018" t="s">
        <v>295</v>
      </c>
      <c r="B180" s="1019"/>
      <c r="C180" s="1020"/>
      <c r="D180" s="30">
        <f>D168+D179</f>
        <v>14338</v>
      </c>
      <c r="E180" s="30">
        <f t="shared" ref="E180:I180" si="44">E168+E179</f>
        <v>7684</v>
      </c>
      <c r="F180" s="30">
        <f t="shared" si="44"/>
        <v>0</v>
      </c>
      <c r="G180" s="30">
        <f t="shared" si="44"/>
        <v>0</v>
      </c>
      <c r="H180" s="30">
        <f t="shared" si="44"/>
        <v>14338</v>
      </c>
      <c r="I180" s="30">
        <f t="shared" si="44"/>
        <v>7684</v>
      </c>
    </row>
  </sheetData>
  <sheetProtection selectLockedCells="1" selectUnlockedCells="1"/>
  <mergeCells count="41">
    <mergeCell ref="H164:I164"/>
    <mergeCell ref="A167:I167"/>
    <mergeCell ref="A180:C180"/>
    <mergeCell ref="A140:I140"/>
    <mergeCell ref="A156:C156"/>
    <mergeCell ref="A158:C158"/>
    <mergeCell ref="A163:I163"/>
    <mergeCell ref="A164:A165"/>
    <mergeCell ref="B164:B165"/>
    <mergeCell ref="C164:C165"/>
    <mergeCell ref="D164:D165"/>
    <mergeCell ref="E164:E165"/>
    <mergeCell ref="F164:G164"/>
    <mergeCell ref="A52:I52"/>
    <mergeCell ref="A132:C132"/>
    <mergeCell ref="A136:I136"/>
    <mergeCell ref="A137:A138"/>
    <mergeCell ref="B137:B138"/>
    <mergeCell ref="C137:C138"/>
    <mergeCell ref="D137:D138"/>
    <mergeCell ref="E137:E138"/>
    <mergeCell ref="F137:G137"/>
    <mergeCell ref="H137:I137"/>
    <mergeCell ref="A5:I5"/>
    <mergeCell ref="A44:C44"/>
    <mergeCell ref="A48:I48"/>
    <mergeCell ref="A49:A50"/>
    <mergeCell ref="B49:B50"/>
    <mergeCell ref="C49:C50"/>
    <mergeCell ref="D49:D50"/>
    <mergeCell ref="E49:E50"/>
    <mergeCell ref="F49:G49"/>
    <mergeCell ref="H49:I49"/>
    <mergeCell ref="A1:I1"/>
    <mergeCell ref="A2:A3"/>
    <mergeCell ref="B2:B3"/>
    <mergeCell ref="C2:C3"/>
    <mergeCell ref="D2:D3"/>
    <mergeCell ref="E2:E3"/>
    <mergeCell ref="F2:G2"/>
    <mergeCell ref="H2:I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44" max="16383" man="1"/>
    <brk id="109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D228"/>
  <sheetViews>
    <sheetView view="pageBreakPreview" zoomScale="145" zoomScaleNormal="100" zoomScaleSheetLayoutView="145" workbookViewId="0">
      <pane xSplit="5" ySplit="3" topLeftCell="N167" activePane="bottomRight" state="frozen"/>
      <selection pane="topRight" activeCell="F1" sqref="F1"/>
      <selection pane="bottomLeft" activeCell="A4" sqref="A4"/>
      <selection pane="bottomRight" activeCell="M159" sqref="M15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7109375" style="5"/>
  </cols>
  <sheetData>
    <row r="1" spans="1:21" s="1" customFormat="1" ht="12.75" customHeight="1" x14ac:dyDescent="0.25">
      <c r="A1" s="1022" t="s">
        <v>410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 t="s">
        <v>410</v>
      </c>
      <c r="M1" s="1022"/>
      <c r="N1" s="1022"/>
      <c r="O1" s="1022"/>
      <c r="P1" s="1022"/>
      <c r="Q1" s="1022"/>
      <c r="R1" s="1022"/>
      <c r="S1" s="1022"/>
      <c r="T1" s="1022"/>
      <c r="U1" s="1022"/>
    </row>
    <row r="2" spans="1:21" s="1" customFormat="1" ht="14.1" customHeight="1" x14ac:dyDescent="0.25">
      <c r="A2" s="1065" t="s">
        <v>0</v>
      </c>
      <c r="B2" s="1064" t="s">
        <v>1</v>
      </c>
      <c r="C2" s="1065" t="s">
        <v>2</v>
      </c>
      <c r="D2" s="1015" t="s">
        <v>260</v>
      </c>
      <c r="E2" s="1066" t="s">
        <v>259</v>
      </c>
      <c r="F2" s="1062" t="s">
        <v>411</v>
      </c>
      <c r="G2" s="1067"/>
      <c r="H2" s="1062" t="s">
        <v>412</v>
      </c>
      <c r="I2" s="1063"/>
      <c r="J2" s="1076" t="s">
        <v>413</v>
      </c>
      <c r="K2" s="1070"/>
      <c r="L2" s="1076" t="s">
        <v>414</v>
      </c>
      <c r="M2" s="1076"/>
      <c r="N2" s="1070" t="s">
        <v>415</v>
      </c>
      <c r="O2" s="1072"/>
      <c r="P2" s="1068" t="s">
        <v>416</v>
      </c>
      <c r="Q2" s="1069"/>
      <c r="R2" s="1068" t="s">
        <v>417</v>
      </c>
      <c r="S2" s="1069"/>
      <c r="T2" s="1068"/>
      <c r="U2" s="1069"/>
    </row>
    <row r="3" spans="1:21" s="3" customFormat="1" ht="25.5" customHeight="1" x14ac:dyDescent="0.25">
      <c r="A3" s="1022"/>
      <c r="B3" s="1023"/>
      <c r="C3" s="1022"/>
      <c r="D3" s="1024"/>
      <c r="E3" s="1015"/>
      <c r="F3" s="50" t="s">
        <v>263</v>
      </c>
      <c r="G3" s="50" t="s">
        <v>259</v>
      </c>
      <c r="H3" s="50" t="s">
        <v>260</v>
      </c>
      <c r="I3" s="49" t="s">
        <v>259</v>
      </c>
      <c r="J3" s="62" t="s">
        <v>260</v>
      </c>
      <c r="K3" s="77" t="s">
        <v>259</v>
      </c>
      <c r="L3" s="62" t="s">
        <v>260</v>
      </c>
      <c r="M3" s="62" t="s">
        <v>259</v>
      </c>
      <c r="N3" s="83" t="s">
        <v>260</v>
      </c>
      <c r="O3" s="48" t="s">
        <v>259</v>
      </c>
      <c r="P3" s="84" t="s">
        <v>260</v>
      </c>
      <c r="Q3" s="85" t="s">
        <v>259</v>
      </c>
      <c r="R3" s="84" t="s">
        <v>260</v>
      </c>
      <c r="S3" s="85" t="s">
        <v>259</v>
      </c>
      <c r="T3" s="84"/>
      <c r="U3" s="85"/>
    </row>
    <row r="4" spans="1:21" ht="5.65" customHeight="1" x14ac:dyDescent="0.25">
      <c r="J4" s="63"/>
      <c r="K4" s="78"/>
      <c r="L4" s="63"/>
      <c r="M4" s="63"/>
    </row>
    <row r="5" spans="1:21" ht="14.1" customHeight="1" x14ac:dyDescent="0.25">
      <c r="A5" s="1021" t="s">
        <v>3</v>
      </c>
      <c r="B5" s="1021"/>
      <c r="C5" s="1021"/>
      <c r="D5" s="1021"/>
      <c r="E5" s="1021"/>
      <c r="F5" s="1021"/>
      <c r="G5" s="1021"/>
      <c r="H5" s="1021"/>
      <c r="I5" s="1021"/>
      <c r="J5" s="64"/>
      <c r="K5" s="79"/>
      <c r="L5" s="64"/>
      <c r="M5" s="79"/>
      <c r="N5" s="64"/>
      <c r="O5" s="64"/>
      <c r="P5" s="64"/>
      <c r="Q5" s="64"/>
      <c r="R5" s="64"/>
      <c r="S5" s="64"/>
      <c r="T5" s="64"/>
      <c r="U5" s="64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</f>
        <v>85301</v>
      </c>
      <c r="E6" s="9">
        <f>G6+I6+K6+M6+O6+Q6+S6</f>
        <v>97071</v>
      </c>
      <c r="F6" s="10">
        <v>28010</v>
      </c>
      <c r="G6" s="10">
        <f>SUM(G7:G21)-G12-G15</f>
        <v>32136</v>
      </c>
      <c r="H6" s="10">
        <v>11302</v>
      </c>
      <c r="I6" s="52">
        <f>SUM(I7:I27)</f>
        <v>12350</v>
      </c>
      <c r="J6" s="65">
        <v>0</v>
      </c>
      <c r="K6" s="65">
        <v>0</v>
      </c>
      <c r="L6" s="65">
        <v>45989</v>
      </c>
      <c r="M6" s="52">
        <f>SUM(M7:M54)-M45</f>
        <v>52585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/>
      <c r="T6" s="65"/>
      <c r="U6" s="65"/>
    </row>
    <row r="7" spans="1:21" s="15" customFormat="1" ht="11.45" customHeight="1" x14ac:dyDescent="0.25">
      <c r="A7" s="11"/>
      <c r="B7" s="11"/>
      <c r="C7" s="12" t="s">
        <v>423</v>
      </c>
      <c r="D7" s="13"/>
      <c r="E7" s="13"/>
      <c r="F7" s="14"/>
      <c r="G7" s="14">
        <v>2445</v>
      </c>
      <c r="H7" s="14"/>
      <c r="I7" s="53"/>
      <c r="J7" s="66"/>
      <c r="K7" s="81"/>
      <c r="L7" s="66"/>
      <c r="M7" s="81"/>
      <c r="N7" s="66"/>
      <c r="O7" s="66"/>
      <c r="P7" s="66"/>
      <c r="Q7" s="66"/>
      <c r="R7" s="66"/>
      <c r="S7" s="66"/>
      <c r="T7" s="66"/>
      <c r="U7" s="66"/>
    </row>
    <row r="8" spans="1:21" s="15" customFormat="1" ht="11.45" customHeight="1" x14ac:dyDescent="0.25">
      <c r="A8" s="11"/>
      <c r="B8" s="11"/>
      <c r="C8" s="12" t="s">
        <v>421</v>
      </c>
      <c r="D8" s="13"/>
      <c r="E8" s="13"/>
      <c r="F8" s="14"/>
      <c r="G8" s="14">
        <v>2296</v>
      </c>
      <c r="H8" s="14"/>
      <c r="I8" s="53"/>
      <c r="J8" s="66"/>
      <c r="K8" s="81"/>
      <c r="L8" s="66"/>
      <c r="M8" s="81"/>
      <c r="N8" s="66"/>
      <c r="O8" s="66"/>
      <c r="P8" s="66"/>
      <c r="Q8" s="66"/>
      <c r="R8" s="66"/>
      <c r="S8" s="66"/>
      <c r="T8" s="66"/>
      <c r="U8" s="66"/>
    </row>
    <row r="9" spans="1:21" s="15" customFormat="1" ht="11.45" customHeight="1" x14ac:dyDescent="0.25">
      <c r="A9" s="11"/>
      <c r="B9" s="11"/>
      <c r="C9" s="12" t="s">
        <v>422</v>
      </c>
      <c r="D9" s="13"/>
      <c r="E9" s="13"/>
      <c r="F9" s="14"/>
      <c r="G9" s="14">
        <v>5564</v>
      </c>
      <c r="H9" s="14"/>
      <c r="I9" s="53"/>
      <c r="J9" s="66"/>
      <c r="K9" s="81"/>
      <c r="L9" s="66"/>
      <c r="M9" s="81"/>
      <c r="N9" s="66"/>
      <c r="O9" s="66"/>
      <c r="P9" s="66"/>
      <c r="Q9" s="66"/>
      <c r="R9" s="66"/>
      <c r="S9" s="66"/>
      <c r="T9" s="66"/>
      <c r="U9" s="66"/>
    </row>
    <row r="10" spans="1:21" s="15" customFormat="1" ht="11.45" customHeight="1" x14ac:dyDescent="0.25">
      <c r="A10" s="11"/>
      <c r="B10" s="11"/>
      <c r="C10" s="12" t="s">
        <v>424</v>
      </c>
      <c r="D10" s="13"/>
      <c r="E10" s="13"/>
      <c r="F10" s="14"/>
      <c r="G10" s="14">
        <v>2390</v>
      </c>
      <c r="H10" s="14"/>
      <c r="I10" s="53"/>
      <c r="J10" s="66"/>
      <c r="K10" s="81"/>
      <c r="L10" s="66"/>
      <c r="M10" s="81"/>
      <c r="N10" s="66"/>
      <c r="O10" s="66"/>
      <c r="P10" s="66"/>
      <c r="Q10" s="66"/>
      <c r="R10" s="66"/>
      <c r="S10" s="66"/>
      <c r="T10" s="66"/>
      <c r="U10" s="66"/>
    </row>
    <row r="11" spans="1:21" s="15" customFormat="1" ht="11.45" customHeight="1" x14ac:dyDescent="0.25">
      <c r="A11" s="11"/>
      <c r="B11" s="11"/>
      <c r="C11" s="12" t="s">
        <v>427</v>
      </c>
      <c r="D11" s="13"/>
      <c r="E11" s="13"/>
      <c r="F11" s="14"/>
      <c r="G11" s="14">
        <v>1345</v>
      </c>
      <c r="H11" s="14"/>
      <c r="I11" s="53"/>
      <c r="J11" s="66"/>
      <c r="K11" s="81"/>
      <c r="L11" s="66"/>
      <c r="M11" s="81"/>
      <c r="N11" s="66"/>
      <c r="O11" s="66"/>
      <c r="P11" s="66"/>
      <c r="Q11" s="66"/>
      <c r="R11" s="66"/>
      <c r="S11" s="66"/>
      <c r="T11" s="66"/>
      <c r="U11" s="66"/>
    </row>
    <row r="12" spans="1:21" s="15" customFormat="1" ht="11.45" customHeight="1" x14ac:dyDescent="0.25">
      <c r="A12" s="11"/>
      <c r="B12" s="11"/>
      <c r="C12" s="12" t="s">
        <v>426</v>
      </c>
      <c r="D12" s="13"/>
      <c r="E12" s="13"/>
      <c r="F12" s="14"/>
      <c r="G12" s="14">
        <v>965</v>
      </c>
      <c r="H12" s="14"/>
      <c r="I12" s="53"/>
      <c r="J12" s="66"/>
      <c r="K12" s="81"/>
      <c r="L12" s="66"/>
      <c r="M12" s="81"/>
      <c r="N12" s="66"/>
      <c r="O12" s="66"/>
      <c r="P12" s="66"/>
      <c r="Q12" s="66"/>
      <c r="R12" s="66"/>
      <c r="S12" s="66"/>
      <c r="T12" s="66"/>
      <c r="U12" s="66"/>
    </row>
    <row r="13" spans="1:21" s="15" customFormat="1" ht="11.45" customHeight="1" x14ac:dyDescent="0.25">
      <c r="A13" s="11"/>
      <c r="B13" s="11"/>
      <c r="C13" s="12" t="s">
        <v>428</v>
      </c>
      <c r="D13" s="13"/>
      <c r="E13" s="13"/>
      <c r="F13" s="14"/>
      <c r="G13" s="14">
        <v>1748</v>
      </c>
      <c r="H13" s="14"/>
      <c r="I13" s="53"/>
      <c r="J13" s="66"/>
      <c r="K13" s="81"/>
      <c r="L13" s="66"/>
      <c r="M13" s="81"/>
      <c r="N13" s="66"/>
      <c r="O13" s="66"/>
      <c r="P13" s="66"/>
      <c r="Q13" s="66"/>
      <c r="R13" s="66"/>
      <c r="S13" s="66"/>
      <c r="T13" s="66"/>
      <c r="U13" s="66"/>
    </row>
    <row r="14" spans="1:21" s="15" customFormat="1" ht="11.45" customHeight="1" x14ac:dyDescent="0.25">
      <c r="A14" s="11"/>
      <c r="B14" s="11"/>
      <c r="C14" s="12" t="s">
        <v>429</v>
      </c>
      <c r="D14" s="13"/>
      <c r="E14" s="13"/>
      <c r="F14" s="14"/>
      <c r="G14" s="14">
        <v>3000</v>
      </c>
      <c r="H14" s="14"/>
      <c r="I14" s="53"/>
      <c r="J14" s="66"/>
      <c r="K14" s="81"/>
      <c r="L14" s="66"/>
      <c r="M14" s="81"/>
      <c r="N14" s="66"/>
      <c r="O14" s="66"/>
      <c r="P14" s="66"/>
      <c r="Q14" s="66"/>
      <c r="R14" s="66"/>
      <c r="S14" s="66"/>
      <c r="T14" s="66"/>
      <c r="U14" s="66"/>
    </row>
    <row r="15" spans="1:21" s="15" customFormat="1" ht="11.45" customHeight="1" x14ac:dyDescent="0.25">
      <c r="A15" s="11"/>
      <c r="B15" s="11"/>
      <c r="C15" s="12" t="s">
        <v>431</v>
      </c>
      <c r="D15" s="13"/>
      <c r="E15" s="13"/>
      <c r="F15" s="14"/>
      <c r="G15" s="14">
        <v>1237</v>
      </c>
      <c r="H15" s="14"/>
      <c r="I15" s="53"/>
      <c r="J15" s="66"/>
      <c r="K15" s="81"/>
      <c r="L15" s="66"/>
      <c r="M15" s="81"/>
      <c r="N15" s="66"/>
      <c r="O15" s="66"/>
      <c r="P15" s="66"/>
      <c r="Q15" s="66"/>
      <c r="R15" s="66"/>
      <c r="S15" s="66"/>
      <c r="T15" s="66"/>
      <c r="U15" s="66"/>
    </row>
    <row r="16" spans="1:21" s="15" customFormat="1" ht="11.45" customHeight="1" x14ac:dyDescent="0.25">
      <c r="A16" s="11"/>
      <c r="B16" s="11"/>
      <c r="C16" s="12" t="s">
        <v>425</v>
      </c>
      <c r="D16" s="13"/>
      <c r="E16" s="13"/>
      <c r="F16" s="14"/>
      <c r="G16" s="14">
        <v>3253</v>
      </c>
      <c r="H16" s="14"/>
      <c r="I16" s="53"/>
      <c r="J16" s="66"/>
      <c r="K16" s="81"/>
      <c r="L16" s="66"/>
      <c r="M16" s="81"/>
      <c r="N16" s="66"/>
      <c r="O16" s="66"/>
      <c r="P16" s="66"/>
      <c r="Q16" s="66"/>
      <c r="R16" s="66"/>
      <c r="S16" s="66"/>
      <c r="T16" s="66"/>
      <c r="U16" s="66"/>
    </row>
    <row r="17" spans="1:21" s="15" customFormat="1" ht="11.45" customHeight="1" x14ac:dyDescent="0.25">
      <c r="A17" s="11"/>
      <c r="B17" s="11"/>
      <c r="C17" s="12" t="s">
        <v>433</v>
      </c>
      <c r="D17" s="13"/>
      <c r="E17" s="13"/>
      <c r="F17" s="14"/>
      <c r="G17" s="14">
        <v>1305</v>
      </c>
      <c r="H17" s="14"/>
      <c r="I17" s="53"/>
      <c r="J17" s="66"/>
      <c r="K17" s="81"/>
      <c r="L17" s="66"/>
      <c r="M17" s="81"/>
      <c r="N17" s="66"/>
      <c r="O17" s="66"/>
      <c r="P17" s="66"/>
      <c r="Q17" s="66"/>
      <c r="R17" s="66"/>
      <c r="S17" s="66"/>
      <c r="T17" s="66"/>
      <c r="U17" s="66"/>
    </row>
    <row r="18" spans="1:21" s="15" customFormat="1" ht="11.45" customHeight="1" x14ac:dyDescent="0.25">
      <c r="A18" s="11"/>
      <c r="B18" s="11"/>
      <c r="C18" s="12" t="s">
        <v>430</v>
      </c>
      <c r="D18" s="13"/>
      <c r="E18" s="13"/>
      <c r="F18" s="14"/>
      <c r="G18" s="14">
        <v>2679</v>
      </c>
      <c r="H18" s="14"/>
      <c r="I18" s="53"/>
      <c r="J18" s="66"/>
      <c r="K18" s="81"/>
      <c r="L18" s="66"/>
      <c r="M18" s="81"/>
      <c r="N18" s="66"/>
      <c r="O18" s="66"/>
      <c r="P18" s="66"/>
      <c r="Q18" s="66"/>
      <c r="R18" s="66"/>
      <c r="S18" s="66"/>
      <c r="T18" s="66"/>
      <c r="U18" s="66"/>
    </row>
    <row r="19" spans="1:21" s="15" customFormat="1" ht="11.45" customHeight="1" x14ac:dyDescent="0.25">
      <c r="A19" s="11"/>
      <c r="B19" s="11"/>
      <c r="C19" s="12" t="s">
        <v>432</v>
      </c>
      <c r="D19" s="13"/>
      <c r="E19" s="13"/>
      <c r="F19" s="14"/>
      <c r="G19" s="14">
        <v>1501</v>
      </c>
      <c r="H19" s="14"/>
      <c r="I19" s="53"/>
      <c r="J19" s="66"/>
      <c r="K19" s="81"/>
      <c r="L19" s="66"/>
      <c r="M19" s="81"/>
      <c r="N19" s="66"/>
      <c r="O19" s="66"/>
      <c r="P19" s="66"/>
      <c r="Q19" s="66"/>
      <c r="R19" s="66"/>
      <c r="S19" s="66"/>
      <c r="T19" s="66"/>
      <c r="U19" s="66"/>
    </row>
    <row r="20" spans="1:21" s="15" customFormat="1" ht="11.45" customHeight="1" x14ac:dyDescent="0.25">
      <c r="A20" s="11"/>
      <c r="B20" s="11"/>
      <c r="C20" s="12" t="s">
        <v>434</v>
      </c>
      <c r="D20" s="13"/>
      <c r="E20" s="13"/>
      <c r="F20" s="14"/>
      <c r="G20" s="14">
        <v>2439</v>
      </c>
      <c r="H20" s="14"/>
      <c r="I20" s="53"/>
      <c r="J20" s="66"/>
      <c r="K20" s="81"/>
      <c r="L20" s="66"/>
      <c r="M20" s="81"/>
      <c r="N20" s="66"/>
      <c r="O20" s="66"/>
      <c r="P20" s="66"/>
      <c r="Q20" s="66"/>
      <c r="R20" s="66"/>
      <c r="S20" s="66"/>
      <c r="T20" s="66"/>
      <c r="U20" s="66"/>
    </row>
    <row r="21" spans="1:21" s="15" customFormat="1" ht="11.45" customHeight="1" x14ac:dyDescent="0.25">
      <c r="A21" s="11"/>
      <c r="B21" s="11"/>
      <c r="C21" s="12" t="s">
        <v>435</v>
      </c>
      <c r="D21" s="13"/>
      <c r="E21" s="13"/>
      <c r="F21" s="14"/>
      <c r="G21" s="14">
        <v>2171</v>
      </c>
      <c r="H21" s="14"/>
      <c r="I21" s="53"/>
      <c r="J21" s="66"/>
      <c r="K21" s="81"/>
      <c r="L21" s="66"/>
      <c r="M21" s="81"/>
      <c r="N21" s="66"/>
      <c r="O21" s="66"/>
      <c r="P21" s="66"/>
      <c r="Q21" s="66"/>
      <c r="R21" s="66"/>
      <c r="S21" s="66"/>
      <c r="T21" s="66"/>
      <c r="U21" s="66"/>
    </row>
    <row r="22" spans="1:21" s="15" customFormat="1" ht="11.45" customHeight="1" x14ac:dyDescent="0.25">
      <c r="A22" s="11"/>
      <c r="B22" s="11"/>
      <c r="C22" s="12" t="s">
        <v>436</v>
      </c>
      <c r="D22" s="13"/>
      <c r="E22" s="13"/>
      <c r="F22" s="14"/>
      <c r="G22" s="14"/>
      <c r="H22" s="14"/>
      <c r="I22" s="53">
        <v>2292</v>
      </c>
      <c r="J22" s="66"/>
      <c r="K22" s="81"/>
      <c r="L22" s="66"/>
      <c r="M22" s="81"/>
      <c r="N22" s="66"/>
      <c r="O22" s="66"/>
      <c r="P22" s="66"/>
      <c r="Q22" s="66"/>
      <c r="R22" s="66"/>
      <c r="S22" s="66"/>
      <c r="T22" s="66"/>
      <c r="U22" s="66"/>
    </row>
    <row r="23" spans="1:21" s="15" customFormat="1" ht="11.45" customHeight="1" x14ac:dyDescent="0.25">
      <c r="A23" s="11"/>
      <c r="B23" s="11"/>
      <c r="C23" s="12" t="s">
        <v>437</v>
      </c>
      <c r="D23" s="13"/>
      <c r="E23" s="13"/>
      <c r="F23" s="14"/>
      <c r="G23" s="14"/>
      <c r="H23" s="14"/>
      <c r="I23" s="53">
        <v>2151</v>
      </c>
      <c r="J23" s="66"/>
      <c r="K23" s="81"/>
      <c r="L23" s="66"/>
      <c r="M23" s="81"/>
      <c r="N23" s="66"/>
      <c r="O23" s="66"/>
      <c r="P23" s="66"/>
      <c r="Q23" s="66"/>
      <c r="R23" s="66"/>
      <c r="S23" s="66"/>
      <c r="T23" s="66"/>
      <c r="U23" s="66"/>
    </row>
    <row r="24" spans="1:21" s="15" customFormat="1" ht="11.45" customHeight="1" x14ac:dyDescent="0.25">
      <c r="A24" s="11"/>
      <c r="B24" s="11"/>
      <c r="C24" s="12" t="s">
        <v>438</v>
      </c>
      <c r="D24" s="13"/>
      <c r="E24" s="13"/>
      <c r="F24" s="14"/>
      <c r="G24" s="14"/>
      <c r="H24" s="14"/>
      <c r="I24" s="53">
        <v>1907</v>
      </c>
      <c r="J24" s="66"/>
      <c r="K24" s="81"/>
      <c r="L24" s="66"/>
      <c r="M24" s="81"/>
      <c r="N24" s="66"/>
      <c r="O24" s="66"/>
      <c r="P24" s="66"/>
      <c r="Q24" s="66"/>
      <c r="R24" s="66"/>
      <c r="S24" s="66"/>
      <c r="T24" s="66"/>
      <c r="U24" s="66"/>
    </row>
    <row r="25" spans="1:21" s="15" customFormat="1" ht="11.45" customHeight="1" x14ac:dyDescent="0.25">
      <c r="A25" s="11"/>
      <c r="B25" s="11"/>
      <c r="C25" s="12" t="s">
        <v>439</v>
      </c>
      <c r="D25" s="13"/>
      <c r="E25" s="13"/>
      <c r="F25" s="14"/>
      <c r="G25" s="14"/>
      <c r="H25" s="14"/>
      <c r="I25" s="53">
        <v>2028</v>
      </c>
      <c r="J25" s="66"/>
      <c r="K25" s="81"/>
      <c r="L25" s="66"/>
      <c r="M25" s="81"/>
      <c r="N25" s="66"/>
      <c r="O25" s="66"/>
      <c r="P25" s="66"/>
      <c r="Q25" s="66"/>
      <c r="R25" s="66"/>
      <c r="S25" s="66"/>
      <c r="T25" s="66"/>
      <c r="U25" s="66"/>
    </row>
    <row r="26" spans="1:21" s="15" customFormat="1" ht="11.45" customHeight="1" x14ac:dyDescent="0.25">
      <c r="A26" s="11"/>
      <c r="B26" s="11"/>
      <c r="C26" s="12" t="s">
        <v>440</v>
      </c>
      <c r="D26" s="13"/>
      <c r="E26" s="13"/>
      <c r="F26" s="14"/>
      <c r="G26" s="14"/>
      <c r="H26" s="14"/>
      <c r="I26" s="53">
        <f>1843+7*12</f>
        <v>1927</v>
      </c>
      <c r="J26" s="66"/>
      <c r="K26" s="81"/>
      <c r="L26" s="66"/>
      <c r="M26" s="81"/>
      <c r="N26" s="66"/>
      <c r="O26" s="66"/>
      <c r="P26" s="66"/>
      <c r="Q26" s="66"/>
      <c r="R26" s="66"/>
      <c r="S26" s="66"/>
      <c r="T26" s="66"/>
      <c r="U26" s="66"/>
    </row>
    <row r="27" spans="1:21" s="15" customFormat="1" ht="11.45" customHeight="1" x14ac:dyDescent="0.25">
      <c r="A27" s="11"/>
      <c r="B27" s="11"/>
      <c r="C27" s="12" t="s">
        <v>441</v>
      </c>
      <c r="D27" s="13"/>
      <c r="E27" s="13"/>
      <c r="F27" s="14"/>
      <c r="G27" s="14"/>
      <c r="H27" s="14"/>
      <c r="I27" s="53">
        <v>2045</v>
      </c>
      <c r="J27" s="66"/>
      <c r="K27" s="81"/>
      <c r="L27" s="66"/>
      <c r="M27" s="81"/>
      <c r="N27" s="66"/>
      <c r="O27" s="66"/>
      <c r="P27" s="66"/>
      <c r="Q27" s="66"/>
      <c r="R27" s="66"/>
      <c r="S27" s="66"/>
      <c r="T27" s="66"/>
      <c r="U27" s="66"/>
    </row>
    <row r="28" spans="1:21" s="15" customFormat="1" ht="11.45" customHeight="1" x14ac:dyDescent="0.25">
      <c r="A28" s="11"/>
      <c r="B28" s="11"/>
      <c r="C28" s="12" t="s">
        <v>442</v>
      </c>
      <c r="D28" s="13"/>
      <c r="E28" s="13"/>
      <c r="F28" s="14"/>
      <c r="G28" s="14"/>
      <c r="H28" s="14"/>
      <c r="I28" s="53"/>
      <c r="J28" s="66"/>
      <c r="K28" s="81"/>
      <c r="L28" s="66"/>
      <c r="M28" s="81">
        <v>1901</v>
      </c>
      <c r="N28" s="66"/>
      <c r="O28" s="66"/>
      <c r="P28" s="66"/>
      <c r="Q28" s="66"/>
      <c r="R28" s="66"/>
      <c r="S28" s="66"/>
      <c r="T28" s="66"/>
      <c r="U28" s="66"/>
    </row>
    <row r="29" spans="1:21" s="15" customFormat="1" ht="11.45" customHeight="1" x14ac:dyDescent="0.25">
      <c r="A29" s="11"/>
      <c r="B29" s="11"/>
      <c r="C29" s="12" t="s">
        <v>443</v>
      </c>
      <c r="D29" s="13"/>
      <c r="E29" s="13"/>
      <c r="F29" s="14"/>
      <c r="G29" s="14"/>
      <c r="H29" s="14"/>
      <c r="I29" s="53"/>
      <c r="J29" s="66"/>
      <c r="K29" s="81"/>
      <c r="L29" s="66"/>
      <c r="M29" s="81">
        <v>1883</v>
      </c>
      <c r="N29" s="66"/>
      <c r="O29" s="66"/>
      <c r="P29" s="66"/>
      <c r="Q29" s="66"/>
      <c r="R29" s="66"/>
      <c r="S29" s="66"/>
      <c r="T29" s="66"/>
      <c r="U29" s="66"/>
    </row>
    <row r="30" spans="1:21" s="15" customFormat="1" ht="11.45" customHeight="1" x14ac:dyDescent="0.25">
      <c r="A30" s="11"/>
      <c r="B30" s="11"/>
      <c r="C30" s="12" t="s">
        <v>444</v>
      </c>
      <c r="D30" s="13"/>
      <c r="E30" s="13"/>
      <c r="F30" s="14"/>
      <c r="G30" s="14"/>
      <c r="H30" s="14"/>
      <c r="I30" s="53"/>
      <c r="J30" s="66"/>
      <c r="K30" s="81"/>
      <c r="L30" s="66"/>
      <c r="M30" s="81">
        <v>1883</v>
      </c>
      <c r="N30" s="66"/>
      <c r="O30" s="66"/>
      <c r="P30" s="66"/>
      <c r="Q30" s="66"/>
      <c r="R30" s="66"/>
      <c r="S30" s="66"/>
      <c r="T30" s="66"/>
      <c r="U30" s="66"/>
    </row>
    <row r="31" spans="1:21" s="15" customFormat="1" ht="11.45" customHeight="1" x14ac:dyDescent="0.25">
      <c r="A31" s="11"/>
      <c r="B31" s="11"/>
      <c r="C31" s="12" t="s">
        <v>445</v>
      </c>
      <c r="D31" s="13"/>
      <c r="E31" s="13"/>
      <c r="F31" s="14"/>
      <c r="G31" s="14"/>
      <c r="H31" s="14"/>
      <c r="I31" s="53"/>
      <c r="J31" s="66"/>
      <c r="K31" s="81"/>
      <c r="L31" s="66"/>
      <c r="M31" s="81">
        <v>1730</v>
      </c>
      <c r="N31" s="66"/>
      <c r="O31" s="66"/>
      <c r="P31" s="66"/>
      <c r="Q31" s="66"/>
      <c r="R31" s="66"/>
      <c r="S31" s="66"/>
      <c r="T31" s="66"/>
      <c r="U31" s="66"/>
    </row>
    <row r="32" spans="1:21" s="15" customFormat="1" ht="11.45" customHeight="1" x14ac:dyDescent="0.25">
      <c r="A32" s="11"/>
      <c r="B32" s="11"/>
      <c r="C32" s="12" t="s">
        <v>446</v>
      </c>
      <c r="D32" s="13"/>
      <c r="E32" s="13"/>
      <c r="F32" s="14"/>
      <c r="G32" s="14"/>
      <c r="H32" s="14"/>
      <c r="I32" s="53"/>
      <c r="J32" s="66"/>
      <c r="K32" s="81"/>
      <c r="L32" s="66"/>
      <c r="M32" s="81">
        <v>1830</v>
      </c>
      <c r="N32" s="66"/>
      <c r="O32" s="66"/>
      <c r="P32" s="66"/>
      <c r="Q32" s="66"/>
      <c r="R32" s="66"/>
      <c r="S32" s="66"/>
      <c r="T32" s="66"/>
      <c r="U32" s="66"/>
    </row>
    <row r="33" spans="1:21" s="15" customFormat="1" ht="11.45" customHeight="1" x14ac:dyDescent="0.25">
      <c r="A33" s="11"/>
      <c r="B33" s="11"/>
      <c r="C33" s="12" t="s">
        <v>447</v>
      </c>
      <c r="D33" s="13"/>
      <c r="E33" s="13"/>
      <c r="F33" s="14"/>
      <c r="G33" s="14"/>
      <c r="H33" s="14"/>
      <c r="I33" s="53"/>
      <c r="J33" s="66"/>
      <c r="K33" s="81"/>
      <c r="L33" s="66"/>
      <c r="M33" s="81">
        <v>2113</v>
      </c>
      <c r="N33" s="66"/>
      <c r="O33" s="66"/>
      <c r="P33" s="66"/>
      <c r="Q33" s="66"/>
      <c r="R33" s="66"/>
      <c r="S33" s="66"/>
      <c r="T33" s="66"/>
      <c r="U33" s="66"/>
    </row>
    <row r="34" spans="1:21" s="15" customFormat="1" ht="11.45" customHeight="1" x14ac:dyDescent="0.25">
      <c r="A34" s="11"/>
      <c r="B34" s="11"/>
      <c r="C34" s="12" t="s">
        <v>448</v>
      </c>
      <c r="D34" s="13"/>
      <c r="E34" s="13"/>
      <c r="F34" s="14"/>
      <c r="G34" s="14"/>
      <c r="H34" s="14"/>
      <c r="I34" s="53"/>
      <c r="J34" s="66"/>
      <c r="K34" s="81"/>
      <c r="L34" s="66"/>
      <c r="M34" s="81">
        <v>1865</v>
      </c>
      <c r="N34" s="66"/>
      <c r="O34" s="66"/>
      <c r="P34" s="66"/>
      <c r="Q34" s="66"/>
      <c r="R34" s="66"/>
      <c r="S34" s="66"/>
      <c r="T34" s="66"/>
      <c r="U34" s="66"/>
    </row>
    <row r="35" spans="1:21" s="15" customFormat="1" ht="11.45" customHeight="1" x14ac:dyDescent="0.25">
      <c r="A35" s="11"/>
      <c r="B35" s="11"/>
      <c r="C35" s="12" t="s">
        <v>449</v>
      </c>
      <c r="D35" s="13"/>
      <c r="E35" s="13"/>
      <c r="F35" s="14"/>
      <c r="G35" s="14"/>
      <c r="H35" s="14"/>
      <c r="I35" s="53"/>
      <c r="J35" s="66"/>
      <c r="K35" s="81"/>
      <c r="L35" s="66"/>
      <c r="M35" s="81">
        <v>1541</v>
      </c>
      <c r="N35" s="66"/>
      <c r="O35" s="66"/>
      <c r="P35" s="66"/>
      <c r="Q35" s="66"/>
      <c r="R35" s="66"/>
      <c r="S35" s="66"/>
      <c r="T35" s="66"/>
      <c r="U35" s="66"/>
    </row>
    <row r="36" spans="1:21" s="15" customFormat="1" ht="11.45" customHeight="1" x14ac:dyDescent="0.25">
      <c r="A36" s="11"/>
      <c r="B36" s="11"/>
      <c r="C36" s="12" t="s">
        <v>450</v>
      </c>
      <c r="D36" s="13"/>
      <c r="E36" s="13"/>
      <c r="F36" s="14"/>
      <c r="G36" s="14"/>
      <c r="H36" s="14"/>
      <c r="I36" s="53"/>
      <c r="J36" s="66"/>
      <c r="K36" s="81"/>
      <c r="L36" s="66"/>
      <c r="M36" s="81">
        <v>1768</v>
      </c>
      <c r="N36" s="66"/>
      <c r="O36" s="66"/>
      <c r="P36" s="66"/>
      <c r="Q36" s="66"/>
      <c r="R36" s="66"/>
      <c r="S36" s="66"/>
      <c r="T36" s="66"/>
      <c r="U36" s="66"/>
    </row>
    <row r="37" spans="1:21" s="15" customFormat="1" ht="11.45" customHeight="1" x14ac:dyDescent="0.25">
      <c r="A37" s="11"/>
      <c r="B37" s="11"/>
      <c r="C37" s="12" t="s">
        <v>451</v>
      </c>
      <c r="D37" s="13"/>
      <c r="E37" s="13"/>
      <c r="F37" s="14"/>
      <c r="G37" s="14"/>
      <c r="H37" s="14"/>
      <c r="I37" s="53"/>
      <c r="J37" s="66"/>
      <c r="K37" s="81"/>
      <c r="L37" s="66"/>
      <c r="M37" s="81">
        <v>1676</v>
      </c>
      <c r="N37" s="66"/>
      <c r="O37" s="66"/>
      <c r="P37" s="66"/>
      <c r="Q37" s="66"/>
      <c r="R37" s="66"/>
      <c r="S37" s="66"/>
      <c r="T37" s="66"/>
      <c r="U37" s="66"/>
    </row>
    <row r="38" spans="1:21" s="15" customFormat="1" ht="11.45" customHeight="1" x14ac:dyDescent="0.25">
      <c r="A38" s="11"/>
      <c r="B38" s="11"/>
      <c r="C38" s="12" t="s">
        <v>452</v>
      </c>
      <c r="D38" s="13"/>
      <c r="E38" s="13"/>
      <c r="F38" s="14"/>
      <c r="G38" s="14"/>
      <c r="H38" s="14"/>
      <c r="I38" s="53"/>
      <c r="J38" s="66"/>
      <c r="K38" s="81"/>
      <c r="L38" s="66"/>
      <c r="M38" s="81">
        <v>1761</v>
      </c>
      <c r="N38" s="66"/>
      <c r="O38" s="66"/>
      <c r="P38" s="66"/>
      <c r="Q38" s="66"/>
      <c r="R38" s="66"/>
      <c r="S38" s="66"/>
      <c r="T38" s="66"/>
      <c r="U38" s="66"/>
    </row>
    <row r="39" spans="1:21" s="15" customFormat="1" ht="11.45" customHeight="1" x14ac:dyDescent="0.25">
      <c r="A39" s="11"/>
      <c r="B39" s="11"/>
      <c r="C39" s="12" t="s">
        <v>453</v>
      </c>
      <c r="D39" s="13"/>
      <c r="E39" s="13"/>
      <c r="F39" s="14"/>
      <c r="G39" s="14"/>
      <c r="H39" s="14"/>
      <c r="I39" s="53"/>
      <c r="J39" s="66"/>
      <c r="K39" s="81"/>
      <c r="L39" s="66"/>
      <c r="M39" s="81">
        <v>2875</v>
      </c>
      <c r="N39" s="66"/>
      <c r="O39" s="66"/>
      <c r="P39" s="66"/>
      <c r="Q39" s="66"/>
      <c r="R39" s="66"/>
      <c r="S39" s="66"/>
      <c r="T39" s="66"/>
      <c r="U39" s="66"/>
    </row>
    <row r="40" spans="1:21" s="15" customFormat="1" ht="11.45" customHeight="1" x14ac:dyDescent="0.25">
      <c r="A40" s="11"/>
      <c r="B40" s="11"/>
      <c r="C40" s="12" t="s">
        <v>454</v>
      </c>
      <c r="D40" s="13"/>
      <c r="E40" s="13"/>
      <c r="F40" s="14"/>
      <c r="G40" s="14"/>
      <c r="H40" s="14"/>
      <c r="I40" s="53"/>
      <c r="J40" s="66"/>
      <c r="K40" s="81"/>
      <c r="L40" s="66"/>
      <c r="M40" s="81">
        <v>3111</v>
      </c>
      <c r="N40" s="66"/>
      <c r="O40" s="66"/>
      <c r="P40" s="66"/>
      <c r="Q40" s="66"/>
      <c r="R40" s="66"/>
      <c r="S40" s="66"/>
      <c r="T40" s="66"/>
      <c r="U40" s="66"/>
    </row>
    <row r="41" spans="1:21" s="15" customFormat="1" ht="11.45" customHeight="1" x14ac:dyDescent="0.25">
      <c r="A41" s="11"/>
      <c r="B41" s="11"/>
      <c r="C41" s="12" t="s">
        <v>455</v>
      </c>
      <c r="D41" s="13"/>
      <c r="E41" s="13"/>
      <c r="F41" s="14"/>
      <c r="G41" s="14"/>
      <c r="H41" s="14"/>
      <c r="I41" s="53"/>
      <c r="J41" s="66"/>
      <c r="K41" s="81"/>
      <c r="L41" s="66"/>
      <c r="M41" s="81">
        <v>1786</v>
      </c>
      <c r="N41" s="66"/>
      <c r="O41" s="66"/>
      <c r="P41" s="66"/>
      <c r="Q41" s="66"/>
      <c r="R41" s="66"/>
      <c r="S41" s="66"/>
      <c r="T41" s="66"/>
      <c r="U41" s="66"/>
    </row>
    <row r="42" spans="1:21" s="15" customFormat="1" ht="11.45" customHeight="1" x14ac:dyDescent="0.25">
      <c r="A42" s="11"/>
      <c r="B42" s="11"/>
      <c r="C42" s="12" t="s">
        <v>456</v>
      </c>
      <c r="D42" s="13"/>
      <c r="E42" s="13"/>
      <c r="F42" s="14"/>
      <c r="G42" s="14"/>
      <c r="H42" s="14"/>
      <c r="I42" s="53"/>
      <c r="J42" s="66"/>
      <c r="K42" s="81"/>
      <c r="L42" s="66"/>
      <c r="M42" s="81">
        <v>2574</v>
      </c>
      <c r="N42" s="66"/>
      <c r="O42" s="66"/>
      <c r="P42" s="66"/>
      <c r="Q42" s="66"/>
      <c r="R42" s="66"/>
      <c r="S42" s="66"/>
      <c r="T42" s="66"/>
      <c r="U42" s="66"/>
    </row>
    <row r="43" spans="1:21" s="15" customFormat="1" ht="11.45" customHeight="1" x14ac:dyDescent="0.25">
      <c r="A43" s="11"/>
      <c r="B43" s="11"/>
      <c r="C43" s="12" t="s">
        <v>457</v>
      </c>
      <c r="D43" s="13"/>
      <c r="E43" s="13"/>
      <c r="F43" s="14"/>
      <c r="G43" s="14"/>
      <c r="H43" s="14"/>
      <c r="I43" s="53"/>
      <c r="J43" s="66"/>
      <c r="K43" s="81"/>
      <c r="L43" s="66"/>
      <c r="M43" s="81">
        <v>2484</v>
      </c>
      <c r="N43" s="66"/>
      <c r="O43" s="66"/>
      <c r="P43" s="66"/>
      <c r="Q43" s="66"/>
      <c r="R43" s="66"/>
      <c r="S43" s="66"/>
      <c r="T43" s="66"/>
      <c r="U43" s="66"/>
    </row>
    <row r="44" spans="1:21" s="15" customFormat="1" ht="11.45" customHeight="1" x14ac:dyDescent="0.25">
      <c r="A44" s="11"/>
      <c r="B44" s="11"/>
      <c r="C44" s="12" t="s">
        <v>458</v>
      </c>
      <c r="D44" s="13"/>
      <c r="E44" s="13"/>
      <c r="F44" s="14"/>
      <c r="G44" s="14"/>
      <c r="H44" s="14"/>
      <c r="I44" s="53"/>
      <c r="J44" s="66"/>
      <c r="K44" s="81"/>
      <c r="L44" s="66"/>
      <c r="M44" s="81">
        <v>0</v>
      </c>
      <c r="N44" s="66"/>
      <c r="O44" s="66"/>
      <c r="P44" s="66"/>
      <c r="Q44" s="66"/>
      <c r="R44" s="66"/>
      <c r="S44" s="66"/>
      <c r="T44" s="66"/>
      <c r="U44" s="66"/>
    </row>
    <row r="45" spans="1:21" s="15" customFormat="1" ht="11.45" customHeight="1" x14ac:dyDescent="0.25">
      <c r="A45" s="11"/>
      <c r="B45" s="11"/>
      <c r="C45" s="12" t="s">
        <v>459</v>
      </c>
      <c r="D45" s="13"/>
      <c r="E45" s="13"/>
      <c r="F45" s="14"/>
      <c r="G45" s="14"/>
      <c r="H45" s="14"/>
      <c r="I45" s="53"/>
      <c r="J45" s="66"/>
      <c r="K45" s="81"/>
      <c r="L45" s="66"/>
      <c r="M45" s="81">
        <v>1687</v>
      </c>
      <c r="N45" s="66"/>
      <c r="O45" s="66"/>
      <c r="P45" s="66"/>
      <c r="Q45" s="66"/>
      <c r="R45" s="66"/>
      <c r="S45" s="66"/>
      <c r="T45" s="66"/>
      <c r="U45" s="66"/>
    </row>
    <row r="46" spans="1:21" s="15" customFormat="1" ht="11.45" customHeight="1" x14ac:dyDescent="0.25">
      <c r="A46" s="11"/>
      <c r="B46" s="11"/>
      <c r="C46" s="12" t="s">
        <v>461</v>
      </c>
      <c r="D46" s="13"/>
      <c r="E46" s="13"/>
      <c r="F46" s="14"/>
      <c r="G46" s="14"/>
      <c r="H46" s="14"/>
      <c r="I46" s="53"/>
      <c r="J46" s="66"/>
      <c r="K46" s="81"/>
      <c r="L46" s="66"/>
      <c r="M46" s="81">
        <v>2392</v>
      </c>
      <c r="N46" s="66"/>
      <c r="O46" s="66"/>
      <c r="P46" s="66"/>
      <c r="Q46" s="66"/>
      <c r="R46" s="66"/>
      <c r="S46" s="66"/>
      <c r="T46" s="66"/>
      <c r="U46" s="66"/>
    </row>
    <row r="47" spans="1:21" s="15" customFormat="1" ht="11.45" customHeight="1" x14ac:dyDescent="0.25">
      <c r="A47" s="11"/>
      <c r="B47" s="11"/>
      <c r="C47" s="12" t="s">
        <v>462</v>
      </c>
      <c r="D47" s="13"/>
      <c r="E47" s="13"/>
      <c r="F47" s="14"/>
      <c r="G47" s="14"/>
      <c r="H47" s="14"/>
      <c r="I47" s="53"/>
      <c r="J47" s="66"/>
      <c r="K47" s="81"/>
      <c r="L47" s="66"/>
      <c r="M47" s="81">
        <v>1717</v>
      </c>
      <c r="N47" s="66"/>
      <c r="O47" s="66"/>
      <c r="P47" s="66"/>
      <c r="Q47" s="66"/>
      <c r="R47" s="66"/>
      <c r="S47" s="66"/>
      <c r="T47" s="66"/>
      <c r="U47" s="66"/>
    </row>
    <row r="48" spans="1:21" s="15" customFormat="1" ht="11.45" customHeight="1" x14ac:dyDescent="0.25">
      <c r="A48" s="11"/>
      <c r="B48" s="11"/>
      <c r="C48" s="12" t="s">
        <v>460</v>
      </c>
      <c r="D48" s="13"/>
      <c r="E48" s="13"/>
      <c r="F48" s="14"/>
      <c r="G48" s="14"/>
      <c r="H48" s="14"/>
      <c r="I48" s="53"/>
      <c r="J48" s="66"/>
      <c r="K48" s="81"/>
      <c r="L48" s="66"/>
      <c r="M48" s="81">
        <v>1797</v>
      </c>
      <c r="N48" s="66"/>
      <c r="O48" s="66"/>
      <c r="P48" s="66"/>
      <c r="Q48" s="66"/>
      <c r="R48" s="66"/>
      <c r="S48" s="66"/>
      <c r="T48" s="66"/>
      <c r="U48" s="66"/>
    </row>
    <row r="49" spans="1:21" s="15" customFormat="1" ht="11.45" customHeight="1" x14ac:dyDescent="0.25">
      <c r="A49" s="11"/>
      <c r="B49" s="11"/>
      <c r="C49" s="12" t="s">
        <v>463</v>
      </c>
      <c r="D49" s="13"/>
      <c r="E49" s="13"/>
      <c r="F49" s="14"/>
      <c r="G49" s="14"/>
      <c r="H49" s="14"/>
      <c r="I49" s="53"/>
      <c r="J49" s="66"/>
      <c r="K49" s="81"/>
      <c r="L49" s="66"/>
      <c r="M49" s="81">
        <v>1830</v>
      </c>
      <c r="N49" s="66"/>
      <c r="O49" s="66"/>
      <c r="P49" s="66"/>
      <c r="Q49" s="66"/>
      <c r="R49" s="66"/>
      <c r="S49" s="66"/>
      <c r="T49" s="66"/>
      <c r="U49" s="66"/>
    </row>
    <row r="50" spans="1:21" s="15" customFormat="1" ht="11.45" customHeight="1" x14ac:dyDescent="0.25">
      <c r="A50" s="11"/>
      <c r="B50" s="11"/>
      <c r="C50" s="12" t="s">
        <v>464</v>
      </c>
      <c r="D50" s="13"/>
      <c r="E50" s="13"/>
      <c r="F50" s="14"/>
      <c r="G50" s="14"/>
      <c r="H50" s="14"/>
      <c r="I50" s="53"/>
      <c r="J50" s="66"/>
      <c r="K50" s="81"/>
      <c r="L50" s="66"/>
      <c r="M50" s="81">
        <v>2156</v>
      </c>
      <c r="N50" s="66"/>
      <c r="O50" s="66"/>
      <c r="P50" s="66"/>
      <c r="Q50" s="66"/>
      <c r="R50" s="66"/>
      <c r="S50" s="66"/>
      <c r="T50" s="66"/>
      <c r="U50" s="66"/>
    </row>
    <row r="51" spans="1:21" s="15" customFormat="1" ht="11.45" customHeight="1" x14ac:dyDescent="0.25">
      <c r="A51" s="11"/>
      <c r="B51" s="11"/>
      <c r="C51" s="12" t="s">
        <v>465</v>
      </c>
      <c r="D51" s="13"/>
      <c r="E51" s="13"/>
      <c r="F51" s="14"/>
      <c r="G51" s="14"/>
      <c r="H51" s="14"/>
      <c r="I51" s="53"/>
      <c r="J51" s="66"/>
      <c r="K51" s="81"/>
      <c r="L51" s="66"/>
      <c r="M51" s="81">
        <v>2264</v>
      </c>
      <c r="N51" s="66"/>
      <c r="O51" s="66"/>
      <c r="P51" s="66"/>
      <c r="Q51" s="66"/>
      <c r="R51" s="66"/>
      <c r="S51" s="66"/>
      <c r="T51" s="66"/>
      <c r="U51" s="66"/>
    </row>
    <row r="52" spans="1:21" s="15" customFormat="1" ht="11.45" customHeight="1" x14ac:dyDescent="0.25">
      <c r="A52" s="11"/>
      <c r="B52" s="11"/>
      <c r="C52" s="12" t="s">
        <v>466</v>
      </c>
      <c r="D52" s="13"/>
      <c r="E52" s="13"/>
      <c r="F52" s="14"/>
      <c r="G52" s="14"/>
      <c r="H52" s="14"/>
      <c r="I52" s="53"/>
      <c r="J52" s="66"/>
      <c r="K52" s="81"/>
      <c r="L52" s="66"/>
      <c r="M52" s="81">
        <v>1888</v>
      </c>
      <c r="N52" s="66"/>
      <c r="O52" s="66"/>
      <c r="P52" s="66"/>
      <c r="Q52" s="66"/>
      <c r="R52" s="66"/>
      <c r="S52" s="66"/>
      <c r="T52" s="66"/>
      <c r="U52" s="66"/>
    </row>
    <row r="53" spans="1:21" s="15" customFormat="1" ht="11.45" customHeight="1" x14ac:dyDescent="0.25">
      <c r="A53" s="11"/>
      <c r="B53" s="11"/>
      <c r="C53" s="12" t="s">
        <v>467</v>
      </c>
      <c r="D53" s="13"/>
      <c r="E53" s="13"/>
      <c r="F53" s="14"/>
      <c r="G53" s="14"/>
      <c r="H53" s="14"/>
      <c r="I53" s="53"/>
      <c r="J53" s="66"/>
      <c r="K53" s="81"/>
      <c r="L53" s="66"/>
      <c r="M53" s="81">
        <v>3600</v>
      </c>
      <c r="N53" s="66"/>
      <c r="O53" s="66"/>
      <c r="P53" s="66"/>
      <c r="Q53" s="66"/>
      <c r="R53" s="66"/>
      <c r="S53" s="66"/>
      <c r="T53" s="66"/>
      <c r="U53" s="66"/>
    </row>
    <row r="54" spans="1:21" s="15" customFormat="1" ht="11.45" customHeight="1" x14ac:dyDescent="0.25">
      <c r="A54" s="11"/>
      <c r="B54" s="11"/>
      <c r="C54" s="12" t="s">
        <v>1258</v>
      </c>
      <c r="D54" s="13"/>
      <c r="E54" s="13"/>
      <c r="F54" s="14"/>
      <c r="G54" s="14"/>
      <c r="H54" s="14"/>
      <c r="I54" s="53"/>
      <c r="J54" s="66"/>
      <c r="K54" s="81"/>
      <c r="L54" s="66"/>
      <c r="M54" s="81">
        <f>60*3*12</f>
        <v>2160</v>
      </c>
      <c r="N54" s="66"/>
      <c r="O54" s="66"/>
      <c r="P54" s="66"/>
      <c r="Q54" s="66"/>
      <c r="R54" s="66"/>
      <c r="S54" s="66"/>
      <c r="T54" s="66"/>
      <c r="U54" s="66"/>
    </row>
    <row r="55" spans="1:21" s="3" customFormat="1" ht="12.75" customHeight="1" x14ac:dyDescent="0.25">
      <c r="A55" s="7" t="s">
        <v>7</v>
      </c>
      <c r="B55" s="7" t="s">
        <v>8</v>
      </c>
      <c r="C55" s="8" t="s">
        <v>9</v>
      </c>
      <c r="D55" s="9">
        <f t="shared" ref="D55:E57" si="0">F55+H55+J55+L55+N55+P55+R55</f>
        <v>0</v>
      </c>
      <c r="E55" s="9">
        <f t="shared" si="0"/>
        <v>0</v>
      </c>
      <c r="F55" s="10">
        <v>0</v>
      </c>
      <c r="G55" s="10">
        <v>0</v>
      </c>
      <c r="H55" s="10">
        <v>0</v>
      </c>
      <c r="I55" s="52">
        <v>0</v>
      </c>
      <c r="J55" s="65">
        <v>0</v>
      </c>
      <c r="K55" s="65">
        <v>0</v>
      </c>
      <c r="L55" s="65">
        <v>0</v>
      </c>
      <c r="M55" s="80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/>
      <c r="T55" s="65"/>
      <c r="U55" s="65"/>
    </row>
    <row r="56" spans="1:21" s="3" customFormat="1" ht="12.75" customHeight="1" x14ac:dyDescent="0.25">
      <c r="A56" s="7" t="s">
        <v>10</v>
      </c>
      <c r="B56" s="7" t="s">
        <v>11</v>
      </c>
      <c r="C56" s="8" t="s">
        <v>12</v>
      </c>
      <c r="D56" s="9">
        <f t="shared" si="0"/>
        <v>0</v>
      </c>
      <c r="E56" s="9">
        <f t="shared" si="0"/>
        <v>0</v>
      </c>
      <c r="F56" s="10">
        <v>0</v>
      </c>
      <c r="G56" s="10">
        <v>0</v>
      </c>
      <c r="H56" s="10">
        <v>0</v>
      </c>
      <c r="I56" s="52">
        <v>0</v>
      </c>
      <c r="J56" s="65">
        <v>0</v>
      </c>
      <c r="K56" s="65">
        <v>0</v>
      </c>
      <c r="L56" s="65">
        <v>0</v>
      </c>
      <c r="M56" s="80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/>
      <c r="T56" s="65"/>
      <c r="U56" s="65"/>
    </row>
    <row r="57" spans="1:21" s="3" customFormat="1" ht="12.75" customHeight="1" x14ac:dyDescent="0.25">
      <c r="A57" s="7" t="s">
        <v>13</v>
      </c>
      <c r="B57" s="7" t="s">
        <v>14</v>
      </c>
      <c r="C57" s="8" t="s">
        <v>15</v>
      </c>
      <c r="D57" s="9">
        <f t="shared" si="0"/>
        <v>2600</v>
      </c>
      <c r="E57" s="9">
        <f t="shared" si="0"/>
        <v>2600</v>
      </c>
      <c r="F57" s="10">
        <f>SUM(F58:F59)</f>
        <v>900</v>
      </c>
      <c r="G57" s="10">
        <f>SUM(G58:G59)</f>
        <v>1000</v>
      </c>
      <c r="H57" s="10">
        <f>SUM(H58:H59)</f>
        <v>700</v>
      </c>
      <c r="I57" s="52">
        <f t="shared" ref="I57:P57" si="1">SUM(I58:I59)</f>
        <v>700</v>
      </c>
      <c r="J57" s="52">
        <f t="shared" si="1"/>
        <v>0</v>
      </c>
      <c r="K57" s="52">
        <f t="shared" si="1"/>
        <v>0</v>
      </c>
      <c r="L57" s="52">
        <f t="shared" si="1"/>
        <v>1000</v>
      </c>
      <c r="M57" s="52">
        <f t="shared" si="1"/>
        <v>900</v>
      </c>
      <c r="N57" s="52">
        <f t="shared" si="1"/>
        <v>0</v>
      </c>
      <c r="O57" s="52">
        <f t="shared" si="1"/>
        <v>0</v>
      </c>
      <c r="P57" s="52">
        <f t="shared" si="1"/>
        <v>0</v>
      </c>
      <c r="Q57" s="65">
        <v>0</v>
      </c>
      <c r="R57" s="52">
        <f t="shared" ref="R57" si="2">SUM(R58:R59)</f>
        <v>0</v>
      </c>
      <c r="S57" s="65"/>
      <c r="T57" s="52"/>
      <c r="U57" s="65"/>
    </row>
    <row r="58" spans="1:21" s="15" customFormat="1" ht="11.45" customHeight="1" x14ac:dyDescent="0.25">
      <c r="A58" s="11"/>
      <c r="B58" s="11"/>
      <c r="C58" s="12" t="s">
        <v>16</v>
      </c>
      <c r="D58" s="13"/>
      <c r="E58" s="13"/>
      <c r="F58" s="14">
        <v>700</v>
      </c>
      <c r="G58" s="14">
        <v>700</v>
      </c>
      <c r="H58" s="14">
        <v>500</v>
      </c>
      <c r="I58" s="53">
        <v>500</v>
      </c>
      <c r="J58" s="66"/>
      <c r="K58" s="81"/>
      <c r="L58" s="66">
        <v>800</v>
      </c>
      <c r="M58" s="81">
        <v>800</v>
      </c>
      <c r="N58" s="66"/>
      <c r="O58" s="66"/>
      <c r="P58" s="66"/>
      <c r="Q58" s="66"/>
      <c r="R58" s="66"/>
      <c r="S58" s="66"/>
      <c r="T58" s="66"/>
      <c r="U58" s="66"/>
    </row>
    <row r="59" spans="1:21" s="15" customFormat="1" ht="11.45" customHeight="1" x14ac:dyDescent="0.25">
      <c r="A59" s="11"/>
      <c r="B59" s="11"/>
      <c r="C59" s="12" t="s">
        <v>17</v>
      </c>
      <c r="D59" s="13"/>
      <c r="E59" s="13"/>
      <c r="F59" s="14">
        <v>200</v>
      </c>
      <c r="G59" s="14">
        <v>300</v>
      </c>
      <c r="H59" s="14">
        <v>200</v>
      </c>
      <c r="I59" s="53">
        <v>200</v>
      </c>
      <c r="J59" s="66"/>
      <c r="K59" s="81"/>
      <c r="L59" s="66">
        <v>200</v>
      </c>
      <c r="M59" s="81">
        <v>100</v>
      </c>
      <c r="N59" s="66"/>
      <c r="O59" s="66"/>
      <c r="P59" s="66"/>
      <c r="Q59" s="66"/>
      <c r="R59" s="66"/>
      <c r="S59" s="66"/>
      <c r="T59" s="66"/>
      <c r="U59" s="66"/>
    </row>
    <row r="60" spans="1:21" s="3" customFormat="1" ht="12.75" customHeight="1" x14ac:dyDescent="0.25">
      <c r="A60" s="7" t="s">
        <v>18</v>
      </c>
      <c r="B60" s="7" t="s">
        <v>19</v>
      </c>
      <c r="C60" s="8" t="s">
        <v>20</v>
      </c>
      <c r="D60" s="9">
        <f>F60+H60+J60+L60+N60+P60+R60</f>
        <v>0</v>
      </c>
      <c r="E60" s="9">
        <f>G60+I60+K60+M60+O60+Q60+S60</f>
        <v>0</v>
      </c>
      <c r="F60" s="10">
        <v>0</v>
      </c>
      <c r="G60" s="10">
        <v>0</v>
      </c>
      <c r="H60" s="10">
        <v>0</v>
      </c>
      <c r="I60" s="52">
        <v>0</v>
      </c>
      <c r="J60" s="65">
        <v>0</v>
      </c>
      <c r="K60" s="65">
        <v>0</v>
      </c>
      <c r="L60" s="65">
        <v>0</v>
      </c>
      <c r="M60" s="80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/>
      <c r="T60" s="65"/>
      <c r="U60" s="65"/>
    </row>
    <row r="61" spans="1:21" s="3" customFormat="1" ht="12.75" customHeight="1" x14ac:dyDescent="0.25">
      <c r="A61" s="7" t="s">
        <v>21</v>
      </c>
      <c r="B61" s="7" t="s">
        <v>22</v>
      </c>
      <c r="C61" s="8" t="s">
        <v>23</v>
      </c>
      <c r="D61" s="9">
        <f>F61+H61+J61+L61+N61+P61+R61</f>
        <v>4040</v>
      </c>
      <c r="E61" s="9">
        <f>G61+I61+K61+M61+O61+Q61+S61</f>
        <v>2290</v>
      </c>
      <c r="F61" s="10">
        <v>0</v>
      </c>
      <c r="G61" s="10">
        <f>SUM(G62:G64)</f>
        <v>290</v>
      </c>
      <c r="H61" s="10">
        <v>1040</v>
      </c>
      <c r="I61" s="52">
        <f>SUM(I62:I64)</f>
        <v>1000</v>
      </c>
      <c r="J61" s="65">
        <v>0</v>
      </c>
      <c r="K61" s="65">
        <v>0</v>
      </c>
      <c r="L61" s="65">
        <f>SUM(L62:L63)</f>
        <v>3000</v>
      </c>
      <c r="M61" s="65">
        <f>SUM(M62:M65)</f>
        <v>1000</v>
      </c>
      <c r="N61" s="65">
        <f>SUM(N62:N63)</f>
        <v>0</v>
      </c>
      <c r="O61" s="65">
        <v>0</v>
      </c>
      <c r="P61" s="65">
        <f>SUM(P62:P63)</f>
        <v>0</v>
      </c>
      <c r="Q61" s="65">
        <v>0</v>
      </c>
      <c r="R61" s="65">
        <f>SUM(R62:R63)</f>
        <v>0</v>
      </c>
      <c r="S61" s="65"/>
      <c r="T61" s="65"/>
      <c r="U61" s="65"/>
    </row>
    <row r="62" spans="1:21" s="3" customFormat="1" ht="12.75" customHeight="1" x14ac:dyDescent="0.25">
      <c r="A62" s="11"/>
      <c r="B62" s="11"/>
      <c r="C62" s="12" t="s">
        <v>1278</v>
      </c>
      <c r="D62" s="13"/>
      <c r="E62" s="13"/>
      <c r="F62" s="14"/>
      <c r="G62" s="14">
        <v>290</v>
      </c>
      <c r="H62" s="14"/>
      <c r="I62" s="53"/>
      <c r="J62" s="66"/>
      <c r="K62" s="81"/>
      <c r="L62" s="66">
        <v>3000</v>
      </c>
      <c r="M62" s="81"/>
      <c r="N62" s="66"/>
      <c r="O62" s="66"/>
      <c r="P62" s="66"/>
      <c r="Q62" s="66"/>
      <c r="R62" s="66"/>
      <c r="S62" s="66"/>
      <c r="T62" s="66"/>
      <c r="U62" s="66"/>
    </row>
    <row r="63" spans="1:21" s="3" customFormat="1" ht="12.75" customHeight="1" x14ac:dyDescent="0.25">
      <c r="A63" s="11"/>
      <c r="B63" s="11"/>
      <c r="C63" s="12" t="s">
        <v>418</v>
      </c>
      <c r="D63" s="13"/>
      <c r="E63" s="13"/>
      <c r="F63" s="14"/>
      <c r="G63" s="14"/>
      <c r="H63" s="14"/>
      <c r="I63" s="53">
        <v>1000</v>
      </c>
      <c r="J63" s="66"/>
      <c r="K63" s="81"/>
      <c r="L63" s="66"/>
      <c r="M63" s="81"/>
      <c r="N63" s="66"/>
      <c r="O63" s="66"/>
      <c r="P63" s="66"/>
      <c r="Q63" s="66"/>
      <c r="R63" s="66"/>
      <c r="S63" s="66"/>
      <c r="T63" s="66"/>
      <c r="U63" s="66"/>
    </row>
    <row r="64" spans="1:21" s="3" customFormat="1" ht="12.75" hidden="1" customHeight="1" x14ac:dyDescent="0.25">
      <c r="A64" s="11"/>
      <c r="B64" s="11"/>
      <c r="C64" s="12" t="s">
        <v>419</v>
      </c>
      <c r="D64" s="13"/>
      <c r="E64" s="13"/>
      <c r="F64" s="14"/>
      <c r="G64" s="14"/>
      <c r="H64" s="53"/>
      <c r="I64" s="53">
        <v>0</v>
      </c>
      <c r="J64" s="90"/>
      <c r="K64" s="81"/>
      <c r="L64" s="90"/>
      <c r="M64" s="81"/>
      <c r="N64" s="90"/>
      <c r="O64" s="66"/>
      <c r="P64" s="90"/>
      <c r="Q64" s="66"/>
      <c r="R64" s="90"/>
      <c r="S64" s="66"/>
      <c r="T64" s="90"/>
      <c r="U64" s="66"/>
    </row>
    <row r="65" spans="1:21" s="3" customFormat="1" ht="12.75" customHeight="1" x14ac:dyDescent="0.25">
      <c r="A65" s="11"/>
      <c r="B65" s="11"/>
      <c r="C65" s="12" t="s">
        <v>1279</v>
      </c>
      <c r="D65" s="13"/>
      <c r="E65" s="13"/>
      <c r="F65" s="14"/>
      <c r="G65" s="14"/>
      <c r="H65" s="53"/>
      <c r="I65" s="53"/>
      <c r="J65" s="90"/>
      <c r="K65" s="90"/>
      <c r="L65" s="90"/>
      <c r="M65" s="81">
        <v>1000</v>
      </c>
      <c r="N65" s="90"/>
      <c r="O65" s="66"/>
      <c r="P65" s="90"/>
      <c r="Q65" s="66"/>
      <c r="R65" s="90"/>
      <c r="S65" s="66"/>
      <c r="T65" s="90"/>
      <c r="U65" s="66"/>
    </row>
    <row r="66" spans="1:21" s="3" customFormat="1" ht="12.75" customHeight="1" x14ac:dyDescent="0.25">
      <c r="A66" s="7" t="s">
        <v>24</v>
      </c>
      <c r="B66" s="7" t="s">
        <v>25</v>
      </c>
      <c r="C66" s="8" t="s">
        <v>26</v>
      </c>
      <c r="D66" s="9">
        <f>F66+H66+J66+L66+N66+P66+R66</f>
        <v>3936</v>
      </c>
      <c r="E66" s="9">
        <f>G66+I66+K66+M66+O66+Q66+S66</f>
        <v>3936</v>
      </c>
      <c r="F66" s="10">
        <f>F67</f>
        <v>1056</v>
      </c>
      <c r="G66" s="10">
        <f>G67</f>
        <v>1056</v>
      </c>
      <c r="H66" s="52">
        <f t="shared" ref="H66:R66" si="3">H67</f>
        <v>576</v>
      </c>
      <c r="I66" s="52">
        <f t="shared" si="3"/>
        <v>576</v>
      </c>
      <c r="J66" s="52">
        <f t="shared" si="3"/>
        <v>0</v>
      </c>
      <c r="K66" s="52">
        <f t="shared" si="3"/>
        <v>0</v>
      </c>
      <c r="L66" s="52">
        <f t="shared" si="3"/>
        <v>2304</v>
      </c>
      <c r="M66" s="52">
        <f t="shared" si="3"/>
        <v>2304</v>
      </c>
      <c r="N66" s="52">
        <f t="shared" si="3"/>
        <v>0</v>
      </c>
      <c r="O66" s="65">
        <v>0</v>
      </c>
      <c r="P66" s="52">
        <f t="shared" si="3"/>
        <v>0</v>
      </c>
      <c r="Q66" s="65">
        <v>0</v>
      </c>
      <c r="R66" s="52">
        <f t="shared" si="3"/>
        <v>0</v>
      </c>
      <c r="S66" s="65"/>
      <c r="T66" s="52"/>
      <c r="U66" s="65"/>
    </row>
    <row r="67" spans="1:21" s="15" customFormat="1" ht="11.45" customHeight="1" x14ac:dyDescent="0.25">
      <c r="A67" s="11"/>
      <c r="B67" s="11"/>
      <c r="C67" s="12" t="s">
        <v>278</v>
      </c>
      <c r="D67" s="13"/>
      <c r="E67" s="13"/>
      <c r="F67" s="14">
        <v>1056</v>
      </c>
      <c r="G67" s="14">
        <v>1056</v>
      </c>
      <c r="H67" s="14">
        <v>576</v>
      </c>
      <c r="I67" s="53">
        <v>576</v>
      </c>
      <c r="J67" s="66"/>
      <c r="K67" s="81"/>
      <c r="L67" s="66">
        <v>2304</v>
      </c>
      <c r="M67" s="81">
        <v>2304</v>
      </c>
      <c r="N67" s="66"/>
      <c r="O67" s="66"/>
      <c r="P67" s="66"/>
      <c r="Q67" s="66"/>
      <c r="R67" s="66"/>
      <c r="S67" s="66"/>
      <c r="T67" s="66"/>
      <c r="U67" s="66"/>
    </row>
    <row r="68" spans="1:21" s="3" customFormat="1" ht="12.75" customHeight="1" x14ac:dyDescent="0.25">
      <c r="A68" s="7" t="s">
        <v>27</v>
      </c>
      <c r="B68" s="7" t="s">
        <v>28</v>
      </c>
      <c r="C68" s="8" t="s">
        <v>29</v>
      </c>
      <c r="D68" s="9">
        <f t="shared" ref="D68:E70" si="4">F68+H68+J68+L68+N68+P68+R68</f>
        <v>0</v>
      </c>
      <c r="E68" s="9">
        <f t="shared" si="4"/>
        <v>0</v>
      </c>
      <c r="F68" s="10">
        <v>0</v>
      </c>
      <c r="G68" s="10">
        <v>0</v>
      </c>
      <c r="H68" s="10">
        <v>0</v>
      </c>
      <c r="I68" s="52">
        <v>0</v>
      </c>
      <c r="J68" s="65">
        <v>0</v>
      </c>
      <c r="K68" s="80">
        <v>0</v>
      </c>
      <c r="L68" s="65">
        <v>0</v>
      </c>
      <c r="M68" s="80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/>
      <c r="T68" s="65"/>
      <c r="U68" s="65"/>
    </row>
    <row r="69" spans="1:21" s="3" customFormat="1" ht="12.75" customHeight="1" x14ac:dyDescent="0.25">
      <c r="A69" s="7" t="s">
        <v>30</v>
      </c>
      <c r="B69" s="7" t="s">
        <v>31</v>
      </c>
      <c r="C69" s="8" t="s">
        <v>32</v>
      </c>
      <c r="D69" s="9">
        <f t="shared" si="4"/>
        <v>1480</v>
      </c>
      <c r="E69" s="9">
        <f t="shared" si="4"/>
        <v>1670</v>
      </c>
      <c r="F69" s="10">
        <v>600</v>
      </c>
      <c r="G69" s="10">
        <v>850</v>
      </c>
      <c r="H69" s="10">
        <v>100</v>
      </c>
      <c r="I69" s="52">
        <v>70</v>
      </c>
      <c r="J69" s="65">
        <v>0</v>
      </c>
      <c r="K69" s="80">
        <v>0</v>
      </c>
      <c r="L69" s="65">
        <v>780</v>
      </c>
      <c r="M69" s="80">
        <v>750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/>
      <c r="T69" s="65"/>
      <c r="U69" s="65"/>
    </row>
    <row r="70" spans="1:21" s="3" customFormat="1" ht="12.75" customHeight="1" x14ac:dyDescent="0.25">
      <c r="A70" s="7" t="s">
        <v>33</v>
      </c>
      <c r="B70" s="7" t="s">
        <v>34</v>
      </c>
      <c r="C70" s="8" t="s">
        <v>35</v>
      </c>
      <c r="D70" s="9">
        <f t="shared" si="4"/>
        <v>700</v>
      </c>
      <c r="E70" s="9">
        <f t="shared" si="4"/>
        <v>792</v>
      </c>
      <c r="F70" s="10">
        <v>180</v>
      </c>
      <c r="G70" s="10">
        <f>G71+G72</f>
        <v>372</v>
      </c>
      <c r="H70" s="10">
        <v>120</v>
      </c>
      <c r="I70" s="52">
        <f>I71+I72</f>
        <v>132</v>
      </c>
      <c r="J70" s="65">
        <v>0</v>
      </c>
      <c r="K70" s="80">
        <v>0</v>
      </c>
      <c r="L70" s="65">
        <v>400</v>
      </c>
      <c r="M70" s="80">
        <f>M71+M72</f>
        <v>288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/>
      <c r="T70" s="65"/>
      <c r="U70" s="65"/>
    </row>
    <row r="71" spans="1:21" s="3" customFormat="1" ht="12.75" customHeight="1" x14ac:dyDescent="0.25">
      <c r="A71" s="11"/>
      <c r="B71" s="11"/>
      <c r="C71" s="12" t="s">
        <v>420</v>
      </c>
      <c r="D71" s="13"/>
      <c r="E71" s="13"/>
      <c r="F71" s="14"/>
      <c r="G71" s="14">
        <v>240</v>
      </c>
      <c r="H71" s="14"/>
      <c r="I71" s="53">
        <v>60</v>
      </c>
      <c r="J71" s="66"/>
      <c r="K71" s="81"/>
      <c r="L71" s="66"/>
      <c r="M71" s="81"/>
      <c r="N71" s="66"/>
      <c r="O71" s="66"/>
      <c r="P71" s="66"/>
      <c r="Q71" s="66"/>
      <c r="R71" s="66"/>
      <c r="S71" s="66"/>
      <c r="T71" s="66"/>
      <c r="U71" s="66"/>
    </row>
    <row r="72" spans="1:21" s="3" customFormat="1" ht="12.75" customHeight="1" x14ac:dyDescent="0.25">
      <c r="A72" s="11"/>
      <c r="B72" s="11"/>
      <c r="C72" s="12" t="s">
        <v>1275</v>
      </c>
      <c r="D72" s="13"/>
      <c r="E72" s="13"/>
      <c r="F72" s="14"/>
      <c r="G72" s="14">
        <v>132</v>
      </c>
      <c r="H72" s="14"/>
      <c r="I72" s="53">
        <v>72</v>
      </c>
      <c r="J72" s="66"/>
      <c r="K72" s="81"/>
      <c r="L72" s="66"/>
      <c r="M72" s="81">
        <v>288</v>
      </c>
      <c r="N72" s="66"/>
      <c r="O72" s="66"/>
      <c r="P72" s="66"/>
      <c r="Q72" s="66"/>
      <c r="R72" s="66"/>
      <c r="S72" s="66"/>
      <c r="T72" s="66"/>
      <c r="U72" s="66"/>
    </row>
    <row r="73" spans="1:21" s="3" customFormat="1" ht="12.75" customHeight="1" x14ac:dyDescent="0.25">
      <c r="A73" s="7" t="s">
        <v>36</v>
      </c>
      <c r="B73" s="7" t="s">
        <v>37</v>
      </c>
      <c r="C73" s="8" t="s">
        <v>38</v>
      </c>
      <c r="D73" s="9">
        <f>F73+H73+J73+L73+N73+P73+R73</f>
        <v>0</v>
      </c>
      <c r="E73" s="9">
        <f>G73+I73+K73+M73+O73+Q73+S73</f>
        <v>0</v>
      </c>
      <c r="F73" s="10">
        <v>0</v>
      </c>
      <c r="G73" s="10">
        <v>0</v>
      </c>
      <c r="H73" s="10">
        <v>0</v>
      </c>
      <c r="I73" s="52">
        <v>0</v>
      </c>
      <c r="J73" s="65">
        <v>0</v>
      </c>
      <c r="K73" s="80">
        <v>0</v>
      </c>
      <c r="L73" s="65">
        <v>0</v>
      </c>
      <c r="M73" s="80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/>
      <c r="T73" s="65"/>
      <c r="U73" s="65"/>
    </row>
    <row r="74" spans="1:21" s="3" customFormat="1" ht="12.75" customHeight="1" x14ac:dyDescent="0.25">
      <c r="A74" s="7" t="s">
        <v>39</v>
      </c>
      <c r="B74" s="7" t="s">
        <v>40</v>
      </c>
      <c r="C74" s="8" t="s">
        <v>41</v>
      </c>
      <c r="D74" s="9">
        <f>F74+H74+J74+L74+N74+P74+R74</f>
        <v>460</v>
      </c>
      <c r="E74" s="9">
        <f>G74+I74+K74+M74+O74+Q74+S74</f>
        <v>390</v>
      </c>
      <c r="F74" s="10">
        <f>F75</f>
        <v>150</v>
      </c>
      <c r="G74" s="10">
        <f t="shared" ref="G74:I74" si="5">G75</f>
        <v>130</v>
      </c>
      <c r="H74" s="10">
        <v>60</v>
      </c>
      <c r="I74" s="52">
        <f t="shared" si="5"/>
        <v>50</v>
      </c>
      <c r="J74" s="65">
        <v>0</v>
      </c>
      <c r="K74" s="80">
        <v>0</v>
      </c>
      <c r="L74" s="65">
        <v>250</v>
      </c>
      <c r="M74" s="80">
        <f>M75</f>
        <v>210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/>
      <c r="T74" s="65"/>
      <c r="U74" s="65"/>
    </row>
    <row r="75" spans="1:21" s="3" customFormat="1" ht="12.75" customHeight="1" x14ac:dyDescent="0.25">
      <c r="A75" s="11"/>
      <c r="B75" s="11"/>
      <c r="C75" s="12" t="s">
        <v>280</v>
      </c>
      <c r="D75" s="13"/>
      <c r="E75" s="13"/>
      <c r="F75" s="14">
        <v>150</v>
      </c>
      <c r="G75" s="14">
        <f>ROUND(G6*0.004,0)+1</f>
        <v>130</v>
      </c>
      <c r="H75" s="14"/>
      <c r="I75" s="14">
        <f>ROUND(I6*0.004,0)+1</f>
        <v>50</v>
      </c>
      <c r="J75" s="66"/>
      <c r="K75" s="81"/>
      <c r="L75" s="66"/>
      <c r="M75" s="14">
        <f>ROUND(M6*0.004,0)</f>
        <v>210</v>
      </c>
      <c r="N75" s="66"/>
      <c r="O75" s="66"/>
      <c r="P75" s="66"/>
      <c r="Q75" s="66"/>
      <c r="R75" s="66"/>
      <c r="S75" s="66"/>
      <c r="T75" s="66"/>
      <c r="U75" s="66"/>
    </row>
    <row r="76" spans="1:21" s="3" customFormat="1" ht="12.75" customHeight="1" x14ac:dyDescent="0.25">
      <c r="A76" s="7" t="s">
        <v>42</v>
      </c>
      <c r="B76" s="7" t="s">
        <v>43</v>
      </c>
      <c r="C76" s="8" t="s">
        <v>44</v>
      </c>
      <c r="D76" s="9">
        <f>F76+H76+J76+L76+N76+P76+R76</f>
        <v>500</v>
      </c>
      <c r="E76" s="9">
        <f>G76+I76+K76+M76+O76+Q76+S76</f>
        <v>3413</v>
      </c>
      <c r="F76" s="10">
        <v>200</v>
      </c>
      <c r="G76" s="10">
        <f>G77+G78</f>
        <v>1164</v>
      </c>
      <c r="H76" s="10">
        <v>0</v>
      </c>
      <c r="I76" s="52">
        <f>I77+I78</f>
        <v>371</v>
      </c>
      <c r="J76" s="65">
        <v>0</v>
      </c>
      <c r="K76" s="80">
        <v>0</v>
      </c>
      <c r="L76" s="65">
        <v>300</v>
      </c>
      <c r="M76" s="52">
        <f>M77+M78</f>
        <v>1878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/>
      <c r="T76" s="65"/>
      <c r="U76" s="65"/>
    </row>
    <row r="77" spans="1:21" s="15" customFormat="1" ht="11.45" customHeight="1" x14ac:dyDescent="0.25">
      <c r="A77" s="11"/>
      <c r="B77" s="11"/>
      <c r="C77" s="12" t="s">
        <v>408</v>
      </c>
      <c r="D77" s="13"/>
      <c r="E77" s="13"/>
      <c r="F77" s="14"/>
      <c r="G77" s="14">
        <v>200</v>
      </c>
      <c r="H77" s="14"/>
      <c r="I77" s="53"/>
      <c r="J77" s="66"/>
      <c r="K77" s="81"/>
      <c r="L77" s="66"/>
      <c r="M77" s="81">
        <v>300</v>
      </c>
      <c r="N77" s="66"/>
      <c r="O77" s="66"/>
      <c r="P77" s="66"/>
      <c r="Q77" s="66"/>
      <c r="R77" s="66"/>
      <c r="S77" s="66"/>
      <c r="T77" s="66"/>
      <c r="U77" s="66"/>
    </row>
    <row r="78" spans="1:21" s="15" customFormat="1" ht="11.45" customHeight="1" x14ac:dyDescent="0.25">
      <c r="A78" s="11"/>
      <c r="B78" s="11"/>
      <c r="C78" s="12" t="s">
        <v>1277</v>
      </c>
      <c r="D78" s="13"/>
      <c r="E78" s="13"/>
      <c r="F78" s="14"/>
      <c r="G78" s="14">
        <f>ROUND(G6*0.03,0)</f>
        <v>964</v>
      </c>
      <c r="H78" s="14"/>
      <c r="I78" s="14">
        <f>ROUND(I6*0.03,0)</f>
        <v>371</v>
      </c>
      <c r="J78" s="90"/>
      <c r="K78" s="90"/>
      <c r="L78" s="90"/>
      <c r="M78" s="14">
        <f>ROUND(M6*0.03,0)</f>
        <v>1578</v>
      </c>
      <c r="N78" s="90"/>
      <c r="O78" s="90"/>
      <c r="P78" s="90"/>
      <c r="Q78" s="90"/>
      <c r="R78" s="90"/>
      <c r="S78" s="66"/>
      <c r="T78" s="90"/>
      <c r="U78" s="66"/>
    </row>
    <row r="79" spans="1:21" s="3" customFormat="1" ht="12.75" customHeight="1" x14ac:dyDescent="0.25">
      <c r="A79" s="16" t="s">
        <v>45</v>
      </c>
      <c r="B79" s="16" t="s">
        <v>46</v>
      </c>
      <c r="C79" s="17" t="s">
        <v>47</v>
      </c>
      <c r="D79" s="18">
        <f t="shared" ref="D79:Q79" si="6">D6+D55+D56+D57+D60+D61+D66+D68+D69+D70+D73+D74+D76</f>
        <v>99017</v>
      </c>
      <c r="E79" s="18">
        <f t="shared" si="6"/>
        <v>112162</v>
      </c>
      <c r="F79" s="18">
        <f t="shared" si="6"/>
        <v>31096</v>
      </c>
      <c r="G79" s="18">
        <f t="shared" si="6"/>
        <v>36998</v>
      </c>
      <c r="H79" s="18">
        <f t="shared" si="6"/>
        <v>13898</v>
      </c>
      <c r="I79" s="54">
        <f t="shared" si="6"/>
        <v>15249</v>
      </c>
      <c r="J79" s="54">
        <f t="shared" si="6"/>
        <v>0</v>
      </c>
      <c r="K79" s="54">
        <f t="shared" si="6"/>
        <v>0</v>
      </c>
      <c r="L79" s="54">
        <f t="shared" si="6"/>
        <v>54023</v>
      </c>
      <c r="M79" s="54">
        <f t="shared" si="6"/>
        <v>59915</v>
      </c>
      <c r="N79" s="54">
        <f t="shared" si="6"/>
        <v>0</v>
      </c>
      <c r="O79" s="54">
        <f t="shared" si="6"/>
        <v>0</v>
      </c>
      <c r="P79" s="54">
        <f t="shared" si="6"/>
        <v>0</v>
      </c>
      <c r="Q79" s="54">
        <f t="shared" si="6"/>
        <v>0</v>
      </c>
      <c r="R79" s="54">
        <f>R6+R55+R56+R57+R60+R61+R66+R68+R69+R70+R73+R74+R76</f>
        <v>0</v>
      </c>
      <c r="S79" s="67"/>
      <c r="T79" s="54"/>
      <c r="U79" s="67"/>
    </row>
    <row r="80" spans="1:21" s="3" customFormat="1" ht="12.75" customHeight="1" x14ac:dyDescent="0.25">
      <c r="A80" s="7" t="s">
        <v>48</v>
      </c>
      <c r="B80" s="7" t="s">
        <v>49</v>
      </c>
      <c r="C80" s="8" t="s">
        <v>50</v>
      </c>
      <c r="D80" s="9">
        <f>F80+H80+J80+L80+N80+P80+R80</f>
        <v>0</v>
      </c>
      <c r="E80" s="9">
        <f>G80+I80+K80+M80+O80+Q80+S80</f>
        <v>0</v>
      </c>
      <c r="F80" s="10">
        <v>0</v>
      </c>
      <c r="G80" s="10">
        <v>0</v>
      </c>
      <c r="H80" s="10">
        <v>0</v>
      </c>
      <c r="I80" s="52">
        <v>0</v>
      </c>
      <c r="J80" s="65">
        <v>0</v>
      </c>
      <c r="K80" s="80">
        <v>0</v>
      </c>
      <c r="L80" s="65">
        <v>0</v>
      </c>
      <c r="M80" s="80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/>
      <c r="T80" s="65"/>
      <c r="U80" s="65"/>
    </row>
    <row r="81" spans="1:21" s="3" customFormat="1" ht="12.75" customHeight="1" x14ac:dyDescent="0.25">
      <c r="A81" s="7" t="s">
        <v>51</v>
      </c>
      <c r="B81" s="7" t="s">
        <v>52</v>
      </c>
      <c r="C81" s="8" t="s">
        <v>53</v>
      </c>
      <c r="D81" s="9">
        <f>F81+H81+J81+L81+N81+P81+R81</f>
        <v>6576</v>
      </c>
      <c r="E81" s="9">
        <f>G81+I81+K81+M81+O81+Q81+S81</f>
        <v>6000</v>
      </c>
      <c r="F81" s="10">
        <f>F82</f>
        <v>5000</v>
      </c>
      <c r="G81" s="10">
        <f t="shared" ref="G81:I81" si="7">G82</f>
        <v>5000</v>
      </c>
      <c r="H81" s="10">
        <f t="shared" si="7"/>
        <v>0</v>
      </c>
      <c r="I81" s="52">
        <f t="shared" si="7"/>
        <v>0</v>
      </c>
      <c r="J81" s="65">
        <v>0</v>
      </c>
      <c r="K81" s="80">
        <v>0</v>
      </c>
      <c r="L81" s="65">
        <f>L82</f>
        <v>1576</v>
      </c>
      <c r="M81" s="65">
        <f>M82</f>
        <v>1000</v>
      </c>
      <c r="N81" s="65">
        <f>N82</f>
        <v>0</v>
      </c>
      <c r="O81" s="65">
        <v>0</v>
      </c>
      <c r="P81" s="65">
        <f>P82</f>
        <v>0</v>
      </c>
      <c r="Q81" s="65">
        <v>0</v>
      </c>
      <c r="R81" s="65">
        <f>R82</f>
        <v>0</v>
      </c>
      <c r="S81" s="65"/>
      <c r="T81" s="65"/>
      <c r="U81" s="65"/>
    </row>
    <row r="82" spans="1:21" s="15" customFormat="1" ht="11.45" customHeight="1" x14ac:dyDescent="0.25">
      <c r="A82" s="11"/>
      <c r="B82" s="11"/>
      <c r="C82" s="12" t="s">
        <v>282</v>
      </c>
      <c r="D82" s="13"/>
      <c r="E82" s="13"/>
      <c r="F82" s="14">
        <v>5000</v>
      </c>
      <c r="G82" s="14">
        <v>5000</v>
      </c>
      <c r="H82" s="14"/>
      <c r="I82" s="53"/>
      <c r="J82" s="66"/>
      <c r="K82" s="81"/>
      <c r="L82" s="66">
        <v>1576</v>
      </c>
      <c r="M82" s="81">
        <v>1000</v>
      </c>
      <c r="N82" s="66"/>
      <c r="O82" s="66"/>
      <c r="P82" s="66"/>
      <c r="Q82" s="66"/>
      <c r="R82" s="66"/>
      <c r="S82" s="66"/>
      <c r="T82" s="66"/>
      <c r="U82" s="66"/>
    </row>
    <row r="83" spans="1:21" s="3" customFormat="1" ht="12.75" customHeight="1" x14ac:dyDescent="0.25">
      <c r="A83" s="7" t="s">
        <v>54</v>
      </c>
      <c r="B83" s="7" t="s">
        <v>55</v>
      </c>
      <c r="C83" s="8" t="s">
        <v>285</v>
      </c>
      <c r="D83" s="9">
        <f>F83+H83+J83+L83+N83+P83+R83</f>
        <v>190</v>
      </c>
      <c r="E83" s="9">
        <f>G83+I83+K83+M83+O83+Q83+S83</f>
        <v>0</v>
      </c>
      <c r="F83" s="10">
        <f>F84</f>
        <v>150</v>
      </c>
      <c r="G83" s="10">
        <f t="shared" ref="G83:I83" si="8">G84</f>
        <v>0</v>
      </c>
      <c r="H83" s="10">
        <f t="shared" si="8"/>
        <v>20</v>
      </c>
      <c r="I83" s="52">
        <f t="shared" si="8"/>
        <v>0</v>
      </c>
      <c r="J83" s="65">
        <v>0</v>
      </c>
      <c r="K83" s="80">
        <v>0</v>
      </c>
      <c r="L83" s="65">
        <f>L84</f>
        <v>20</v>
      </c>
      <c r="M83" s="65">
        <f>M84</f>
        <v>0</v>
      </c>
      <c r="N83" s="65">
        <f>N84</f>
        <v>0</v>
      </c>
      <c r="O83" s="65">
        <v>0</v>
      </c>
      <c r="P83" s="65">
        <f>P84</f>
        <v>0</v>
      </c>
      <c r="Q83" s="65">
        <f>Q84</f>
        <v>0</v>
      </c>
      <c r="R83" s="65">
        <f>R84</f>
        <v>0</v>
      </c>
      <c r="S83" s="65"/>
      <c r="T83" s="65"/>
      <c r="U83" s="65"/>
    </row>
    <row r="84" spans="1:21" s="15" customFormat="1" ht="11.45" customHeight="1" x14ac:dyDescent="0.25">
      <c r="A84" s="11"/>
      <c r="B84" s="11"/>
      <c r="C84" s="12" t="s">
        <v>283</v>
      </c>
      <c r="D84" s="13"/>
      <c r="E84" s="13"/>
      <c r="F84" s="14">
        <v>150</v>
      </c>
      <c r="G84" s="14">
        <v>0</v>
      </c>
      <c r="H84" s="14">
        <v>20</v>
      </c>
      <c r="I84" s="53"/>
      <c r="J84" s="66"/>
      <c r="K84" s="81"/>
      <c r="L84" s="66">
        <v>20</v>
      </c>
      <c r="M84" s="81">
        <v>0</v>
      </c>
      <c r="N84" s="66"/>
      <c r="O84" s="66"/>
      <c r="P84" s="66"/>
      <c r="Q84" s="66"/>
      <c r="R84" s="66"/>
      <c r="S84" s="66"/>
      <c r="T84" s="66"/>
      <c r="U84" s="66"/>
    </row>
    <row r="85" spans="1:21" s="3" customFormat="1" ht="12.75" customHeight="1" x14ac:dyDescent="0.25">
      <c r="A85" s="16" t="s">
        <v>56</v>
      </c>
      <c r="B85" s="16" t="s">
        <v>57</v>
      </c>
      <c r="C85" s="17" t="s">
        <v>58</v>
      </c>
      <c r="D85" s="18">
        <f>D80+D81+D83</f>
        <v>6766</v>
      </c>
      <c r="E85" s="18">
        <f t="shared" ref="E85:Q85" si="9">E80+E81+E83</f>
        <v>6000</v>
      </c>
      <c r="F85" s="18">
        <f t="shared" si="9"/>
        <v>5150</v>
      </c>
      <c r="G85" s="18">
        <f t="shared" si="9"/>
        <v>5000</v>
      </c>
      <c r="H85" s="18">
        <f t="shared" si="9"/>
        <v>20</v>
      </c>
      <c r="I85" s="54">
        <f t="shared" si="9"/>
        <v>0</v>
      </c>
      <c r="J85" s="54">
        <f t="shared" si="9"/>
        <v>0</v>
      </c>
      <c r="K85" s="54">
        <f t="shared" si="9"/>
        <v>0</v>
      </c>
      <c r="L85" s="54">
        <f t="shared" si="9"/>
        <v>1596</v>
      </c>
      <c r="M85" s="54">
        <f t="shared" si="9"/>
        <v>1000</v>
      </c>
      <c r="N85" s="54">
        <f t="shared" si="9"/>
        <v>0</v>
      </c>
      <c r="O85" s="54">
        <f t="shared" si="9"/>
        <v>0</v>
      </c>
      <c r="P85" s="54">
        <f t="shared" si="9"/>
        <v>0</v>
      </c>
      <c r="Q85" s="54">
        <f t="shared" si="9"/>
        <v>0</v>
      </c>
      <c r="R85" s="54">
        <f t="shared" ref="R85" si="10">R80+R81+R83</f>
        <v>0</v>
      </c>
      <c r="S85" s="67"/>
      <c r="T85" s="54"/>
      <c r="U85" s="67"/>
    </row>
    <row r="86" spans="1:21" s="3" customFormat="1" ht="12.75" customHeight="1" x14ac:dyDescent="0.25">
      <c r="A86" s="20" t="s">
        <v>59</v>
      </c>
      <c r="B86" s="20" t="s">
        <v>60</v>
      </c>
      <c r="C86" s="21" t="s">
        <v>286</v>
      </c>
      <c r="D86" s="22">
        <f>D79+D85</f>
        <v>105783</v>
      </c>
      <c r="E86" s="22">
        <f t="shared" ref="E86:Q86" si="11">E79+E85</f>
        <v>118162</v>
      </c>
      <c r="F86" s="22">
        <f t="shared" si="11"/>
        <v>36246</v>
      </c>
      <c r="G86" s="22">
        <f t="shared" si="11"/>
        <v>41998</v>
      </c>
      <c r="H86" s="22">
        <f t="shared" si="11"/>
        <v>13918</v>
      </c>
      <c r="I86" s="55">
        <f t="shared" si="11"/>
        <v>15249</v>
      </c>
      <c r="J86" s="55">
        <f t="shared" si="11"/>
        <v>0</v>
      </c>
      <c r="K86" s="55">
        <f t="shared" si="11"/>
        <v>0</v>
      </c>
      <c r="L86" s="55">
        <f t="shared" si="11"/>
        <v>55619</v>
      </c>
      <c r="M86" s="55">
        <f t="shared" si="11"/>
        <v>60915</v>
      </c>
      <c r="N86" s="55">
        <f t="shared" si="11"/>
        <v>0</v>
      </c>
      <c r="O86" s="55">
        <f t="shared" si="11"/>
        <v>0</v>
      </c>
      <c r="P86" s="55">
        <f t="shared" si="11"/>
        <v>0</v>
      </c>
      <c r="Q86" s="55">
        <f t="shared" si="11"/>
        <v>0</v>
      </c>
      <c r="R86" s="55">
        <f t="shared" ref="R86" si="12">R79+R85</f>
        <v>0</v>
      </c>
      <c r="S86" s="68"/>
      <c r="T86" s="55"/>
      <c r="U86" s="68"/>
    </row>
    <row r="87" spans="1:21" s="15" customFormat="1" ht="11.45" customHeight="1" x14ac:dyDescent="0.25">
      <c r="A87" s="11"/>
      <c r="B87" s="11"/>
      <c r="C87" s="12" t="s">
        <v>284</v>
      </c>
      <c r="D87" s="13">
        <f>H87+F87+L87+N87+P87+R87+J87</f>
        <v>26651</v>
      </c>
      <c r="E87" s="13">
        <f>I87+G87+M87+O87+Q87+S87+K87</f>
        <v>30063</v>
      </c>
      <c r="F87" s="13">
        <v>9196</v>
      </c>
      <c r="G87" s="13">
        <f>ROUND((G6+G55+G56+G57+G60+G61+G74+G76+G81)*0.27,0)</f>
        <v>10724</v>
      </c>
      <c r="H87" s="13">
        <f>ROUND((H6+H55+H56+H57+H60+H61+H81+H83)*0.27,0)</f>
        <v>3527</v>
      </c>
      <c r="I87" s="56">
        <f>ROUND((I6+I55+I56+I57+I60+I61+I81)*0.27,0)</f>
        <v>3794</v>
      </c>
      <c r="J87" s="69"/>
      <c r="K87" s="56">
        <f>ROUND((K6+K55+K56+K57+K60+K61+K81)*0.27,0)</f>
        <v>0</v>
      </c>
      <c r="L87" s="69">
        <v>13928</v>
      </c>
      <c r="M87" s="13">
        <f>ROUND((M6+M55+M56+M57+M60+M61+M74+M76+M81)*0.27,0)</f>
        <v>15545</v>
      </c>
      <c r="N87" s="69"/>
      <c r="O87" s="69"/>
      <c r="P87" s="69"/>
      <c r="Q87" s="69"/>
      <c r="R87" s="69"/>
      <c r="S87" s="69"/>
      <c r="T87" s="69"/>
      <c r="U87" s="69"/>
    </row>
    <row r="88" spans="1:21" s="15" customFormat="1" ht="11.45" customHeight="1" x14ac:dyDescent="0.25">
      <c r="A88" s="11"/>
      <c r="B88" s="11"/>
      <c r="C88" s="12" t="s">
        <v>61</v>
      </c>
      <c r="D88" s="13">
        <f t="shared" ref="D88:E90" si="13">H88+F88+L88+N88+P88+R88+J88</f>
        <v>716</v>
      </c>
      <c r="E88" s="13">
        <f t="shared" si="13"/>
        <v>656</v>
      </c>
      <c r="F88" s="14">
        <v>224</v>
      </c>
      <c r="G88" s="13">
        <f>ROUND(G66*1.19*0.14+(G83)*1.19*0.27,0)</f>
        <v>176</v>
      </c>
      <c r="H88" s="14">
        <v>102</v>
      </c>
      <c r="I88" s="13">
        <f>ROUND(I66*1.19*0.14+(I83)*1.19*0.27,0)</f>
        <v>96</v>
      </c>
      <c r="J88" s="66"/>
      <c r="K88" s="13">
        <f>ROUND(K66*1.19*0.14+(K83)*1.19*0.27,0)</f>
        <v>0</v>
      </c>
      <c r="L88" s="66">
        <v>390</v>
      </c>
      <c r="M88" s="13">
        <f>ROUND(M66*1.19*0.14+(M83)*1.19*0.27,0)</f>
        <v>384</v>
      </c>
      <c r="N88" s="66"/>
      <c r="O88" s="66"/>
      <c r="P88" s="66"/>
      <c r="Q88" s="66"/>
      <c r="R88" s="66"/>
      <c r="S88" s="66"/>
      <c r="T88" s="66"/>
      <c r="U88" s="66"/>
    </row>
    <row r="89" spans="1:21" s="15" customFormat="1" ht="11.45" customHeight="1" x14ac:dyDescent="0.25">
      <c r="A89" s="11"/>
      <c r="B89" s="11"/>
      <c r="C89" s="12" t="s">
        <v>62</v>
      </c>
      <c r="D89" s="13">
        <f t="shared" si="13"/>
        <v>2000</v>
      </c>
      <c r="E89" s="13">
        <f t="shared" si="13"/>
        <v>2000</v>
      </c>
      <c r="F89" s="14">
        <v>2000</v>
      </c>
      <c r="G89" s="14">
        <v>2000</v>
      </c>
      <c r="H89" s="14"/>
      <c r="I89" s="53"/>
      <c r="J89" s="66"/>
      <c r="K89" s="81"/>
      <c r="L89" s="66">
        <v>0</v>
      </c>
      <c r="M89" s="81">
        <v>0</v>
      </c>
      <c r="N89" s="66"/>
      <c r="O89" s="66"/>
      <c r="P89" s="66"/>
      <c r="Q89" s="66"/>
      <c r="R89" s="66"/>
      <c r="S89" s="66"/>
      <c r="T89" s="66"/>
      <c r="U89" s="66"/>
    </row>
    <row r="90" spans="1:21" s="15" customFormat="1" ht="11.45" customHeight="1" x14ac:dyDescent="0.25">
      <c r="A90" s="11"/>
      <c r="B90" s="11"/>
      <c r="C90" s="12" t="s">
        <v>63</v>
      </c>
      <c r="D90" s="13">
        <f t="shared" si="13"/>
        <v>785</v>
      </c>
      <c r="E90" s="13">
        <f t="shared" si="13"/>
        <v>750</v>
      </c>
      <c r="F90" s="14">
        <v>230</v>
      </c>
      <c r="G90" s="14">
        <f>ROUND((G84+G67)*1.19*0.16,0)</f>
        <v>201</v>
      </c>
      <c r="H90" s="14">
        <v>113</v>
      </c>
      <c r="I90" s="14">
        <f>ROUND((I84+I67)*1.19*0.16,0)</f>
        <v>110</v>
      </c>
      <c r="J90" s="66"/>
      <c r="K90" s="14">
        <f>ROUND((K84+K67)*1.19*0.16,0)</f>
        <v>0</v>
      </c>
      <c r="L90" s="66">
        <v>442</v>
      </c>
      <c r="M90" s="14">
        <f>ROUND((M84+M67)*1.19*0.16,0)</f>
        <v>439</v>
      </c>
      <c r="N90" s="66"/>
      <c r="O90" s="66"/>
      <c r="P90" s="66"/>
      <c r="Q90" s="66"/>
      <c r="R90" s="66"/>
      <c r="S90" s="66"/>
      <c r="T90" s="66"/>
      <c r="U90" s="66"/>
    </row>
    <row r="91" spans="1:21" s="3" customFormat="1" ht="12.75" customHeight="1" x14ac:dyDescent="0.25">
      <c r="A91" s="20" t="s">
        <v>64</v>
      </c>
      <c r="B91" s="20" t="s">
        <v>65</v>
      </c>
      <c r="C91" s="21" t="s">
        <v>287</v>
      </c>
      <c r="D91" s="22">
        <f>D87+D88+D89+D90</f>
        <v>30152</v>
      </c>
      <c r="E91" s="22">
        <f t="shared" ref="E91:Q91" si="14">E87+E88+E89+E90</f>
        <v>33469</v>
      </c>
      <c r="F91" s="22">
        <f t="shared" si="14"/>
        <v>11650</v>
      </c>
      <c r="G91" s="22">
        <f t="shared" si="14"/>
        <v>13101</v>
      </c>
      <c r="H91" s="22">
        <f t="shared" si="14"/>
        <v>3742</v>
      </c>
      <c r="I91" s="55">
        <f t="shared" si="14"/>
        <v>4000</v>
      </c>
      <c r="J91" s="55">
        <f t="shared" si="14"/>
        <v>0</v>
      </c>
      <c r="K91" s="55">
        <f t="shared" si="14"/>
        <v>0</v>
      </c>
      <c r="L91" s="22">
        <f t="shared" si="14"/>
        <v>14760</v>
      </c>
      <c r="M91" s="22">
        <f t="shared" si="14"/>
        <v>16368</v>
      </c>
      <c r="N91" s="22">
        <f t="shared" si="14"/>
        <v>0</v>
      </c>
      <c r="O91" s="22">
        <f t="shared" si="14"/>
        <v>0</v>
      </c>
      <c r="P91" s="22">
        <f t="shared" si="14"/>
        <v>0</v>
      </c>
      <c r="Q91" s="22">
        <f t="shared" si="14"/>
        <v>0</v>
      </c>
      <c r="R91" s="22">
        <f t="shared" ref="R91" si="15">R87+R88+R89+R90</f>
        <v>0</v>
      </c>
      <c r="S91" s="68"/>
      <c r="T91" s="22"/>
      <c r="U91" s="68"/>
    </row>
    <row r="92" spans="1:21" s="3" customFormat="1" ht="14.1" customHeight="1" x14ac:dyDescent="0.25">
      <c r="A92" s="1073" t="s">
        <v>66</v>
      </c>
      <c r="B92" s="1074"/>
      <c r="C92" s="1075"/>
      <c r="D92" s="86">
        <f>D86+D91</f>
        <v>135935</v>
      </c>
      <c r="E92" s="86">
        <f t="shared" ref="E92:Q92" si="16">E86+E91</f>
        <v>151631</v>
      </c>
      <c r="F92" s="86">
        <f t="shared" si="16"/>
        <v>47896</v>
      </c>
      <c r="G92" s="86">
        <f t="shared" si="16"/>
        <v>55099</v>
      </c>
      <c r="H92" s="86">
        <f t="shared" si="16"/>
        <v>17660</v>
      </c>
      <c r="I92" s="87">
        <f t="shared" si="16"/>
        <v>19249</v>
      </c>
      <c r="J92" s="87">
        <f t="shared" si="16"/>
        <v>0</v>
      </c>
      <c r="K92" s="87">
        <f t="shared" si="16"/>
        <v>0</v>
      </c>
      <c r="L92" s="86">
        <f t="shared" si="16"/>
        <v>70379</v>
      </c>
      <c r="M92" s="86">
        <f t="shared" si="16"/>
        <v>77283</v>
      </c>
      <c r="N92" s="86">
        <f t="shared" si="16"/>
        <v>0</v>
      </c>
      <c r="O92" s="86">
        <f t="shared" si="16"/>
        <v>0</v>
      </c>
      <c r="P92" s="86">
        <f t="shared" si="16"/>
        <v>0</v>
      </c>
      <c r="Q92" s="86">
        <f t="shared" si="16"/>
        <v>0</v>
      </c>
      <c r="R92" s="86">
        <f t="shared" ref="R92" si="17">R86+R91</f>
        <v>0</v>
      </c>
      <c r="S92" s="88"/>
      <c r="T92" s="86"/>
      <c r="U92" s="88"/>
    </row>
    <row r="93" spans="1:21" s="3" customFormat="1" ht="14.1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1:21" s="3" customFormat="1" ht="14.1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s="3" customFormat="1" ht="14.1" customHeigh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1:21" s="1" customFormat="1" ht="12.75" customHeight="1" x14ac:dyDescent="0.25">
      <c r="A96" s="1022" t="s">
        <v>410</v>
      </c>
      <c r="B96" s="1022"/>
      <c r="C96" s="1022"/>
      <c r="D96" s="1022"/>
      <c r="E96" s="1022"/>
      <c r="F96" s="1022"/>
      <c r="G96" s="1022"/>
      <c r="H96" s="1022"/>
      <c r="I96" s="1022"/>
      <c r="J96" s="1022"/>
      <c r="K96" s="1022"/>
      <c r="L96" s="1022" t="s">
        <v>410</v>
      </c>
      <c r="M96" s="1022"/>
      <c r="N96" s="1022"/>
      <c r="O96" s="1022"/>
      <c r="P96" s="1022"/>
      <c r="Q96" s="1022"/>
      <c r="R96" s="1022"/>
      <c r="S96" s="1022"/>
      <c r="T96" s="1022"/>
      <c r="U96" s="1022"/>
    </row>
    <row r="97" spans="1:21" s="1" customFormat="1" ht="14.1" customHeight="1" x14ac:dyDescent="0.25">
      <c r="A97" s="1065" t="s">
        <v>0</v>
      </c>
      <c r="B97" s="1064" t="s">
        <v>1</v>
      </c>
      <c r="C97" s="1065" t="s">
        <v>2</v>
      </c>
      <c r="D97" s="1015" t="s">
        <v>260</v>
      </c>
      <c r="E97" s="1066" t="s">
        <v>259</v>
      </c>
      <c r="F97" s="1062" t="s">
        <v>411</v>
      </c>
      <c r="G97" s="1067"/>
      <c r="H97" s="1062" t="s">
        <v>412</v>
      </c>
      <c r="I97" s="1063"/>
      <c r="J97" s="1070" t="s">
        <v>413</v>
      </c>
      <c r="K97" s="1071"/>
      <c r="L97" s="1070" t="s">
        <v>414</v>
      </c>
      <c r="M97" s="1071"/>
      <c r="N97" s="1070" t="s">
        <v>415</v>
      </c>
      <c r="O97" s="1072"/>
      <c r="P97" s="1068" t="s">
        <v>416</v>
      </c>
      <c r="Q97" s="1069"/>
      <c r="R97" s="1068" t="s">
        <v>417</v>
      </c>
      <c r="S97" s="1069"/>
      <c r="T97" s="1068"/>
      <c r="U97" s="1069"/>
    </row>
    <row r="98" spans="1:21" s="3" customFormat="1" ht="33" customHeight="1" x14ac:dyDescent="0.25">
      <c r="A98" s="1022"/>
      <c r="B98" s="1023"/>
      <c r="C98" s="1022"/>
      <c r="D98" s="1024"/>
      <c r="E98" s="1015"/>
      <c r="F98" s="50" t="s">
        <v>260</v>
      </c>
      <c r="G98" s="50" t="s">
        <v>259</v>
      </c>
      <c r="H98" s="50" t="s">
        <v>260</v>
      </c>
      <c r="I98" s="49" t="s">
        <v>259</v>
      </c>
      <c r="J98" s="50" t="s">
        <v>260</v>
      </c>
      <c r="K98" s="49" t="s">
        <v>259</v>
      </c>
      <c r="L98" s="62" t="s">
        <v>260</v>
      </c>
      <c r="M98" s="77" t="s">
        <v>259</v>
      </c>
      <c r="N98" s="83" t="s">
        <v>260</v>
      </c>
      <c r="O98" s="48" t="s">
        <v>259</v>
      </c>
      <c r="P98" s="84" t="s">
        <v>260</v>
      </c>
      <c r="Q98" s="85" t="s">
        <v>259</v>
      </c>
      <c r="R98" s="84" t="s">
        <v>260</v>
      </c>
      <c r="S98" s="85" t="s">
        <v>259</v>
      </c>
      <c r="T98" s="84"/>
      <c r="U98" s="85"/>
    </row>
    <row r="99" spans="1:21" ht="5.65" customHeight="1" x14ac:dyDescent="0.25">
      <c r="J99" s="63"/>
      <c r="K99" s="78"/>
      <c r="L99" s="63"/>
      <c r="M99" s="78"/>
      <c r="N99" s="63"/>
      <c r="O99" s="63"/>
      <c r="P99" s="63"/>
      <c r="Q99" s="63"/>
      <c r="R99" s="63"/>
      <c r="S99" s="63"/>
      <c r="T99" s="63"/>
      <c r="U99" s="63"/>
    </row>
    <row r="100" spans="1:21" ht="14.1" customHeight="1" x14ac:dyDescent="0.25">
      <c r="A100" s="1021" t="s">
        <v>288</v>
      </c>
      <c r="B100" s="1021"/>
      <c r="C100" s="1021"/>
      <c r="D100" s="1021"/>
      <c r="E100" s="1021"/>
      <c r="F100" s="1021"/>
      <c r="G100" s="1021"/>
      <c r="H100" s="1021"/>
      <c r="I100" s="1021"/>
      <c r="J100" s="64"/>
      <c r="K100" s="79"/>
      <c r="L100" s="64"/>
      <c r="M100" s="79"/>
      <c r="N100" s="64"/>
      <c r="O100" s="64"/>
      <c r="P100" s="64"/>
      <c r="Q100" s="64"/>
      <c r="R100" s="64"/>
      <c r="S100" s="64"/>
      <c r="T100" s="64"/>
      <c r="U100" s="64"/>
    </row>
    <row r="101" spans="1:21" s="3" customFormat="1" ht="14.1" customHeight="1" x14ac:dyDescent="0.25">
      <c r="A101" s="7" t="s">
        <v>67</v>
      </c>
      <c r="B101" s="7" t="s">
        <v>68</v>
      </c>
      <c r="C101" s="8" t="s">
        <v>69</v>
      </c>
      <c r="D101" s="9">
        <f>F101+H101+J101+L101+N101+P101+R101</f>
        <v>210</v>
      </c>
      <c r="E101" s="9">
        <f>G101+I101+K101+M101+O101+Q101+S101</f>
        <v>225</v>
      </c>
      <c r="F101" s="10">
        <f>SUM(F102:F107)</f>
        <v>100</v>
      </c>
      <c r="G101" s="10">
        <f t="shared" ref="G101:K101" si="18">SUM(G102:G107)</f>
        <v>100</v>
      </c>
      <c r="H101" s="10">
        <f t="shared" si="18"/>
        <v>10</v>
      </c>
      <c r="I101" s="52">
        <f t="shared" si="18"/>
        <v>25</v>
      </c>
      <c r="J101" s="52">
        <f t="shared" si="18"/>
        <v>0</v>
      </c>
      <c r="K101" s="52">
        <f t="shared" si="18"/>
        <v>0</v>
      </c>
      <c r="L101" s="65">
        <f>SUM(L102:L107)</f>
        <v>100</v>
      </c>
      <c r="M101" s="65">
        <f>SUM(M102:M107)</f>
        <v>100</v>
      </c>
      <c r="N101" s="65">
        <f>SUM(N102:N107)</f>
        <v>0</v>
      </c>
      <c r="O101" s="65">
        <f>SUM(O102:O107)</f>
        <v>0</v>
      </c>
      <c r="P101" s="65">
        <f>SUM(P102:P107)</f>
        <v>0</v>
      </c>
      <c r="Q101" s="65">
        <v>0</v>
      </c>
      <c r="R101" s="65">
        <f>SUM(R102:R107)</f>
        <v>0</v>
      </c>
      <c r="S101" s="65"/>
      <c r="T101" s="65"/>
      <c r="U101" s="65"/>
    </row>
    <row r="102" spans="1:21" ht="14.1" customHeight="1" x14ac:dyDescent="0.25">
      <c r="A102" s="24"/>
      <c r="B102" s="24"/>
      <c r="C102" s="25" t="s">
        <v>70</v>
      </c>
      <c r="D102" s="26"/>
      <c r="E102" s="26"/>
      <c r="F102" s="26">
        <v>10</v>
      </c>
      <c r="G102" s="26"/>
      <c r="H102" s="26">
        <v>10</v>
      </c>
      <c r="I102" s="58"/>
      <c r="J102" s="63"/>
      <c r="K102" s="78"/>
      <c r="L102" s="63">
        <v>40</v>
      </c>
      <c r="M102" s="78">
        <v>10</v>
      </c>
      <c r="N102" s="63"/>
      <c r="O102" s="63"/>
      <c r="P102" s="63"/>
      <c r="Q102" s="63"/>
      <c r="R102" s="63"/>
      <c r="S102" s="63"/>
      <c r="T102" s="63"/>
      <c r="U102" s="63"/>
    </row>
    <row r="103" spans="1:21" ht="14.1" customHeight="1" x14ac:dyDescent="0.25">
      <c r="A103" s="24"/>
      <c r="B103" s="24"/>
      <c r="C103" s="25" t="s">
        <v>71</v>
      </c>
      <c r="D103" s="26"/>
      <c r="E103" s="26"/>
      <c r="F103" s="26"/>
      <c r="G103" s="26"/>
      <c r="H103" s="26"/>
      <c r="I103" s="58"/>
      <c r="J103" s="63"/>
      <c r="K103" s="78"/>
      <c r="L103" s="63"/>
      <c r="M103" s="78"/>
      <c r="N103" s="63"/>
      <c r="O103" s="63"/>
      <c r="P103" s="63"/>
      <c r="Q103" s="63"/>
      <c r="R103" s="63"/>
      <c r="S103" s="63"/>
      <c r="T103" s="63"/>
      <c r="U103" s="63"/>
    </row>
    <row r="104" spans="1:21" ht="14.1" customHeight="1" x14ac:dyDescent="0.25">
      <c r="A104" s="24"/>
      <c r="B104" s="24"/>
      <c r="C104" s="25" t="s">
        <v>72</v>
      </c>
      <c r="D104" s="26"/>
      <c r="E104" s="26"/>
      <c r="F104" s="26">
        <v>80</v>
      </c>
      <c r="G104" s="26">
        <v>80</v>
      </c>
      <c r="H104" s="26"/>
      <c r="I104" s="58"/>
      <c r="J104" s="63"/>
      <c r="K104" s="78"/>
      <c r="L104" s="63">
        <v>50</v>
      </c>
      <c r="M104" s="78">
        <v>50</v>
      </c>
      <c r="N104" s="63"/>
      <c r="O104" s="63"/>
      <c r="P104" s="63"/>
      <c r="Q104" s="63"/>
      <c r="R104" s="63"/>
      <c r="S104" s="63"/>
      <c r="T104" s="63"/>
      <c r="U104" s="63"/>
    </row>
    <row r="105" spans="1:21" ht="14.1" customHeight="1" x14ac:dyDescent="0.25">
      <c r="A105" s="24"/>
      <c r="B105" s="24"/>
      <c r="C105" s="25" t="s">
        <v>73</v>
      </c>
      <c r="D105" s="26"/>
      <c r="E105" s="26"/>
      <c r="F105" s="26">
        <v>10</v>
      </c>
      <c r="G105" s="26"/>
      <c r="H105" s="26"/>
      <c r="I105" s="58"/>
      <c r="J105" s="63"/>
      <c r="K105" s="78"/>
      <c r="L105" s="63">
        <v>10</v>
      </c>
      <c r="M105" s="78">
        <v>10</v>
      </c>
      <c r="N105" s="63"/>
      <c r="O105" s="63"/>
      <c r="P105" s="63"/>
      <c r="Q105" s="63"/>
      <c r="R105" s="63"/>
      <c r="S105" s="63"/>
      <c r="T105" s="63"/>
      <c r="U105" s="63"/>
    </row>
    <row r="106" spans="1:21" ht="14.1" customHeight="1" x14ac:dyDescent="0.25">
      <c r="A106" s="24"/>
      <c r="B106" s="24"/>
      <c r="C106" s="25" t="s">
        <v>74</v>
      </c>
      <c r="D106" s="26"/>
      <c r="E106" s="26"/>
      <c r="F106" s="26"/>
      <c r="G106" s="26"/>
      <c r="H106" s="26"/>
      <c r="I106" s="58"/>
      <c r="J106" s="63"/>
      <c r="K106" s="78"/>
      <c r="L106" s="63"/>
      <c r="M106" s="78"/>
      <c r="N106" s="63"/>
      <c r="O106" s="63"/>
      <c r="P106" s="63"/>
      <c r="Q106" s="63"/>
      <c r="R106" s="63"/>
      <c r="S106" s="63"/>
      <c r="T106" s="63"/>
      <c r="U106" s="63"/>
    </row>
    <row r="107" spans="1:21" ht="14.1" customHeight="1" x14ac:dyDescent="0.25">
      <c r="A107" s="24"/>
      <c r="B107" s="24"/>
      <c r="C107" s="25" t="s">
        <v>75</v>
      </c>
      <c r="D107" s="26"/>
      <c r="E107" s="26"/>
      <c r="F107" s="26"/>
      <c r="G107" s="26">
        <v>20</v>
      </c>
      <c r="H107" s="26"/>
      <c r="I107" s="58">
        <v>25</v>
      </c>
      <c r="J107" s="63"/>
      <c r="K107" s="78"/>
      <c r="L107" s="63"/>
      <c r="M107" s="78">
        <v>30</v>
      </c>
      <c r="N107" s="63"/>
      <c r="O107" s="63"/>
      <c r="P107" s="63"/>
      <c r="Q107" s="63"/>
      <c r="R107" s="63"/>
      <c r="S107" s="63"/>
      <c r="T107" s="63"/>
      <c r="U107" s="63"/>
    </row>
    <row r="108" spans="1:21" s="3" customFormat="1" ht="14.1" customHeight="1" x14ac:dyDescent="0.25">
      <c r="A108" s="7" t="s">
        <v>76</v>
      </c>
      <c r="B108" s="7" t="s">
        <v>77</v>
      </c>
      <c r="C108" s="8" t="s">
        <v>78</v>
      </c>
      <c r="D108" s="9">
        <f>F108+H108+J108+L108+N108+P108+R108</f>
        <v>10455</v>
      </c>
      <c r="E108" s="9">
        <f>G108+I108+K108+M108+O108+Q108+S108</f>
        <v>11405</v>
      </c>
      <c r="F108" s="10">
        <f t="shared" ref="F108:P108" si="19">SUM(F109:F114)</f>
        <v>1100</v>
      </c>
      <c r="G108" s="10">
        <f t="shared" si="19"/>
        <v>1500</v>
      </c>
      <c r="H108" s="10">
        <f t="shared" si="19"/>
        <v>405</v>
      </c>
      <c r="I108" s="52">
        <f t="shared" si="19"/>
        <v>405</v>
      </c>
      <c r="J108" s="52">
        <f t="shared" si="19"/>
        <v>650</v>
      </c>
      <c r="K108" s="52">
        <f t="shared" si="19"/>
        <v>500</v>
      </c>
      <c r="L108" s="65">
        <f t="shared" si="19"/>
        <v>2365</v>
      </c>
      <c r="M108" s="65">
        <f t="shared" si="19"/>
        <v>2565</v>
      </c>
      <c r="N108" s="65">
        <f t="shared" si="19"/>
        <v>5935</v>
      </c>
      <c r="O108" s="65">
        <f t="shared" si="19"/>
        <v>6435</v>
      </c>
      <c r="P108" s="65">
        <f t="shared" si="19"/>
        <v>0</v>
      </c>
      <c r="Q108" s="65">
        <v>0</v>
      </c>
      <c r="R108" s="65">
        <f>SUM(R109:R114)</f>
        <v>0</v>
      </c>
      <c r="S108" s="65"/>
      <c r="T108" s="65"/>
      <c r="U108" s="65"/>
    </row>
    <row r="109" spans="1:21" ht="14.1" customHeight="1" x14ac:dyDescent="0.25">
      <c r="A109" s="24"/>
      <c r="B109" s="24"/>
      <c r="C109" s="25" t="s">
        <v>79</v>
      </c>
      <c r="D109" s="26"/>
      <c r="E109" s="26"/>
      <c r="F109" s="26"/>
      <c r="G109" s="26"/>
      <c r="H109" s="26"/>
      <c r="I109" s="58"/>
      <c r="J109" s="63"/>
      <c r="K109" s="78"/>
      <c r="L109" s="63"/>
      <c r="M109" s="78"/>
      <c r="N109" s="63">
        <v>5935</v>
      </c>
      <c r="O109" s="63">
        <v>5935</v>
      </c>
      <c r="P109" s="63"/>
      <c r="Q109" s="63"/>
      <c r="R109" s="63"/>
      <c r="S109" s="63"/>
      <c r="T109" s="63"/>
      <c r="U109" s="63"/>
    </row>
    <row r="110" spans="1:21" ht="14.1" customHeight="1" x14ac:dyDescent="0.25">
      <c r="A110" s="24"/>
      <c r="B110" s="24"/>
      <c r="C110" s="25" t="s">
        <v>80</v>
      </c>
      <c r="D110" s="26"/>
      <c r="E110" s="26"/>
      <c r="F110" s="26">
        <v>150</v>
      </c>
      <c r="G110" s="26">
        <v>200</v>
      </c>
      <c r="H110" s="26">
        <v>100</v>
      </c>
      <c r="I110" s="58">
        <v>100</v>
      </c>
      <c r="J110" s="63"/>
      <c r="K110" s="78"/>
      <c r="L110" s="63">
        <v>200</v>
      </c>
      <c r="M110" s="78">
        <v>200</v>
      </c>
      <c r="N110" s="63"/>
      <c r="O110" s="63"/>
      <c r="P110" s="63"/>
      <c r="Q110" s="63"/>
      <c r="R110" s="63"/>
      <c r="S110" s="63"/>
      <c r="T110" s="63"/>
      <c r="U110" s="63"/>
    </row>
    <row r="111" spans="1:21" ht="14.1" customHeight="1" x14ac:dyDescent="0.25">
      <c r="A111" s="24"/>
      <c r="B111" s="24"/>
      <c r="C111" s="25" t="s">
        <v>81</v>
      </c>
      <c r="D111" s="26"/>
      <c r="E111" s="26"/>
      <c r="F111" s="26"/>
      <c r="G111" s="26"/>
      <c r="H111" s="26"/>
      <c r="I111" s="58"/>
      <c r="J111" s="63"/>
      <c r="K111" s="78"/>
      <c r="L111" s="63"/>
      <c r="M111" s="78"/>
      <c r="N111" s="63"/>
      <c r="O111" s="63"/>
      <c r="P111" s="63"/>
      <c r="Q111" s="63"/>
      <c r="R111" s="63"/>
      <c r="S111" s="63"/>
      <c r="T111" s="63"/>
      <c r="U111" s="63"/>
    </row>
    <row r="112" spans="1:21" ht="14.1" customHeight="1" x14ac:dyDescent="0.25">
      <c r="A112" s="24"/>
      <c r="B112" s="24"/>
      <c r="C112" s="25" t="s">
        <v>82</v>
      </c>
      <c r="D112" s="26"/>
      <c r="E112" s="26"/>
      <c r="F112" s="26"/>
      <c r="G112" s="26"/>
      <c r="H112" s="26">
        <v>5</v>
      </c>
      <c r="I112" s="58">
        <v>5</v>
      </c>
      <c r="J112" s="63">
        <v>600</v>
      </c>
      <c r="K112" s="78">
        <v>450</v>
      </c>
      <c r="L112" s="63">
        <v>15</v>
      </c>
      <c r="M112" s="78">
        <v>15</v>
      </c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 x14ac:dyDescent="0.25">
      <c r="A113" s="24"/>
      <c r="B113" s="24"/>
      <c r="C113" s="25" t="s">
        <v>83</v>
      </c>
      <c r="D113" s="26"/>
      <c r="E113" s="26"/>
      <c r="F113" s="26"/>
      <c r="G113" s="26"/>
      <c r="H113" s="26"/>
      <c r="I113" s="58"/>
      <c r="J113" s="63"/>
      <c r="K113" s="78"/>
      <c r="L113" s="63">
        <v>150</v>
      </c>
      <c r="M113" s="78">
        <v>600</v>
      </c>
      <c r="N113" s="63"/>
      <c r="O113" s="63"/>
      <c r="P113" s="63"/>
      <c r="Q113" s="63"/>
      <c r="R113" s="63"/>
      <c r="S113" s="63"/>
      <c r="T113" s="63"/>
      <c r="U113" s="63"/>
    </row>
    <row r="114" spans="1:21" ht="14.1" customHeight="1" x14ac:dyDescent="0.25">
      <c r="A114" s="24"/>
      <c r="B114" s="24"/>
      <c r="C114" s="25" t="s">
        <v>84</v>
      </c>
      <c r="D114" s="26"/>
      <c r="E114" s="26"/>
      <c r="F114" s="26">
        <v>950</v>
      </c>
      <c r="G114" s="26">
        <v>1300</v>
      </c>
      <c r="H114" s="26">
        <v>300</v>
      </c>
      <c r="I114" s="58">
        <v>300</v>
      </c>
      <c r="J114" s="63">
        <v>50</v>
      </c>
      <c r="K114" s="78">
        <v>50</v>
      </c>
      <c r="L114" s="63">
        <v>2000</v>
      </c>
      <c r="M114" s="78">
        <v>1750</v>
      </c>
      <c r="N114" s="63"/>
      <c r="O114" s="63">
        <v>500</v>
      </c>
      <c r="P114" s="63"/>
      <c r="Q114" s="63"/>
      <c r="R114" s="63"/>
      <c r="S114" s="63"/>
      <c r="T114" s="63"/>
      <c r="U114" s="63"/>
    </row>
    <row r="115" spans="1:21" s="3" customFormat="1" ht="14.1" customHeight="1" x14ac:dyDescent="0.25">
      <c r="A115" s="7" t="s">
        <v>85</v>
      </c>
      <c r="B115" s="7" t="s">
        <v>86</v>
      </c>
      <c r="C115" s="8" t="s">
        <v>87</v>
      </c>
      <c r="D115" s="9">
        <f>F115+H115+J115+L115+N115+P115+R115</f>
        <v>0</v>
      </c>
      <c r="E115" s="9">
        <f>G115+I115+K115+M115+O115+Q115+S115</f>
        <v>0</v>
      </c>
      <c r="F115" s="10">
        <f>SUM(F116:F117)</f>
        <v>0</v>
      </c>
      <c r="G115" s="10">
        <f t="shared" ref="G115:P115" si="20">SUM(G116:G117)</f>
        <v>0</v>
      </c>
      <c r="H115" s="10">
        <f t="shared" si="20"/>
        <v>0</v>
      </c>
      <c r="I115" s="52">
        <f t="shared" si="20"/>
        <v>0</v>
      </c>
      <c r="J115" s="52">
        <f t="shared" si="20"/>
        <v>0</v>
      </c>
      <c r="K115" s="52">
        <f t="shared" si="20"/>
        <v>0</v>
      </c>
      <c r="L115" s="52">
        <f t="shared" si="20"/>
        <v>0</v>
      </c>
      <c r="M115" s="52">
        <f t="shared" si="20"/>
        <v>0</v>
      </c>
      <c r="N115" s="52">
        <f t="shared" si="20"/>
        <v>0</v>
      </c>
      <c r="O115" s="52">
        <f t="shared" si="20"/>
        <v>0</v>
      </c>
      <c r="P115" s="52">
        <f t="shared" si="20"/>
        <v>0</v>
      </c>
      <c r="Q115" s="65">
        <v>0</v>
      </c>
      <c r="R115" s="52">
        <f t="shared" ref="R115" si="21">SUM(R116:R117)</f>
        <v>0</v>
      </c>
      <c r="S115" s="65"/>
      <c r="T115" s="52"/>
      <c r="U115" s="65"/>
    </row>
    <row r="116" spans="1:21" ht="14.1" customHeight="1" x14ac:dyDescent="0.25">
      <c r="A116" s="24"/>
      <c r="B116" s="24"/>
      <c r="C116" s="25" t="s">
        <v>88</v>
      </c>
      <c r="D116" s="26"/>
      <c r="E116" s="26"/>
      <c r="F116" s="26"/>
      <c r="G116" s="26"/>
      <c r="H116" s="26"/>
      <c r="I116" s="58"/>
      <c r="J116" s="63"/>
      <c r="K116" s="78"/>
      <c r="L116" s="63"/>
      <c r="M116" s="78"/>
      <c r="N116" s="63"/>
      <c r="O116" s="63"/>
      <c r="P116" s="63"/>
      <c r="Q116" s="63"/>
      <c r="R116" s="63"/>
      <c r="S116" s="63"/>
      <c r="T116" s="63"/>
      <c r="U116" s="63"/>
    </row>
    <row r="117" spans="1:21" ht="14.1" customHeight="1" x14ac:dyDescent="0.25">
      <c r="A117" s="24"/>
      <c r="B117" s="24"/>
      <c r="C117" s="25" t="s">
        <v>89</v>
      </c>
      <c r="D117" s="26"/>
      <c r="E117" s="26"/>
      <c r="F117" s="26"/>
      <c r="G117" s="26"/>
      <c r="H117" s="26"/>
      <c r="I117" s="58"/>
      <c r="J117" s="63"/>
      <c r="K117" s="78"/>
      <c r="L117" s="63"/>
      <c r="M117" s="78"/>
      <c r="N117" s="63"/>
      <c r="O117" s="63"/>
      <c r="P117" s="63"/>
      <c r="Q117" s="63"/>
      <c r="R117" s="63"/>
      <c r="S117" s="63"/>
      <c r="T117" s="63"/>
      <c r="U117" s="63"/>
    </row>
    <row r="118" spans="1:21" s="3" customFormat="1" ht="14.1" customHeight="1" x14ac:dyDescent="0.25">
      <c r="A118" s="16" t="s">
        <v>90</v>
      </c>
      <c r="B118" s="16" t="s">
        <v>91</v>
      </c>
      <c r="C118" s="17" t="s">
        <v>92</v>
      </c>
      <c r="D118" s="19">
        <f>D101+D108</f>
        <v>10665</v>
      </c>
      <c r="E118" s="19">
        <f t="shared" ref="E118:Q118" si="22">E101+E108</f>
        <v>11630</v>
      </c>
      <c r="F118" s="19">
        <f t="shared" si="22"/>
        <v>1200</v>
      </c>
      <c r="G118" s="19">
        <f t="shared" si="22"/>
        <v>1600</v>
      </c>
      <c r="H118" s="19">
        <f t="shared" si="22"/>
        <v>415</v>
      </c>
      <c r="I118" s="59">
        <f t="shared" si="22"/>
        <v>430</v>
      </c>
      <c r="J118" s="59">
        <f t="shared" si="22"/>
        <v>650</v>
      </c>
      <c r="K118" s="59">
        <f t="shared" si="22"/>
        <v>500</v>
      </c>
      <c r="L118" s="59">
        <f t="shared" si="22"/>
        <v>2465</v>
      </c>
      <c r="M118" s="59">
        <f t="shared" si="22"/>
        <v>2665</v>
      </c>
      <c r="N118" s="59">
        <f t="shared" si="22"/>
        <v>5935</v>
      </c>
      <c r="O118" s="59">
        <f t="shared" si="22"/>
        <v>6435</v>
      </c>
      <c r="P118" s="59">
        <f t="shared" si="22"/>
        <v>0</v>
      </c>
      <c r="Q118" s="59">
        <f t="shared" si="22"/>
        <v>0</v>
      </c>
      <c r="R118" s="59">
        <f t="shared" ref="R118" si="23">R101+R108</f>
        <v>0</v>
      </c>
      <c r="S118" s="71"/>
      <c r="T118" s="59"/>
      <c r="U118" s="71"/>
    </row>
    <row r="119" spans="1:21" s="3" customFormat="1" ht="14.1" customHeight="1" x14ac:dyDescent="0.25">
      <c r="A119" s="7" t="s">
        <v>93</v>
      </c>
      <c r="B119" s="7" t="s">
        <v>94</v>
      </c>
      <c r="C119" s="8" t="s">
        <v>95</v>
      </c>
      <c r="D119" s="9">
        <f>F119+H119+J119+L119+N119+P119+R119</f>
        <v>1255</v>
      </c>
      <c r="E119" s="9">
        <f>G119+I119+K119+M119+O119+Q119+S119</f>
        <v>1216</v>
      </c>
      <c r="F119" s="10">
        <f>SUM(F120:F125)</f>
        <v>965</v>
      </c>
      <c r="G119" s="10">
        <f>SUM(G120:G125)</f>
        <v>996</v>
      </c>
      <c r="H119" s="10">
        <f t="shared" ref="H119:P119" si="24">SUM(H120:H125)</f>
        <v>160</v>
      </c>
      <c r="I119" s="52">
        <f t="shared" si="24"/>
        <v>120</v>
      </c>
      <c r="J119" s="52">
        <f t="shared" si="24"/>
        <v>0</v>
      </c>
      <c r="K119" s="52">
        <f t="shared" si="24"/>
        <v>0</v>
      </c>
      <c r="L119" s="52">
        <f t="shared" si="24"/>
        <v>130</v>
      </c>
      <c r="M119" s="52">
        <f t="shared" si="24"/>
        <v>100</v>
      </c>
      <c r="N119" s="52">
        <f t="shared" si="24"/>
        <v>0</v>
      </c>
      <c r="O119" s="52">
        <f t="shared" si="24"/>
        <v>0</v>
      </c>
      <c r="P119" s="52">
        <f t="shared" si="24"/>
        <v>0</v>
      </c>
      <c r="Q119" s="65">
        <v>0</v>
      </c>
      <c r="R119" s="52">
        <f t="shared" ref="R119" si="25">SUM(R120:R125)</f>
        <v>0</v>
      </c>
      <c r="S119" s="65"/>
      <c r="T119" s="52"/>
      <c r="U119" s="65"/>
    </row>
    <row r="120" spans="1:21" ht="14.1" customHeight="1" x14ac:dyDescent="0.25">
      <c r="A120" s="24"/>
      <c r="B120" s="24"/>
      <c r="C120" s="25" t="s">
        <v>96</v>
      </c>
      <c r="D120" s="26"/>
      <c r="E120" s="26"/>
      <c r="F120" s="26"/>
      <c r="G120" s="26"/>
      <c r="H120" s="26"/>
      <c r="I120" s="58"/>
      <c r="J120" s="63"/>
      <c r="K120" s="78"/>
      <c r="L120" s="63"/>
      <c r="M120" s="78"/>
      <c r="N120" s="63"/>
      <c r="O120" s="63"/>
      <c r="P120" s="63"/>
      <c r="Q120" s="63"/>
      <c r="R120" s="63"/>
      <c r="S120" s="63"/>
      <c r="T120" s="63"/>
      <c r="U120" s="63"/>
    </row>
    <row r="121" spans="1:21" ht="14.1" customHeight="1" x14ac:dyDescent="0.25">
      <c r="A121" s="24"/>
      <c r="B121" s="24"/>
      <c r="C121" s="25" t="s">
        <v>97</v>
      </c>
      <c r="D121" s="26"/>
      <c r="E121" s="26"/>
      <c r="F121" s="26">
        <v>10</v>
      </c>
      <c r="G121" s="26">
        <v>10</v>
      </c>
      <c r="H121" s="26">
        <v>100</v>
      </c>
      <c r="I121" s="58">
        <v>120</v>
      </c>
      <c r="J121" s="63"/>
      <c r="K121" s="78"/>
      <c r="L121" s="63"/>
      <c r="M121" s="78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 x14ac:dyDescent="0.25">
      <c r="A122" s="24"/>
      <c r="B122" s="24"/>
      <c r="C122" s="25" t="s">
        <v>98</v>
      </c>
      <c r="D122" s="26"/>
      <c r="E122" s="26"/>
      <c r="F122" s="26">
        <v>300</v>
      </c>
      <c r="G122" s="26">
        <v>300</v>
      </c>
      <c r="H122" s="26"/>
      <c r="I122" s="58"/>
      <c r="J122" s="63"/>
      <c r="K122" s="78"/>
      <c r="L122" s="63"/>
      <c r="M122" s="78"/>
      <c r="N122" s="63"/>
      <c r="O122" s="63"/>
      <c r="P122" s="63"/>
      <c r="Q122" s="63"/>
      <c r="R122" s="63"/>
      <c r="S122" s="63"/>
      <c r="T122" s="63"/>
      <c r="U122" s="63"/>
    </row>
    <row r="123" spans="1:21" ht="14.1" customHeight="1" x14ac:dyDescent="0.25">
      <c r="A123" s="24"/>
      <c r="B123" s="24"/>
      <c r="C123" s="25" t="s">
        <v>99</v>
      </c>
      <c r="D123" s="26"/>
      <c r="E123" s="26"/>
      <c r="F123" s="26">
        <v>150</v>
      </c>
      <c r="G123" s="26">
        <v>150</v>
      </c>
      <c r="H123" s="26">
        <v>20</v>
      </c>
      <c r="I123" s="58"/>
      <c r="J123" s="63"/>
      <c r="K123" s="78"/>
      <c r="L123" s="63">
        <v>50</v>
      </c>
      <c r="M123" s="78">
        <v>100</v>
      </c>
      <c r="N123" s="63"/>
      <c r="O123" s="63"/>
      <c r="P123" s="63"/>
      <c r="Q123" s="63"/>
      <c r="R123" s="63"/>
      <c r="S123" s="63"/>
      <c r="T123" s="63"/>
      <c r="U123" s="63"/>
    </row>
    <row r="124" spans="1:21" ht="14.1" customHeight="1" x14ac:dyDescent="0.25">
      <c r="A124" s="24"/>
      <c r="B124" s="24"/>
      <c r="C124" s="25" t="s">
        <v>100</v>
      </c>
      <c r="D124" s="26"/>
      <c r="E124" s="26"/>
      <c r="F124" s="26">
        <v>125</v>
      </c>
      <c r="G124" s="26">
        <v>125</v>
      </c>
      <c r="H124" s="26">
        <v>40</v>
      </c>
      <c r="I124" s="58"/>
      <c r="J124" s="63"/>
      <c r="K124" s="78"/>
      <c r="L124" s="63">
        <v>50</v>
      </c>
      <c r="M124" s="78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 x14ac:dyDescent="0.25">
      <c r="A125" s="24"/>
      <c r="B125" s="24"/>
      <c r="C125" s="25" t="s">
        <v>101</v>
      </c>
      <c r="D125" s="26"/>
      <c r="E125" s="26"/>
      <c r="F125" s="26">
        <v>380</v>
      </c>
      <c r="G125" s="26">
        <v>411</v>
      </c>
      <c r="H125" s="26"/>
      <c r="I125" s="58"/>
      <c r="J125" s="63"/>
      <c r="K125" s="78"/>
      <c r="L125" s="63">
        <v>30</v>
      </c>
      <c r="M125" s="78"/>
      <c r="N125" s="63"/>
      <c r="O125" s="63"/>
      <c r="P125" s="63"/>
      <c r="Q125" s="63"/>
      <c r="R125" s="63"/>
      <c r="S125" s="63"/>
      <c r="T125" s="63"/>
      <c r="U125" s="63"/>
    </row>
    <row r="126" spans="1:21" s="3" customFormat="1" ht="14.1" customHeight="1" x14ac:dyDescent="0.25">
      <c r="A126" s="7" t="s">
        <v>102</v>
      </c>
      <c r="B126" s="7" t="s">
        <v>103</v>
      </c>
      <c r="C126" s="8" t="s">
        <v>104</v>
      </c>
      <c r="D126" s="9">
        <f>F126+H126+J126+L126+N126+P126+R126</f>
        <v>850</v>
      </c>
      <c r="E126" s="9">
        <f>G126+I126+K126+M126+O126+Q126+S126</f>
        <v>640</v>
      </c>
      <c r="F126" s="10">
        <f>SUM(F127:F128)</f>
        <v>750</v>
      </c>
      <c r="G126" s="10">
        <f t="shared" ref="G126:P126" si="26">SUM(G127:G128)</f>
        <v>450</v>
      </c>
      <c r="H126" s="10">
        <f t="shared" si="26"/>
        <v>30</v>
      </c>
      <c r="I126" s="52">
        <f t="shared" si="26"/>
        <v>90</v>
      </c>
      <c r="J126" s="52">
        <f t="shared" si="26"/>
        <v>0</v>
      </c>
      <c r="K126" s="52">
        <f t="shared" si="26"/>
        <v>0</v>
      </c>
      <c r="L126" s="52">
        <f t="shared" si="26"/>
        <v>70</v>
      </c>
      <c r="M126" s="52">
        <f t="shared" si="26"/>
        <v>100</v>
      </c>
      <c r="N126" s="52">
        <f t="shared" si="26"/>
        <v>0</v>
      </c>
      <c r="O126" s="52">
        <f t="shared" si="26"/>
        <v>0</v>
      </c>
      <c r="P126" s="52">
        <f t="shared" si="26"/>
        <v>0</v>
      </c>
      <c r="Q126" s="65">
        <v>0</v>
      </c>
      <c r="R126" s="52">
        <f t="shared" ref="R126" si="27">SUM(R127:R128)</f>
        <v>0</v>
      </c>
      <c r="S126" s="65"/>
      <c r="T126" s="52"/>
      <c r="U126" s="65"/>
    </row>
    <row r="127" spans="1:21" ht="14.1" customHeight="1" x14ac:dyDescent="0.25">
      <c r="A127" s="24"/>
      <c r="B127" s="24"/>
      <c r="C127" s="25" t="s">
        <v>105</v>
      </c>
      <c r="D127" s="26"/>
      <c r="E127" s="26"/>
      <c r="F127" s="26">
        <v>750</v>
      </c>
      <c r="G127" s="26">
        <v>450</v>
      </c>
      <c r="H127" s="26">
        <v>30</v>
      </c>
      <c r="I127" s="58">
        <v>90</v>
      </c>
      <c r="J127" s="63"/>
      <c r="K127" s="78"/>
      <c r="L127" s="63">
        <v>70</v>
      </c>
      <c r="M127" s="78">
        <v>100</v>
      </c>
      <c r="N127" s="63"/>
      <c r="O127" s="63"/>
      <c r="P127" s="63"/>
      <c r="Q127" s="63"/>
      <c r="R127" s="63"/>
      <c r="S127" s="63"/>
      <c r="T127" s="63"/>
      <c r="U127" s="63"/>
    </row>
    <row r="128" spans="1:21" ht="14.1" customHeight="1" x14ac:dyDescent="0.25">
      <c r="A128" s="24"/>
      <c r="B128" s="24"/>
      <c r="C128" s="25" t="s">
        <v>106</v>
      </c>
      <c r="D128" s="26"/>
      <c r="E128" s="26"/>
      <c r="F128" s="26"/>
      <c r="G128" s="26"/>
      <c r="H128" s="26"/>
      <c r="I128" s="58"/>
      <c r="J128" s="63"/>
      <c r="K128" s="78"/>
      <c r="L128" s="63"/>
      <c r="M128" s="78"/>
      <c r="N128" s="63"/>
      <c r="O128" s="63"/>
      <c r="P128" s="63"/>
      <c r="Q128" s="63"/>
      <c r="R128" s="63"/>
      <c r="S128" s="63"/>
      <c r="T128" s="63"/>
      <c r="U128" s="63"/>
    </row>
    <row r="129" spans="1:21" s="3" customFormat="1" ht="14.1" customHeight="1" x14ac:dyDescent="0.25">
      <c r="A129" s="16" t="s">
        <v>107</v>
      </c>
      <c r="B129" s="16" t="s">
        <v>108</v>
      </c>
      <c r="C129" s="17" t="s">
        <v>109</v>
      </c>
      <c r="D129" s="19">
        <f>D119+D126</f>
        <v>2105</v>
      </c>
      <c r="E129" s="19">
        <f t="shared" ref="E129:Q129" si="28">E119+E126</f>
        <v>1856</v>
      </c>
      <c r="F129" s="19">
        <f t="shared" si="28"/>
        <v>1715</v>
      </c>
      <c r="G129" s="19">
        <f t="shared" si="28"/>
        <v>1446</v>
      </c>
      <c r="H129" s="19">
        <f t="shared" si="28"/>
        <v>190</v>
      </c>
      <c r="I129" s="59">
        <f t="shared" si="28"/>
        <v>210</v>
      </c>
      <c r="J129" s="59">
        <f t="shared" si="28"/>
        <v>0</v>
      </c>
      <c r="K129" s="59">
        <f t="shared" si="28"/>
        <v>0</v>
      </c>
      <c r="L129" s="59">
        <f t="shared" si="28"/>
        <v>200</v>
      </c>
      <c r="M129" s="59">
        <f t="shared" si="28"/>
        <v>200</v>
      </c>
      <c r="N129" s="59">
        <f t="shared" si="28"/>
        <v>0</v>
      </c>
      <c r="O129" s="59">
        <f t="shared" si="28"/>
        <v>0</v>
      </c>
      <c r="P129" s="59">
        <f t="shared" si="28"/>
        <v>0</v>
      </c>
      <c r="Q129" s="59">
        <f t="shared" si="28"/>
        <v>0</v>
      </c>
      <c r="R129" s="59">
        <f t="shared" ref="R129" si="29">R119+R126</f>
        <v>0</v>
      </c>
      <c r="S129" s="71"/>
      <c r="T129" s="59"/>
      <c r="U129" s="71"/>
    </row>
    <row r="130" spans="1:21" s="3" customFormat="1" ht="14.1" customHeight="1" x14ac:dyDescent="0.25">
      <c r="A130" s="7" t="s">
        <v>110</v>
      </c>
      <c r="B130" s="7" t="s">
        <v>111</v>
      </c>
      <c r="C130" s="8" t="s">
        <v>112</v>
      </c>
      <c r="D130" s="9">
        <f>F130+H130+J130+L130+N130+P130+R130</f>
        <v>5460</v>
      </c>
      <c r="E130" s="9">
        <f>G130+I130+K130+M130+O130+Q130+S130</f>
        <v>5410</v>
      </c>
      <c r="F130" s="10">
        <f>SUM(F131:F133)</f>
        <v>700</v>
      </c>
      <c r="G130" s="10">
        <f t="shared" ref="G130:P130" si="30">SUM(G131:G133)</f>
        <v>870</v>
      </c>
      <c r="H130" s="10">
        <f t="shared" si="30"/>
        <v>460</v>
      </c>
      <c r="I130" s="52">
        <f t="shared" si="30"/>
        <v>440</v>
      </c>
      <c r="J130" s="52">
        <f t="shared" si="30"/>
        <v>0</v>
      </c>
      <c r="K130" s="52">
        <f t="shared" si="30"/>
        <v>0</v>
      </c>
      <c r="L130" s="52">
        <f t="shared" si="30"/>
        <v>4300</v>
      </c>
      <c r="M130" s="52">
        <f t="shared" si="30"/>
        <v>4100</v>
      </c>
      <c r="N130" s="52">
        <f t="shared" si="30"/>
        <v>0</v>
      </c>
      <c r="O130" s="52">
        <f t="shared" si="30"/>
        <v>0</v>
      </c>
      <c r="P130" s="52">
        <f t="shared" si="30"/>
        <v>0</v>
      </c>
      <c r="Q130" s="65">
        <v>0</v>
      </c>
      <c r="R130" s="52">
        <f t="shared" ref="R130" si="31">SUM(R131:R133)</f>
        <v>0</v>
      </c>
      <c r="S130" s="65"/>
      <c r="T130" s="52"/>
      <c r="U130" s="65"/>
    </row>
    <row r="131" spans="1:21" ht="14.1" customHeight="1" x14ac:dyDescent="0.25">
      <c r="A131" s="24"/>
      <c r="B131" s="24"/>
      <c r="C131" s="25" t="s">
        <v>113</v>
      </c>
      <c r="D131" s="26"/>
      <c r="E131" s="26"/>
      <c r="F131" s="26">
        <v>150</v>
      </c>
      <c r="G131" s="26">
        <v>120</v>
      </c>
      <c r="H131" s="26">
        <v>80</v>
      </c>
      <c r="I131" s="58">
        <v>80</v>
      </c>
      <c r="J131" s="63"/>
      <c r="K131" s="78"/>
      <c r="L131" s="63">
        <v>800</v>
      </c>
      <c r="M131" s="78">
        <v>700</v>
      </c>
      <c r="N131" s="63"/>
      <c r="O131" s="63"/>
      <c r="P131" s="63"/>
      <c r="Q131" s="63"/>
      <c r="R131" s="63"/>
      <c r="S131" s="63"/>
      <c r="T131" s="63"/>
      <c r="U131" s="63"/>
    </row>
    <row r="132" spans="1:21" ht="14.1" customHeight="1" x14ac:dyDescent="0.25">
      <c r="A132" s="24"/>
      <c r="B132" s="24"/>
      <c r="C132" s="25" t="s">
        <v>114</v>
      </c>
      <c r="D132" s="26"/>
      <c r="E132" s="26"/>
      <c r="F132" s="26">
        <v>450</v>
      </c>
      <c r="G132" s="26">
        <v>650</v>
      </c>
      <c r="H132" s="26">
        <v>180</v>
      </c>
      <c r="I132" s="58">
        <v>160</v>
      </c>
      <c r="J132" s="63"/>
      <c r="K132" s="78"/>
      <c r="L132" s="63">
        <v>3000</v>
      </c>
      <c r="M132" s="78">
        <v>3000</v>
      </c>
      <c r="N132" s="63"/>
      <c r="O132" s="63"/>
      <c r="P132" s="63"/>
      <c r="Q132" s="63"/>
      <c r="R132" s="63"/>
      <c r="S132" s="63"/>
      <c r="T132" s="63"/>
      <c r="U132" s="63"/>
    </row>
    <row r="133" spans="1:21" ht="14.1" customHeight="1" x14ac:dyDescent="0.25">
      <c r="A133" s="24"/>
      <c r="B133" s="24"/>
      <c r="C133" s="25" t="s">
        <v>115</v>
      </c>
      <c r="D133" s="26"/>
      <c r="E133" s="26"/>
      <c r="F133" s="26">
        <v>100</v>
      </c>
      <c r="G133" s="26">
        <v>100</v>
      </c>
      <c r="H133" s="26">
        <v>200</v>
      </c>
      <c r="I133" s="58">
        <v>200</v>
      </c>
      <c r="J133" s="63"/>
      <c r="K133" s="78"/>
      <c r="L133" s="63">
        <v>500</v>
      </c>
      <c r="M133" s="78">
        <v>400</v>
      </c>
      <c r="N133" s="63"/>
      <c r="O133" s="63"/>
      <c r="P133" s="63"/>
      <c r="Q133" s="63"/>
      <c r="R133" s="63"/>
      <c r="S133" s="63"/>
      <c r="T133" s="63"/>
      <c r="U133" s="63"/>
    </row>
    <row r="134" spans="1:21" s="3" customFormat="1" ht="14.1" customHeight="1" x14ac:dyDescent="0.25">
      <c r="A134" s="7" t="s">
        <v>116</v>
      </c>
      <c r="B134" s="7" t="s">
        <v>117</v>
      </c>
      <c r="C134" s="8" t="s">
        <v>118</v>
      </c>
      <c r="D134" s="9">
        <f>F134+H134+J134+L134+N134+P134+R134</f>
        <v>10100</v>
      </c>
      <c r="E134" s="9">
        <f>G134+I134+K134+M134+O134+Q134+S134</f>
        <v>10100</v>
      </c>
      <c r="F134" s="10">
        <v>0</v>
      </c>
      <c r="G134" s="10">
        <f>G135</f>
        <v>0</v>
      </c>
      <c r="H134" s="10">
        <v>0</v>
      </c>
      <c r="I134" s="52">
        <f>I135</f>
        <v>0</v>
      </c>
      <c r="J134" s="52">
        <f>J135</f>
        <v>10100</v>
      </c>
      <c r="K134" s="52">
        <f>K135</f>
        <v>10100</v>
      </c>
      <c r="L134" s="52">
        <f>L135</f>
        <v>0</v>
      </c>
      <c r="M134" s="80">
        <v>0</v>
      </c>
      <c r="N134" s="52">
        <f>N135</f>
        <v>0</v>
      </c>
      <c r="O134" s="52">
        <f>O135</f>
        <v>0</v>
      </c>
      <c r="P134" s="52">
        <f>P135</f>
        <v>0</v>
      </c>
      <c r="Q134" s="65">
        <v>0</v>
      </c>
      <c r="R134" s="52">
        <f>R135</f>
        <v>0</v>
      </c>
      <c r="S134" s="65"/>
      <c r="T134" s="52"/>
      <c r="U134" s="65"/>
    </row>
    <row r="135" spans="1:21" s="3" customFormat="1" ht="14.1" customHeight="1" x14ac:dyDescent="0.25">
      <c r="A135" s="24"/>
      <c r="B135" s="24"/>
      <c r="C135" s="25"/>
      <c r="D135" s="26"/>
      <c r="E135" s="26"/>
      <c r="F135" s="26"/>
      <c r="G135" s="26"/>
      <c r="H135" s="26"/>
      <c r="I135" s="58"/>
      <c r="J135" s="63">
        <v>10100</v>
      </c>
      <c r="K135" s="78">
        <v>10100</v>
      </c>
      <c r="L135" s="63"/>
      <c r="M135" s="78"/>
      <c r="N135" s="63"/>
      <c r="O135" s="63"/>
      <c r="P135" s="63"/>
      <c r="Q135" s="63"/>
      <c r="R135" s="63"/>
      <c r="S135" s="63"/>
      <c r="T135" s="63"/>
      <c r="U135" s="63"/>
    </row>
    <row r="136" spans="1:21" s="3" customFormat="1" ht="14.1" customHeight="1" x14ac:dyDescent="0.25">
      <c r="A136" s="7" t="s">
        <v>119</v>
      </c>
      <c r="B136" s="7" t="s">
        <v>120</v>
      </c>
      <c r="C136" s="8" t="s">
        <v>121</v>
      </c>
      <c r="D136" s="9">
        <f>F136+H136+J136+L136+N136+P136+R136</f>
        <v>265</v>
      </c>
      <c r="E136" s="9">
        <f>G136+I136+K136+M136+O136+Q136+S136</f>
        <v>400</v>
      </c>
      <c r="F136" s="10">
        <f>SUM(F137:F138)</f>
        <v>265</v>
      </c>
      <c r="G136" s="10">
        <f t="shared" ref="G136:P136" si="32">SUM(G137:G138)</f>
        <v>400</v>
      </c>
      <c r="H136" s="10">
        <f t="shared" si="32"/>
        <v>0</v>
      </c>
      <c r="I136" s="52">
        <f t="shared" si="32"/>
        <v>0</v>
      </c>
      <c r="J136" s="52">
        <f t="shared" si="32"/>
        <v>0</v>
      </c>
      <c r="K136" s="52">
        <f t="shared" si="32"/>
        <v>0</v>
      </c>
      <c r="L136" s="52">
        <f t="shared" si="32"/>
        <v>0</v>
      </c>
      <c r="M136" s="52">
        <f t="shared" si="32"/>
        <v>0</v>
      </c>
      <c r="N136" s="52">
        <f t="shared" si="32"/>
        <v>0</v>
      </c>
      <c r="O136" s="52">
        <f t="shared" si="32"/>
        <v>0</v>
      </c>
      <c r="P136" s="52">
        <f t="shared" si="32"/>
        <v>0</v>
      </c>
      <c r="Q136" s="65">
        <v>0</v>
      </c>
      <c r="R136" s="52">
        <f t="shared" ref="R136" si="33">SUM(R137:R138)</f>
        <v>0</v>
      </c>
      <c r="S136" s="65"/>
      <c r="T136" s="52"/>
      <c r="U136" s="65"/>
    </row>
    <row r="137" spans="1:21" ht="14.1" customHeight="1" x14ac:dyDescent="0.25">
      <c r="A137" s="24"/>
      <c r="B137" s="24"/>
      <c r="C137" s="25" t="s">
        <v>122</v>
      </c>
      <c r="D137" s="26"/>
      <c r="E137" s="26"/>
      <c r="F137" s="26"/>
      <c r="G137" s="26"/>
      <c r="H137" s="26"/>
      <c r="I137" s="58"/>
      <c r="J137" s="63"/>
      <c r="K137" s="78"/>
      <c r="L137" s="63"/>
      <c r="M137" s="78"/>
      <c r="N137" s="63"/>
      <c r="O137" s="63"/>
      <c r="P137" s="63"/>
      <c r="Q137" s="63"/>
      <c r="R137" s="63"/>
      <c r="S137" s="63"/>
      <c r="T137" s="63"/>
      <c r="U137" s="63"/>
    </row>
    <row r="138" spans="1:21" ht="14.1" customHeight="1" x14ac:dyDescent="0.25">
      <c r="A138" s="24"/>
      <c r="B138" s="24"/>
      <c r="C138" s="25" t="s">
        <v>123</v>
      </c>
      <c r="D138" s="26"/>
      <c r="E138" s="26"/>
      <c r="F138" s="26">
        <v>265</v>
      </c>
      <c r="G138" s="26">
        <v>400</v>
      </c>
      <c r="H138" s="26"/>
      <c r="I138" s="58"/>
      <c r="J138" s="63"/>
      <c r="K138" s="78"/>
      <c r="L138" s="63"/>
      <c r="M138" s="78"/>
      <c r="N138" s="63"/>
      <c r="O138" s="63"/>
      <c r="P138" s="63"/>
      <c r="Q138" s="63"/>
      <c r="R138" s="63"/>
      <c r="S138" s="63"/>
      <c r="T138" s="63"/>
      <c r="U138" s="63"/>
    </row>
    <row r="139" spans="1:21" s="3" customFormat="1" ht="14.1" customHeight="1" x14ac:dyDescent="0.25">
      <c r="A139" s="7" t="s">
        <v>124</v>
      </c>
      <c r="B139" s="7" t="s">
        <v>125</v>
      </c>
      <c r="C139" s="8" t="s">
        <v>126</v>
      </c>
      <c r="D139" s="9">
        <f>F139+H139+J139+L139+N139+P139+R139</f>
        <v>1290</v>
      </c>
      <c r="E139" s="9">
        <f>G139+I139+K139+M139+O139+Q139+S139</f>
        <v>3090</v>
      </c>
      <c r="F139" s="10">
        <v>350</v>
      </c>
      <c r="G139" s="10">
        <v>350</v>
      </c>
      <c r="H139" s="10">
        <v>120</v>
      </c>
      <c r="I139" s="52">
        <v>120</v>
      </c>
      <c r="J139" s="65">
        <v>120</v>
      </c>
      <c r="K139" s="80">
        <v>120</v>
      </c>
      <c r="L139" s="65">
        <v>700</v>
      </c>
      <c r="M139" s="80">
        <v>2500</v>
      </c>
      <c r="N139" s="65">
        <v>0</v>
      </c>
      <c r="O139" s="65"/>
      <c r="P139" s="65">
        <v>0</v>
      </c>
      <c r="Q139" s="65">
        <v>0</v>
      </c>
      <c r="R139" s="65">
        <v>0</v>
      </c>
      <c r="S139" s="65"/>
      <c r="T139" s="65"/>
      <c r="U139" s="65"/>
    </row>
    <row r="140" spans="1:21" s="3" customFormat="1" ht="14.1" customHeight="1" x14ac:dyDescent="0.25">
      <c r="A140" s="7" t="s">
        <v>127</v>
      </c>
      <c r="B140" s="7" t="s">
        <v>128</v>
      </c>
      <c r="C140" s="8" t="s">
        <v>129</v>
      </c>
      <c r="D140" s="9">
        <f>F140+H140+J140+L140+N140+P140+R140</f>
        <v>170</v>
      </c>
      <c r="E140" s="9">
        <f>G140+I140+K140+M140+O140+Q140+S140</f>
        <v>0</v>
      </c>
      <c r="F140" s="10">
        <f t="shared" ref="F140:N140" si="34">SUM(F141:F142)</f>
        <v>20</v>
      </c>
      <c r="G140" s="10">
        <f t="shared" si="34"/>
        <v>0</v>
      </c>
      <c r="H140" s="10">
        <f t="shared" si="34"/>
        <v>150</v>
      </c>
      <c r="I140" s="52">
        <f t="shared" si="34"/>
        <v>0</v>
      </c>
      <c r="J140" s="52">
        <f t="shared" si="34"/>
        <v>0</v>
      </c>
      <c r="K140" s="52">
        <f t="shared" si="34"/>
        <v>0</v>
      </c>
      <c r="L140" s="52">
        <f t="shared" si="34"/>
        <v>0</v>
      </c>
      <c r="M140" s="52">
        <f t="shared" si="34"/>
        <v>0</v>
      </c>
      <c r="N140" s="52">
        <f t="shared" si="34"/>
        <v>0</v>
      </c>
      <c r="O140" s="65"/>
      <c r="P140" s="52">
        <f>SUM(P141:P142)</f>
        <v>0</v>
      </c>
      <c r="Q140" s="65">
        <v>0</v>
      </c>
      <c r="R140" s="52">
        <f>SUM(R141:R142)</f>
        <v>0</v>
      </c>
      <c r="S140" s="65"/>
      <c r="T140" s="52"/>
      <c r="U140" s="65"/>
    </row>
    <row r="141" spans="1:21" ht="14.1" customHeight="1" x14ac:dyDescent="0.25">
      <c r="A141" s="24"/>
      <c r="B141" s="24"/>
      <c r="C141" s="25" t="s">
        <v>130</v>
      </c>
      <c r="D141" s="26"/>
      <c r="E141" s="26"/>
      <c r="F141" s="26"/>
      <c r="G141" s="26"/>
      <c r="H141" s="26"/>
      <c r="I141" s="58"/>
      <c r="J141" s="63"/>
      <c r="K141" s="78"/>
      <c r="L141" s="63"/>
      <c r="M141" s="78"/>
      <c r="N141" s="63"/>
      <c r="O141" s="63"/>
      <c r="P141" s="63"/>
      <c r="Q141" s="63"/>
      <c r="R141" s="63"/>
      <c r="S141" s="63"/>
      <c r="T141" s="63"/>
      <c r="U141" s="63"/>
    </row>
    <row r="142" spans="1:21" ht="14.1" customHeight="1" x14ac:dyDescent="0.25">
      <c r="A142" s="24"/>
      <c r="B142" s="24"/>
      <c r="C142" s="25" t="s">
        <v>131</v>
      </c>
      <c r="D142" s="26"/>
      <c r="E142" s="26"/>
      <c r="F142" s="26">
        <v>20</v>
      </c>
      <c r="G142" s="26"/>
      <c r="H142" s="26">
        <v>150</v>
      </c>
      <c r="I142" s="58"/>
      <c r="J142" s="63"/>
      <c r="K142" s="78"/>
      <c r="L142" s="63"/>
      <c r="M142" s="78"/>
      <c r="N142" s="63"/>
      <c r="O142" s="63"/>
      <c r="P142" s="63"/>
      <c r="Q142" s="63"/>
      <c r="R142" s="63"/>
      <c r="S142" s="63"/>
      <c r="T142" s="63"/>
      <c r="U142" s="63"/>
    </row>
    <row r="143" spans="1:21" s="3" customFormat="1" ht="14.1" customHeight="1" x14ac:dyDescent="0.25">
      <c r="A143" s="7" t="s">
        <v>132</v>
      </c>
      <c r="B143" s="7" t="s">
        <v>133</v>
      </c>
      <c r="C143" s="8" t="s">
        <v>134</v>
      </c>
      <c r="D143" s="9">
        <f>F143+H143+J143+L143+N143+P143+R143</f>
        <v>6526</v>
      </c>
      <c r="E143" s="9">
        <f>G143+I143+K143+M143+O143+Q143+S143</f>
        <v>5880</v>
      </c>
      <c r="F143" s="10">
        <f>SUM(F144:F146)</f>
        <v>3600</v>
      </c>
      <c r="G143" s="10">
        <f t="shared" ref="G143:Q143" si="35">SUM(G144:G146)</f>
        <v>3600</v>
      </c>
      <c r="H143" s="10">
        <f t="shared" si="35"/>
        <v>30</v>
      </c>
      <c r="I143" s="52">
        <f t="shared" si="35"/>
        <v>0</v>
      </c>
      <c r="J143" s="52">
        <f t="shared" si="35"/>
        <v>0</v>
      </c>
      <c r="K143" s="52">
        <f t="shared" si="35"/>
        <v>0</v>
      </c>
      <c r="L143" s="52">
        <f t="shared" si="35"/>
        <v>1376</v>
      </c>
      <c r="M143" s="52">
        <f t="shared" si="35"/>
        <v>1280</v>
      </c>
      <c r="N143" s="52">
        <f t="shared" si="35"/>
        <v>0</v>
      </c>
      <c r="O143" s="52">
        <f t="shared" si="35"/>
        <v>0</v>
      </c>
      <c r="P143" s="52">
        <f t="shared" si="35"/>
        <v>960</v>
      </c>
      <c r="Q143" s="52">
        <f t="shared" si="35"/>
        <v>1000</v>
      </c>
      <c r="R143" s="52">
        <f t="shared" ref="R143" si="36">SUM(R144:R146)</f>
        <v>560</v>
      </c>
      <c r="S143" s="65"/>
      <c r="T143" s="52"/>
      <c r="U143" s="65"/>
    </row>
    <row r="144" spans="1:21" ht="14.1" customHeight="1" x14ac:dyDescent="0.25">
      <c r="A144" s="24"/>
      <c r="B144" s="24"/>
      <c r="C144" s="25" t="s">
        <v>135</v>
      </c>
      <c r="D144" s="26"/>
      <c r="E144" s="26"/>
      <c r="F144" s="26"/>
      <c r="G144" s="26"/>
      <c r="H144" s="26">
        <v>0</v>
      </c>
      <c r="I144" s="58"/>
      <c r="J144" s="63"/>
      <c r="K144" s="78"/>
      <c r="L144" s="63">
        <v>840</v>
      </c>
      <c r="M144" s="78"/>
      <c r="N144" s="63"/>
      <c r="O144" s="63"/>
      <c r="P144" s="63">
        <v>960</v>
      </c>
      <c r="Q144" s="63"/>
      <c r="R144" s="63"/>
      <c r="S144" s="63"/>
      <c r="T144" s="63"/>
      <c r="U144" s="63"/>
    </row>
    <row r="145" spans="1:21" ht="14.1" customHeight="1" x14ac:dyDescent="0.25">
      <c r="A145" s="24"/>
      <c r="B145" s="24"/>
      <c r="C145" s="25" t="s">
        <v>136</v>
      </c>
      <c r="D145" s="26"/>
      <c r="E145" s="26"/>
      <c r="F145" s="26"/>
      <c r="G145" s="26"/>
      <c r="H145" s="26">
        <v>0</v>
      </c>
      <c r="I145" s="58"/>
      <c r="J145" s="63"/>
      <c r="K145" s="78"/>
      <c r="L145" s="63"/>
      <c r="M145" s="78"/>
      <c r="N145" s="63"/>
      <c r="O145" s="63"/>
      <c r="P145" s="63"/>
      <c r="Q145" s="63"/>
      <c r="R145" s="63"/>
      <c r="S145" s="63"/>
      <c r="T145" s="63"/>
      <c r="U145" s="63"/>
    </row>
    <row r="146" spans="1:21" ht="14.1" customHeight="1" x14ac:dyDescent="0.25">
      <c r="A146" s="24"/>
      <c r="B146" s="24"/>
      <c r="C146" s="25" t="s">
        <v>137</v>
      </c>
      <c r="D146" s="26"/>
      <c r="E146" s="26"/>
      <c r="F146" s="26">
        <v>3600</v>
      </c>
      <c r="G146" s="26">
        <v>3600</v>
      </c>
      <c r="H146" s="26">
        <v>30</v>
      </c>
      <c r="I146" s="58"/>
      <c r="J146" s="63"/>
      <c r="K146" s="78"/>
      <c r="L146" s="63">
        <v>536</v>
      </c>
      <c r="M146" s="78">
        <v>1280</v>
      </c>
      <c r="N146" s="63"/>
      <c r="O146" s="63"/>
      <c r="P146" s="63"/>
      <c r="Q146" s="63">
        <v>1000</v>
      </c>
      <c r="R146" s="63">
        <v>560</v>
      </c>
      <c r="S146" s="63"/>
      <c r="T146" s="63"/>
      <c r="U146" s="63"/>
    </row>
    <row r="147" spans="1:21" s="3" customFormat="1" ht="14.1" customHeight="1" x14ac:dyDescent="0.25">
      <c r="A147" s="7" t="s">
        <v>138</v>
      </c>
      <c r="B147" s="7" t="s">
        <v>139</v>
      </c>
      <c r="C147" s="8" t="s">
        <v>140</v>
      </c>
      <c r="D147" s="9">
        <f>F147+H147+J147+L147+N147+P147+R147</f>
        <v>4742</v>
      </c>
      <c r="E147" s="9">
        <f>G147+I147+K147+M147+O147+Q147+S147</f>
        <v>5360</v>
      </c>
      <c r="F147" s="10">
        <f>SUM(F148:F151)</f>
        <v>2630</v>
      </c>
      <c r="G147" s="10">
        <f t="shared" ref="G147:Q147" si="37">SUM(G148:G151)</f>
        <v>2900</v>
      </c>
      <c r="H147" s="10">
        <f t="shared" si="37"/>
        <v>1100</v>
      </c>
      <c r="I147" s="52">
        <f t="shared" si="37"/>
        <v>1300</v>
      </c>
      <c r="J147" s="52">
        <f t="shared" si="37"/>
        <v>262</v>
      </c>
      <c r="K147" s="52">
        <f t="shared" si="37"/>
        <v>260</v>
      </c>
      <c r="L147" s="52">
        <f t="shared" si="37"/>
        <v>750</v>
      </c>
      <c r="M147" s="52">
        <f t="shared" si="37"/>
        <v>900</v>
      </c>
      <c r="N147" s="52">
        <f t="shared" si="37"/>
        <v>0</v>
      </c>
      <c r="O147" s="52">
        <f t="shared" si="37"/>
        <v>0</v>
      </c>
      <c r="P147" s="52">
        <f t="shared" si="37"/>
        <v>0</v>
      </c>
      <c r="Q147" s="52">
        <f t="shared" si="37"/>
        <v>0</v>
      </c>
      <c r="R147" s="52">
        <f t="shared" ref="R147" si="38">SUM(R148:R151)</f>
        <v>0</v>
      </c>
      <c r="S147" s="65"/>
      <c r="T147" s="52"/>
      <c r="U147" s="65"/>
    </row>
    <row r="148" spans="1:21" ht="14.1" customHeight="1" x14ac:dyDescent="0.25">
      <c r="A148" s="24"/>
      <c r="B148" s="24"/>
      <c r="C148" s="25" t="s">
        <v>141</v>
      </c>
      <c r="D148" s="26"/>
      <c r="E148" s="26"/>
      <c r="F148" s="26"/>
      <c r="G148" s="26"/>
      <c r="H148" s="26"/>
      <c r="I148" s="58"/>
      <c r="J148" s="63">
        <v>262</v>
      </c>
      <c r="K148" s="78">
        <v>260</v>
      </c>
      <c r="L148" s="63"/>
      <c r="M148" s="78"/>
      <c r="N148" s="63"/>
      <c r="O148" s="63"/>
      <c r="P148" s="63"/>
      <c r="Q148" s="63"/>
      <c r="R148" s="63"/>
      <c r="S148" s="63"/>
      <c r="T148" s="63"/>
      <c r="U148" s="63"/>
    </row>
    <row r="149" spans="1:21" ht="14.1" customHeight="1" x14ac:dyDescent="0.25">
      <c r="A149" s="24"/>
      <c r="B149" s="24"/>
      <c r="C149" s="25" t="s">
        <v>142</v>
      </c>
      <c r="D149" s="26"/>
      <c r="E149" s="26"/>
      <c r="F149" s="26">
        <v>250</v>
      </c>
      <c r="G149" s="26"/>
      <c r="H149" s="26"/>
      <c r="I149" s="58"/>
      <c r="J149" s="63"/>
      <c r="K149" s="78"/>
      <c r="L149" s="63"/>
      <c r="M149" s="78"/>
      <c r="N149" s="63"/>
      <c r="O149" s="63"/>
      <c r="P149" s="63"/>
      <c r="Q149" s="63"/>
      <c r="R149" s="63"/>
      <c r="S149" s="63"/>
      <c r="T149" s="63"/>
      <c r="U149" s="63"/>
    </row>
    <row r="150" spans="1:21" ht="14.1" customHeight="1" x14ac:dyDescent="0.25">
      <c r="A150" s="24"/>
      <c r="B150" s="24"/>
      <c r="C150" s="25" t="s">
        <v>143</v>
      </c>
      <c r="D150" s="26"/>
      <c r="E150" s="26"/>
      <c r="F150" s="26">
        <v>30</v>
      </c>
      <c r="G150" s="26"/>
      <c r="H150" s="26"/>
      <c r="I150" s="58"/>
      <c r="J150" s="63"/>
      <c r="K150" s="78"/>
      <c r="L150" s="63"/>
      <c r="M150" s="78"/>
      <c r="N150" s="63"/>
      <c r="O150" s="63"/>
      <c r="P150" s="63"/>
      <c r="Q150" s="63"/>
      <c r="R150" s="63"/>
      <c r="S150" s="63"/>
      <c r="T150" s="63"/>
      <c r="U150" s="63"/>
    </row>
    <row r="151" spans="1:21" ht="14.1" customHeight="1" x14ac:dyDescent="0.25">
      <c r="A151" s="24"/>
      <c r="B151" s="24"/>
      <c r="C151" s="25" t="s">
        <v>144</v>
      </c>
      <c r="D151" s="26"/>
      <c r="E151" s="26"/>
      <c r="F151" s="26">
        <v>2350</v>
      </c>
      <c r="G151" s="26">
        <v>2900</v>
      </c>
      <c r="H151" s="26">
        <v>1100</v>
      </c>
      <c r="I151" s="58">
        <v>1300</v>
      </c>
      <c r="J151" s="63"/>
      <c r="K151" s="78"/>
      <c r="L151" s="63">
        <v>750</v>
      </c>
      <c r="M151" s="78">
        <v>900</v>
      </c>
      <c r="N151" s="63"/>
      <c r="O151" s="63"/>
      <c r="P151" s="63"/>
      <c r="Q151" s="63"/>
      <c r="R151" s="63"/>
      <c r="S151" s="63"/>
      <c r="T151" s="63"/>
      <c r="U151" s="63"/>
    </row>
    <row r="152" spans="1:21" s="3" customFormat="1" ht="14.1" customHeight="1" x14ac:dyDescent="0.25">
      <c r="A152" s="16" t="s">
        <v>145</v>
      </c>
      <c r="B152" s="16" t="s">
        <v>146</v>
      </c>
      <c r="C152" s="17" t="s">
        <v>147</v>
      </c>
      <c r="D152" s="19">
        <f t="shared" ref="D152:Q152" si="39">D130+D134+D136+D139+D140+D143+D147</f>
        <v>28553</v>
      </c>
      <c r="E152" s="19">
        <f t="shared" si="39"/>
        <v>30240</v>
      </c>
      <c r="F152" s="19">
        <f t="shared" si="39"/>
        <v>7565</v>
      </c>
      <c r="G152" s="19">
        <f t="shared" si="39"/>
        <v>8120</v>
      </c>
      <c r="H152" s="19">
        <f t="shared" si="39"/>
        <v>1860</v>
      </c>
      <c r="I152" s="59">
        <f t="shared" si="39"/>
        <v>1860</v>
      </c>
      <c r="J152" s="59">
        <f t="shared" si="39"/>
        <v>10482</v>
      </c>
      <c r="K152" s="59">
        <f t="shared" si="39"/>
        <v>10480</v>
      </c>
      <c r="L152" s="59">
        <f t="shared" si="39"/>
        <v>7126</v>
      </c>
      <c r="M152" s="59">
        <f t="shared" si="39"/>
        <v>8780</v>
      </c>
      <c r="N152" s="59">
        <f t="shared" si="39"/>
        <v>0</v>
      </c>
      <c r="O152" s="59">
        <f t="shared" si="39"/>
        <v>0</v>
      </c>
      <c r="P152" s="59">
        <f t="shared" si="39"/>
        <v>960</v>
      </c>
      <c r="Q152" s="59">
        <f t="shared" si="39"/>
        <v>1000</v>
      </c>
      <c r="R152" s="59">
        <f>R130+R134+R136+R139+R140+R143+R147</f>
        <v>560</v>
      </c>
      <c r="S152" s="71"/>
      <c r="T152" s="59"/>
      <c r="U152" s="71"/>
    </row>
    <row r="153" spans="1:21" s="3" customFormat="1" ht="14.1" customHeight="1" x14ac:dyDescent="0.25">
      <c r="A153" s="7" t="s">
        <v>148</v>
      </c>
      <c r="B153" s="7" t="s">
        <v>149</v>
      </c>
      <c r="C153" s="8" t="s">
        <v>150</v>
      </c>
      <c r="D153" s="9">
        <f>F153+H153+J153+L153+N153+P153+R153</f>
        <v>1700</v>
      </c>
      <c r="E153" s="9">
        <f>G153+I153+K153+M153+O153+Q153+S153</f>
        <v>2000</v>
      </c>
      <c r="F153" s="10">
        <f>SUM(F154:F155)</f>
        <v>1000</v>
      </c>
      <c r="G153" s="10">
        <f t="shared" ref="G153:Q153" si="40">SUM(G154:G155)</f>
        <v>1200</v>
      </c>
      <c r="H153" s="10">
        <f t="shared" si="40"/>
        <v>650</v>
      </c>
      <c r="I153" s="52">
        <f t="shared" si="40"/>
        <v>600</v>
      </c>
      <c r="J153" s="52">
        <f t="shared" si="40"/>
        <v>0</v>
      </c>
      <c r="K153" s="52">
        <f t="shared" si="40"/>
        <v>0</v>
      </c>
      <c r="L153" s="52">
        <f t="shared" si="40"/>
        <v>50</v>
      </c>
      <c r="M153" s="52">
        <f t="shared" si="40"/>
        <v>200</v>
      </c>
      <c r="N153" s="52">
        <f t="shared" si="40"/>
        <v>0</v>
      </c>
      <c r="O153" s="52">
        <f t="shared" si="40"/>
        <v>0</v>
      </c>
      <c r="P153" s="52">
        <f t="shared" si="40"/>
        <v>0</v>
      </c>
      <c r="Q153" s="52">
        <f t="shared" si="40"/>
        <v>0</v>
      </c>
      <c r="R153" s="52">
        <f t="shared" ref="R153" si="41">SUM(R154:R155)</f>
        <v>0</v>
      </c>
      <c r="S153" s="65"/>
      <c r="T153" s="52"/>
      <c r="U153" s="65"/>
    </row>
    <row r="154" spans="1:21" ht="14.1" customHeight="1" x14ac:dyDescent="0.25">
      <c r="A154" s="24"/>
      <c r="B154" s="24"/>
      <c r="C154" s="25" t="s">
        <v>151</v>
      </c>
      <c r="D154" s="26"/>
      <c r="E154" s="26"/>
      <c r="F154" s="26">
        <v>1000</v>
      </c>
      <c r="G154" s="26">
        <v>1200</v>
      </c>
      <c r="H154" s="26">
        <v>650</v>
      </c>
      <c r="I154" s="58">
        <v>600</v>
      </c>
      <c r="J154" s="63"/>
      <c r="K154" s="78"/>
      <c r="L154" s="63">
        <v>50</v>
      </c>
      <c r="M154" s="78">
        <v>200</v>
      </c>
      <c r="N154" s="63"/>
      <c r="O154" s="63"/>
      <c r="P154" s="63"/>
      <c r="Q154" s="63"/>
      <c r="R154" s="63"/>
      <c r="S154" s="63"/>
      <c r="T154" s="63"/>
      <c r="U154" s="63"/>
    </row>
    <row r="155" spans="1:21" ht="14.1" customHeight="1" x14ac:dyDescent="0.25">
      <c r="A155" s="24"/>
      <c r="B155" s="24"/>
      <c r="C155" s="25" t="s">
        <v>152</v>
      </c>
      <c r="D155" s="26"/>
      <c r="E155" s="26"/>
      <c r="F155" s="26"/>
      <c r="G155" s="26"/>
      <c r="H155" s="26"/>
      <c r="I155" s="58"/>
      <c r="J155" s="63"/>
      <c r="K155" s="78"/>
      <c r="L155" s="63"/>
      <c r="M155" s="78"/>
      <c r="N155" s="63"/>
      <c r="O155" s="63"/>
      <c r="P155" s="63"/>
      <c r="Q155" s="63"/>
      <c r="R155" s="63"/>
      <c r="S155" s="63"/>
      <c r="T155" s="63"/>
      <c r="U155" s="63"/>
    </row>
    <row r="156" spans="1:21" s="3" customFormat="1" ht="14.1" customHeight="1" x14ac:dyDescent="0.25">
      <c r="A156" s="7" t="s">
        <v>153</v>
      </c>
      <c r="B156" s="7" t="s">
        <v>154</v>
      </c>
      <c r="C156" s="8" t="s">
        <v>155</v>
      </c>
      <c r="D156" s="9">
        <f>F156+H156+J156+L156+N156+P156+R156</f>
        <v>0</v>
      </c>
      <c r="E156" s="9">
        <f>G156+I156+K156+M156+O156+Q156+S156</f>
        <v>0</v>
      </c>
      <c r="F156" s="10">
        <v>0</v>
      </c>
      <c r="G156" s="10">
        <v>0</v>
      </c>
      <c r="H156" s="10">
        <v>0</v>
      </c>
      <c r="I156" s="52">
        <v>0</v>
      </c>
      <c r="J156" s="52">
        <v>0</v>
      </c>
      <c r="K156" s="80"/>
      <c r="L156" s="65">
        <v>0</v>
      </c>
      <c r="M156" s="80">
        <v>0</v>
      </c>
      <c r="N156" s="65">
        <v>0</v>
      </c>
      <c r="O156" s="65"/>
      <c r="P156" s="65">
        <v>0</v>
      </c>
      <c r="Q156" s="65">
        <v>0</v>
      </c>
      <c r="R156" s="65">
        <v>0</v>
      </c>
      <c r="S156" s="65"/>
      <c r="T156" s="65"/>
      <c r="U156" s="65"/>
    </row>
    <row r="157" spans="1:21" s="3" customFormat="1" ht="14.1" customHeight="1" x14ac:dyDescent="0.25">
      <c r="A157" s="16" t="s">
        <v>156</v>
      </c>
      <c r="B157" s="16" t="s">
        <v>157</v>
      </c>
      <c r="C157" s="17" t="s">
        <v>158</v>
      </c>
      <c r="D157" s="19">
        <f>D153+D156</f>
        <v>1700</v>
      </c>
      <c r="E157" s="19">
        <f t="shared" ref="E157:Q157" si="42">E153+E156</f>
        <v>2000</v>
      </c>
      <c r="F157" s="19">
        <f t="shared" si="42"/>
        <v>1000</v>
      </c>
      <c r="G157" s="19">
        <f t="shared" si="42"/>
        <v>1200</v>
      </c>
      <c r="H157" s="19">
        <f t="shared" si="42"/>
        <v>650</v>
      </c>
      <c r="I157" s="59">
        <f t="shared" si="42"/>
        <v>600</v>
      </c>
      <c r="J157" s="59">
        <f t="shared" si="42"/>
        <v>0</v>
      </c>
      <c r="K157" s="59">
        <f t="shared" si="42"/>
        <v>0</v>
      </c>
      <c r="L157" s="59">
        <f t="shared" si="42"/>
        <v>50</v>
      </c>
      <c r="M157" s="59">
        <f t="shared" si="42"/>
        <v>200</v>
      </c>
      <c r="N157" s="59">
        <f t="shared" si="42"/>
        <v>0</v>
      </c>
      <c r="O157" s="59">
        <f t="shared" si="42"/>
        <v>0</v>
      </c>
      <c r="P157" s="59">
        <f t="shared" si="42"/>
        <v>0</v>
      </c>
      <c r="Q157" s="59">
        <f t="shared" si="42"/>
        <v>0</v>
      </c>
      <c r="R157" s="59">
        <f t="shared" ref="R157" si="43">R153+R156</f>
        <v>0</v>
      </c>
      <c r="S157" s="71"/>
      <c r="T157" s="59"/>
      <c r="U157" s="71"/>
    </row>
    <row r="158" spans="1:21" s="3" customFormat="1" ht="14.1" customHeight="1" x14ac:dyDescent="0.25">
      <c r="A158" s="7" t="s">
        <v>159</v>
      </c>
      <c r="B158" s="7" t="s">
        <v>160</v>
      </c>
      <c r="C158" s="8" t="s">
        <v>161</v>
      </c>
      <c r="D158" s="9">
        <f>F158+H158+J158+L158+N158+P158+R158</f>
        <v>10941</v>
      </c>
      <c r="E158" s="9">
        <f>G158+I158+K158+M158+O158+Q158+S158</f>
        <v>7942</v>
      </c>
      <c r="F158" s="10">
        <f>SUM(F159:F160)</f>
        <v>3100</v>
      </c>
      <c r="G158" s="10">
        <f t="shared" ref="G158:Q158" si="44">SUM(G159:G160)</f>
        <v>3015</v>
      </c>
      <c r="H158" s="10">
        <f t="shared" si="44"/>
        <v>841</v>
      </c>
      <c r="I158" s="52">
        <f t="shared" si="44"/>
        <v>675</v>
      </c>
      <c r="J158" s="52">
        <f t="shared" si="44"/>
        <v>3006</v>
      </c>
      <c r="K158" s="52">
        <f t="shared" si="44"/>
        <v>2965</v>
      </c>
      <c r="L158" s="52">
        <f t="shared" si="44"/>
        <v>2657</v>
      </c>
      <c r="M158" s="80"/>
      <c r="N158" s="52">
        <f t="shared" si="44"/>
        <v>1187</v>
      </c>
      <c r="O158" s="52">
        <f t="shared" si="44"/>
        <v>1287</v>
      </c>
      <c r="P158" s="52">
        <f t="shared" si="44"/>
        <v>0</v>
      </c>
      <c r="Q158" s="52">
        <f t="shared" si="44"/>
        <v>0</v>
      </c>
      <c r="R158" s="52">
        <f t="shared" ref="R158" si="45">SUM(R159:R160)</f>
        <v>150</v>
      </c>
      <c r="S158" s="65"/>
      <c r="T158" s="52"/>
      <c r="U158" s="65"/>
    </row>
    <row r="159" spans="1:21" ht="14.1" customHeight="1" x14ac:dyDescent="0.25">
      <c r="A159" s="24"/>
      <c r="B159" s="24"/>
      <c r="C159" s="25" t="s">
        <v>162</v>
      </c>
      <c r="D159" s="26"/>
      <c r="E159" s="26"/>
      <c r="F159" s="26"/>
      <c r="G159" s="26"/>
      <c r="H159" s="26"/>
      <c r="I159" s="58"/>
      <c r="J159" s="63"/>
      <c r="K159" s="78"/>
      <c r="L159" s="63"/>
      <c r="M159" s="78"/>
      <c r="N159" s="63"/>
      <c r="O159" s="63"/>
      <c r="P159" s="63"/>
      <c r="Q159" s="63"/>
      <c r="R159" s="63"/>
      <c r="S159" s="63"/>
      <c r="T159" s="63"/>
      <c r="U159" s="63"/>
    </row>
    <row r="160" spans="1:21" ht="14.1" customHeight="1" x14ac:dyDescent="0.25">
      <c r="A160" s="24"/>
      <c r="B160" s="24"/>
      <c r="C160" s="25" t="s">
        <v>163</v>
      </c>
      <c r="D160" s="26"/>
      <c r="E160" s="26"/>
      <c r="F160" s="26">
        <v>3100</v>
      </c>
      <c r="G160" s="26">
        <f>ROUND((G118+G129+G152+G156)*0.27,0)</f>
        <v>3015</v>
      </c>
      <c r="H160" s="26">
        <v>841</v>
      </c>
      <c r="I160" s="58">
        <f>ROUND((I118+I129+I152+I156)*0.27,0)</f>
        <v>675</v>
      </c>
      <c r="J160" s="63">
        <v>3006</v>
      </c>
      <c r="K160" s="58">
        <f>ROUND((K118+K129+K152+K156)*0.27,0)</f>
        <v>2965</v>
      </c>
      <c r="L160" s="63">
        <v>2657</v>
      </c>
      <c r="M160" s="58"/>
      <c r="N160" s="63">
        <v>1187</v>
      </c>
      <c r="O160" s="58">
        <f>ROUND((O118+O129+O152+O156)*0.2,0)</f>
        <v>1287</v>
      </c>
      <c r="P160" s="63"/>
      <c r="Q160" s="63">
        <v>0</v>
      </c>
      <c r="R160" s="63">
        <v>150</v>
      </c>
      <c r="S160" s="63"/>
      <c r="T160" s="63"/>
      <c r="U160" s="63"/>
    </row>
    <row r="161" spans="1:21" s="3" customFormat="1" ht="14.1" customHeight="1" x14ac:dyDescent="0.25">
      <c r="A161" s="7" t="s">
        <v>164</v>
      </c>
      <c r="B161" s="7" t="s">
        <v>165</v>
      </c>
      <c r="C161" s="8" t="s">
        <v>166</v>
      </c>
      <c r="D161" s="9">
        <f>F161+H161+J161+L161+N161+P161+R161</f>
        <v>0</v>
      </c>
      <c r="E161" s="9">
        <f>G161+I161+K161+M161+O161+Q161+S161</f>
        <v>0</v>
      </c>
      <c r="F161" s="10">
        <f>SUM(F162:F164)</f>
        <v>0</v>
      </c>
      <c r="G161" s="10">
        <f t="shared" ref="G161:P161" si="46">SUM(G162:G164)</f>
        <v>0</v>
      </c>
      <c r="H161" s="10">
        <f t="shared" si="46"/>
        <v>0</v>
      </c>
      <c r="I161" s="52">
        <f t="shared" si="46"/>
        <v>0</v>
      </c>
      <c r="J161" s="52">
        <f t="shared" si="46"/>
        <v>0</v>
      </c>
      <c r="K161" s="52">
        <f t="shared" si="46"/>
        <v>0</v>
      </c>
      <c r="L161" s="52">
        <f t="shared" si="46"/>
        <v>0</v>
      </c>
      <c r="M161" s="52">
        <f t="shared" si="46"/>
        <v>0</v>
      </c>
      <c r="N161" s="52">
        <f t="shared" si="46"/>
        <v>0</v>
      </c>
      <c r="O161" s="52">
        <f t="shared" si="46"/>
        <v>0</v>
      </c>
      <c r="P161" s="52">
        <f t="shared" si="46"/>
        <v>0</v>
      </c>
      <c r="Q161" s="65">
        <v>0</v>
      </c>
      <c r="R161" s="52">
        <f t="shared" ref="R161" si="47">SUM(R162:R164)</f>
        <v>0</v>
      </c>
      <c r="S161" s="65"/>
      <c r="T161" s="52"/>
      <c r="U161" s="65"/>
    </row>
    <row r="162" spans="1:21" ht="14.1" customHeight="1" x14ac:dyDescent="0.25">
      <c r="A162" s="24"/>
      <c r="B162" s="24"/>
      <c r="C162" s="25" t="s">
        <v>167</v>
      </c>
      <c r="D162" s="26"/>
      <c r="E162" s="26"/>
      <c r="F162" s="26"/>
      <c r="G162" s="26"/>
      <c r="H162" s="26"/>
      <c r="I162" s="58"/>
      <c r="J162" s="63"/>
      <c r="K162" s="78"/>
      <c r="L162" s="63"/>
      <c r="M162" s="78"/>
      <c r="N162" s="63"/>
      <c r="O162" s="63"/>
      <c r="P162" s="63"/>
      <c r="Q162" s="63"/>
      <c r="R162" s="63"/>
      <c r="S162" s="63"/>
      <c r="T162" s="63"/>
      <c r="U162" s="63"/>
    </row>
    <row r="163" spans="1:21" ht="14.1" customHeight="1" x14ac:dyDescent="0.25">
      <c r="A163" s="24"/>
      <c r="B163" s="24"/>
      <c r="C163" s="25" t="s">
        <v>168</v>
      </c>
      <c r="D163" s="26"/>
      <c r="E163" s="26"/>
      <c r="F163" s="26"/>
      <c r="G163" s="26"/>
      <c r="H163" s="26"/>
      <c r="I163" s="58"/>
      <c r="J163" s="63"/>
      <c r="K163" s="78"/>
      <c r="L163" s="63"/>
      <c r="M163" s="78"/>
      <c r="N163" s="63"/>
      <c r="O163" s="63"/>
      <c r="P163" s="63"/>
      <c r="Q163" s="63"/>
      <c r="R163" s="63"/>
      <c r="S163" s="63"/>
      <c r="T163" s="63"/>
      <c r="U163" s="63"/>
    </row>
    <row r="164" spans="1:21" ht="14.1" customHeight="1" x14ac:dyDescent="0.25">
      <c r="A164" s="24"/>
      <c r="B164" s="24"/>
      <c r="C164" s="25" t="s">
        <v>169</v>
      </c>
      <c r="D164" s="26"/>
      <c r="E164" s="26"/>
      <c r="F164" s="26"/>
      <c r="G164" s="26"/>
      <c r="H164" s="26"/>
      <c r="I164" s="58"/>
      <c r="J164" s="63"/>
      <c r="K164" s="78"/>
      <c r="L164" s="63"/>
      <c r="M164" s="78"/>
      <c r="N164" s="63"/>
      <c r="O164" s="63"/>
      <c r="P164" s="63"/>
      <c r="Q164" s="63"/>
      <c r="R164" s="63"/>
      <c r="S164" s="63"/>
      <c r="T164" s="63"/>
      <c r="U164" s="63"/>
    </row>
    <row r="165" spans="1:21" s="3" customFormat="1" ht="14.1" customHeight="1" x14ac:dyDescent="0.25">
      <c r="A165" s="7" t="s">
        <v>170</v>
      </c>
      <c r="B165" s="7" t="s">
        <v>171</v>
      </c>
      <c r="C165" s="8" t="s">
        <v>172</v>
      </c>
      <c r="D165" s="9">
        <f>F165+H165+J165+L165+N165+P165+R165</f>
        <v>0</v>
      </c>
      <c r="E165" s="9">
        <f>G165+I165+K165+M165+O165+Q165+S165</f>
        <v>0</v>
      </c>
      <c r="F165" s="10">
        <f>SUM(F166:F169)</f>
        <v>0</v>
      </c>
      <c r="G165" s="10">
        <f t="shared" ref="G165:P165" si="48">SUM(G166:G169)</f>
        <v>0</v>
      </c>
      <c r="H165" s="10">
        <f t="shared" si="48"/>
        <v>0</v>
      </c>
      <c r="I165" s="52">
        <f t="shared" si="48"/>
        <v>0</v>
      </c>
      <c r="J165" s="52">
        <f t="shared" si="48"/>
        <v>0</v>
      </c>
      <c r="K165" s="52">
        <f t="shared" si="48"/>
        <v>0</v>
      </c>
      <c r="L165" s="52">
        <f t="shared" si="48"/>
        <v>0</v>
      </c>
      <c r="M165" s="52">
        <f t="shared" si="48"/>
        <v>0</v>
      </c>
      <c r="N165" s="52">
        <f t="shared" si="48"/>
        <v>0</v>
      </c>
      <c r="O165" s="52">
        <f t="shared" si="48"/>
        <v>0</v>
      </c>
      <c r="P165" s="52">
        <f t="shared" si="48"/>
        <v>0</v>
      </c>
      <c r="Q165" s="65">
        <v>0</v>
      </c>
      <c r="R165" s="52">
        <f t="shared" ref="R165" si="49">SUM(R166:R169)</f>
        <v>0</v>
      </c>
      <c r="S165" s="65"/>
      <c r="T165" s="52"/>
      <c r="U165" s="65"/>
    </row>
    <row r="166" spans="1:21" ht="14.1" customHeight="1" x14ac:dyDescent="0.25">
      <c r="A166" s="24"/>
      <c r="B166" s="24"/>
      <c r="C166" s="25" t="s">
        <v>173</v>
      </c>
      <c r="D166" s="26"/>
      <c r="E166" s="26"/>
      <c r="F166" s="26"/>
      <c r="G166" s="26"/>
      <c r="H166" s="26"/>
      <c r="I166" s="58"/>
      <c r="J166" s="63"/>
      <c r="K166" s="78"/>
      <c r="L166" s="63"/>
      <c r="M166" s="78"/>
      <c r="N166" s="63"/>
      <c r="O166" s="63"/>
      <c r="P166" s="63"/>
      <c r="Q166" s="63"/>
      <c r="R166" s="63"/>
      <c r="S166" s="63"/>
      <c r="T166" s="63"/>
      <c r="U166" s="63"/>
    </row>
    <row r="167" spans="1:21" ht="14.1" customHeight="1" x14ac:dyDescent="0.25">
      <c r="A167" s="24"/>
      <c r="B167" s="24"/>
      <c r="C167" s="25" t="s">
        <v>174</v>
      </c>
      <c r="D167" s="26"/>
      <c r="E167" s="26"/>
      <c r="F167" s="26"/>
      <c r="G167" s="26"/>
      <c r="H167" s="26"/>
      <c r="I167" s="58"/>
      <c r="J167" s="63"/>
      <c r="K167" s="78"/>
      <c r="L167" s="63"/>
      <c r="M167" s="78"/>
      <c r="N167" s="63"/>
      <c r="O167" s="63"/>
      <c r="P167" s="63"/>
      <c r="Q167" s="63"/>
      <c r="R167" s="63"/>
      <c r="S167" s="63"/>
      <c r="T167" s="63"/>
      <c r="U167" s="63"/>
    </row>
    <row r="168" spans="1:21" ht="14.1" customHeight="1" x14ac:dyDescent="0.25">
      <c r="A168" s="24"/>
      <c r="B168" s="24"/>
      <c r="C168" s="25" t="s">
        <v>175</v>
      </c>
      <c r="D168" s="26"/>
      <c r="E168" s="26"/>
      <c r="F168" s="26"/>
      <c r="G168" s="26"/>
      <c r="H168" s="26"/>
      <c r="I168" s="58"/>
      <c r="J168" s="63"/>
      <c r="K168" s="78"/>
      <c r="L168" s="63"/>
      <c r="M168" s="78"/>
      <c r="N168" s="63"/>
      <c r="O168" s="63"/>
      <c r="P168" s="63"/>
      <c r="Q168" s="63"/>
      <c r="R168" s="63"/>
      <c r="S168" s="63"/>
      <c r="T168" s="63"/>
      <c r="U168" s="63"/>
    </row>
    <row r="169" spans="1:21" ht="14.1" customHeight="1" x14ac:dyDescent="0.25">
      <c r="A169" s="24"/>
      <c r="B169" s="24"/>
      <c r="C169" s="25" t="s">
        <v>176</v>
      </c>
      <c r="D169" s="26"/>
      <c r="E169" s="26"/>
      <c r="F169" s="26"/>
      <c r="G169" s="26"/>
      <c r="H169" s="26"/>
      <c r="I169" s="58"/>
      <c r="J169" s="63"/>
      <c r="K169" s="78"/>
      <c r="L169" s="63"/>
      <c r="M169" s="78"/>
      <c r="N169" s="63"/>
      <c r="O169" s="63"/>
      <c r="P169" s="63"/>
      <c r="Q169" s="63"/>
      <c r="R169" s="63"/>
      <c r="S169" s="63"/>
      <c r="T169" s="63"/>
      <c r="U169" s="63"/>
    </row>
    <row r="170" spans="1:21" s="3" customFormat="1" ht="14.1" customHeight="1" x14ac:dyDescent="0.25">
      <c r="A170" s="7" t="s">
        <v>177</v>
      </c>
      <c r="B170" s="7" t="s">
        <v>178</v>
      </c>
      <c r="C170" s="8" t="s">
        <v>179</v>
      </c>
      <c r="D170" s="9">
        <f>F170+H170+J170+L170+N170+P170+R170</f>
        <v>0</v>
      </c>
      <c r="E170" s="9">
        <f>G170+I170+K170+M170+O170+Q170+S170</f>
        <v>0</v>
      </c>
      <c r="F170" s="10">
        <f>SUM(F171:F172)</f>
        <v>0</v>
      </c>
      <c r="G170" s="10">
        <f t="shared" ref="G170:P170" si="50">SUM(G171:G172)</f>
        <v>0</v>
      </c>
      <c r="H170" s="10">
        <f t="shared" si="50"/>
        <v>0</v>
      </c>
      <c r="I170" s="52">
        <f t="shared" si="50"/>
        <v>0</v>
      </c>
      <c r="J170" s="52">
        <f t="shared" si="50"/>
        <v>0</v>
      </c>
      <c r="K170" s="52">
        <f t="shared" si="50"/>
        <v>0</v>
      </c>
      <c r="L170" s="52">
        <f t="shared" si="50"/>
        <v>0</v>
      </c>
      <c r="M170" s="52">
        <f t="shared" si="50"/>
        <v>0</v>
      </c>
      <c r="N170" s="52">
        <f t="shared" si="50"/>
        <v>0</v>
      </c>
      <c r="O170" s="52">
        <f t="shared" si="50"/>
        <v>0</v>
      </c>
      <c r="P170" s="52">
        <f t="shared" si="50"/>
        <v>0</v>
      </c>
      <c r="Q170" s="65">
        <v>0</v>
      </c>
      <c r="R170" s="52">
        <f t="shared" ref="R170" si="51">SUM(R171:R172)</f>
        <v>0</v>
      </c>
      <c r="S170" s="65"/>
      <c r="T170" s="52"/>
      <c r="U170" s="65"/>
    </row>
    <row r="171" spans="1:21" ht="14.1" customHeight="1" x14ac:dyDescent="0.25">
      <c r="A171" s="24"/>
      <c r="B171" s="24"/>
      <c r="C171" s="25" t="s">
        <v>180</v>
      </c>
      <c r="D171" s="26"/>
      <c r="E171" s="26"/>
      <c r="F171" s="26"/>
      <c r="G171" s="26"/>
      <c r="H171" s="26"/>
      <c r="I171" s="58"/>
      <c r="J171" s="63"/>
      <c r="K171" s="78"/>
      <c r="L171" s="63"/>
      <c r="M171" s="78"/>
      <c r="N171" s="63"/>
      <c r="O171" s="63"/>
      <c r="P171" s="63"/>
      <c r="Q171" s="63"/>
      <c r="R171" s="63"/>
      <c r="S171" s="63"/>
      <c r="T171" s="63"/>
      <c r="U171" s="63"/>
    </row>
    <row r="172" spans="1:21" ht="14.1" customHeight="1" x14ac:dyDescent="0.25">
      <c r="A172" s="24"/>
      <c r="B172" s="24"/>
      <c r="C172" s="25" t="s">
        <v>181</v>
      </c>
      <c r="D172" s="26"/>
      <c r="E172" s="26"/>
      <c r="F172" s="26"/>
      <c r="G172" s="26"/>
      <c r="H172" s="26"/>
      <c r="I172" s="58"/>
      <c r="J172" s="63"/>
      <c r="K172" s="78"/>
      <c r="L172" s="63"/>
      <c r="M172" s="78"/>
      <c r="N172" s="63"/>
      <c r="O172" s="63"/>
      <c r="P172" s="63"/>
      <c r="Q172" s="63"/>
      <c r="R172" s="63"/>
      <c r="S172" s="63"/>
      <c r="T172" s="63"/>
      <c r="U172" s="63"/>
    </row>
    <row r="173" spans="1:21" s="3" customFormat="1" ht="14.1" customHeight="1" x14ac:dyDescent="0.25">
      <c r="A173" s="7" t="s">
        <v>182</v>
      </c>
      <c r="B173" s="7" t="s">
        <v>183</v>
      </c>
      <c r="C173" s="8" t="s">
        <v>184</v>
      </c>
      <c r="D173" s="9">
        <f>F173+H173+J173+L173+N173+P173+R173</f>
        <v>50</v>
      </c>
      <c r="E173" s="9">
        <f>G173+I173+K173+M173+O173+Q173+S173</f>
        <v>800</v>
      </c>
      <c r="F173" s="10">
        <f>SUM(F174:F177)</f>
        <v>30</v>
      </c>
      <c r="G173" s="10">
        <f t="shared" ref="G173:P173" si="52">SUM(G174:G177)</f>
        <v>200</v>
      </c>
      <c r="H173" s="10">
        <f t="shared" si="52"/>
        <v>0</v>
      </c>
      <c r="I173" s="52">
        <f t="shared" si="52"/>
        <v>100</v>
      </c>
      <c r="J173" s="52">
        <f t="shared" si="52"/>
        <v>20</v>
      </c>
      <c r="K173" s="52">
        <f t="shared" si="52"/>
        <v>100</v>
      </c>
      <c r="L173" s="52">
        <f t="shared" si="52"/>
        <v>0</v>
      </c>
      <c r="M173" s="52">
        <f t="shared" si="52"/>
        <v>200</v>
      </c>
      <c r="N173" s="52">
        <f t="shared" si="52"/>
        <v>0</v>
      </c>
      <c r="O173" s="52">
        <f t="shared" si="52"/>
        <v>200</v>
      </c>
      <c r="P173" s="52">
        <f t="shared" si="52"/>
        <v>0</v>
      </c>
      <c r="Q173" s="65">
        <v>0</v>
      </c>
      <c r="R173" s="52">
        <f t="shared" ref="R173" si="53">SUM(R174:R177)</f>
        <v>0</v>
      </c>
      <c r="S173" s="65"/>
      <c r="T173" s="52"/>
      <c r="U173" s="65"/>
    </row>
    <row r="174" spans="1:21" ht="14.1" customHeight="1" x14ac:dyDescent="0.25">
      <c r="A174" s="24"/>
      <c r="B174" s="24"/>
      <c r="C174" s="25" t="s">
        <v>185</v>
      </c>
      <c r="D174" s="26"/>
      <c r="E174" s="26"/>
      <c r="F174" s="26"/>
      <c r="G174" s="26"/>
      <c r="H174" s="26"/>
      <c r="I174" s="58"/>
      <c r="J174" s="63"/>
      <c r="K174" s="78"/>
      <c r="L174" s="63"/>
      <c r="M174" s="78"/>
      <c r="N174" s="63"/>
      <c r="O174" s="63"/>
      <c r="P174" s="63"/>
      <c r="Q174" s="63"/>
      <c r="R174" s="63"/>
      <c r="S174" s="63"/>
      <c r="T174" s="63"/>
      <c r="U174" s="63"/>
    </row>
    <row r="175" spans="1:21" ht="14.1" customHeight="1" x14ac:dyDescent="0.25">
      <c r="A175" s="24"/>
      <c r="B175" s="24"/>
      <c r="C175" s="25" t="s">
        <v>186</v>
      </c>
      <c r="D175" s="26"/>
      <c r="E175" s="26"/>
      <c r="F175" s="26"/>
      <c r="G175" s="26"/>
      <c r="H175" s="26"/>
      <c r="I175" s="58"/>
      <c r="J175" s="63">
        <v>20</v>
      </c>
      <c r="K175" s="78"/>
      <c r="L175" s="63"/>
      <c r="M175" s="78"/>
      <c r="N175" s="63"/>
      <c r="O175" s="63"/>
      <c r="P175" s="63"/>
      <c r="Q175" s="63"/>
      <c r="R175" s="63"/>
      <c r="S175" s="63"/>
      <c r="T175" s="63"/>
      <c r="U175" s="63"/>
    </row>
    <row r="176" spans="1:21" ht="14.1" customHeight="1" x14ac:dyDescent="0.25">
      <c r="A176" s="24"/>
      <c r="B176" s="24"/>
      <c r="C176" s="25" t="s">
        <v>187</v>
      </c>
      <c r="D176" s="26"/>
      <c r="E176" s="26"/>
      <c r="F176" s="26"/>
      <c r="G176" s="26"/>
      <c r="H176" s="26"/>
      <c r="I176" s="58"/>
      <c r="J176" s="63"/>
      <c r="K176" s="78"/>
      <c r="L176" s="63"/>
      <c r="M176" s="78"/>
      <c r="N176" s="63"/>
      <c r="O176" s="63"/>
      <c r="P176" s="63"/>
      <c r="Q176" s="63"/>
      <c r="R176" s="63"/>
      <c r="S176" s="63"/>
      <c r="T176" s="63"/>
      <c r="U176" s="63"/>
    </row>
    <row r="177" spans="1:264" ht="14.1" customHeight="1" x14ac:dyDescent="0.25">
      <c r="A177" s="24"/>
      <c r="B177" s="24"/>
      <c r="C177" s="25" t="s">
        <v>188</v>
      </c>
      <c r="D177" s="26"/>
      <c r="E177" s="26"/>
      <c r="F177" s="26">
        <v>30</v>
      </c>
      <c r="G177" s="26">
        <v>200</v>
      </c>
      <c r="H177" s="26"/>
      <c r="I177" s="58">
        <v>100</v>
      </c>
      <c r="J177" s="63"/>
      <c r="K177" s="78">
        <v>100</v>
      </c>
      <c r="L177" s="63"/>
      <c r="M177" s="78">
        <v>200</v>
      </c>
      <c r="N177" s="63"/>
      <c r="O177" s="63">
        <v>200</v>
      </c>
      <c r="P177" s="63"/>
      <c r="Q177" s="63"/>
      <c r="R177" s="63"/>
      <c r="S177" s="63"/>
      <c r="T177" s="63"/>
      <c r="U177" s="63"/>
    </row>
    <row r="178" spans="1:264" s="3" customFormat="1" ht="14.1" customHeight="1" x14ac:dyDescent="0.25">
      <c r="A178" s="16" t="s">
        <v>189</v>
      </c>
      <c r="B178" s="16" t="s">
        <v>190</v>
      </c>
      <c r="C178" s="17" t="s">
        <v>191</v>
      </c>
      <c r="D178" s="19">
        <f>D158+D161+D165+D170+D173</f>
        <v>10991</v>
      </c>
      <c r="E178" s="19">
        <f t="shared" ref="E178:Q178" si="54">E158+E161+E165+E170+E173</f>
        <v>8742</v>
      </c>
      <c r="F178" s="19">
        <f t="shared" si="54"/>
        <v>3130</v>
      </c>
      <c r="G178" s="19">
        <f t="shared" si="54"/>
        <v>3215</v>
      </c>
      <c r="H178" s="19">
        <f t="shared" si="54"/>
        <v>841</v>
      </c>
      <c r="I178" s="59">
        <f t="shared" si="54"/>
        <v>775</v>
      </c>
      <c r="J178" s="59">
        <f t="shared" si="54"/>
        <v>3026</v>
      </c>
      <c r="K178" s="59">
        <f t="shared" si="54"/>
        <v>3065</v>
      </c>
      <c r="L178" s="59">
        <f t="shared" si="54"/>
        <v>2657</v>
      </c>
      <c r="M178" s="59">
        <f t="shared" si="54"/>
        <v>200</v>
      </c>
      <c r="N178" s="59">
        <f t="shared" si="54"/>
        <v>1187</v>
      </c>
      <c r="O178" s="59">
        <f t="shared" ref="O178" si="55">O158+O161+O165+O170+O173</f>
        <v>1487</v>
      </c>
      <c r="P178" s="59">
        <f t="shared" si="54"/>
        <v>0</v>
      </c>
      <c r="Q178" s="59">
        <f t="shared" si="54"/>
        <v>0</v>
      </c>
      <c r="R178" s="59">
        <f t="shared" ref="R178" si="56">R158+R161+R165+R170+R173</f>
        <v>150</v>
      </c>
      <c r="S178" s="71"/>
      <c r="T178" s="59"/>
      <c r="U178" s="71"/>
    </row>
    <row r="179" spans="1:264" s="3" customFormat="1" ht="14.1" customHeight="1" x14ac:dyDescent="0.25">
      <c r="A179" s="20" t="s">
        <v>192</v>
      </c>
      <c r="B179" s="20" t="s">
        <v>193</v>
      </c>
      <c r="C179" s="21" t="s">
        <v>292</v>
      </c>
      <c r="D179" s="23">
        <f t="shared" ref="D179:P179" si="57">D118+D129+D152+D157+D178</f>
        <v>54014</v>
      </c>
      <c r="E179" s="23">
        <f t="shared" si="57"/>
        <v>54468</v>
      </c>
      <c r="F179" s="23">
        <f t="shared" si="57"/>
        <v>14610</v>
      </c>
      <c r="G179" s="23">
        <f t="shared" si="57"/>
        <v>15581</v>
      </c>
      <c r="H179" s="23">
        <f t="shared" si="57"/>
        <v>3956</v>
      </c>
      <c r="I179" s="60">
        <f t="shared" si="57"/>
        <v>3875</v>
      </c>
      <c r="J179" s="60">
        <f t="shared" si="57"/>
        <v>14158</v>
      </c>
      <c r="K179" s="60">
        <f t="shared" si="57"/>
        <v>14045</v>
      </c>
      <c r="L179" s="60">
        <f t="shared" si="57"/>
        <v>12498</v>
      </c>
      <c r="M179" s="60">
        <f t="shared" si="57"/>
        <v>12045</v>
      </c>
      <c r="N179" s="60">
        <f t="shared" si="57"/>
        <v>7122</v>
      </c>
      <c r="O179" s="60">
        <f t="shared" si="57"/>
        <v>7922</v>
      </c>
      <c r="P179" s="60">
        <f t="shared" si="57"/>
        <v>960</v>
      </c>
      <c r="Q179" s="60">
        <f t="shared" ref="Q179" si="58">Q118+Q129+Q152+Q157+Q178</f>
        <v>1000</v>
      </c>
      <c r="R179" s="60">
        <f>R118+R129+R152+R157+R178</f>
        <v>710</v>
      </c>
      <c r="S179" s="72"/>
      <c r="T179" s="60"/>
      <c r="U179" s="72"/>
    </row>
    <row r="180" spans="1:264" ht="14.1" customHeight="1" x14ac:dyDescent="0.2">
      <c r="A180" s="1025" t="s">
        <v>291</v>
      </c>
      <c r="B180" s="1026"/>
      <c r="C180" s="1027"/>
      <c r="D180" s="28">
        <f t="shared" ref="D180:P180" si="59">D92+D179</f>
        <v>189949</v>
      </c>
      <c r="E180" s="28">
        <f t="shared" si="59"/>
        <v>206099</v>
      </c>
      <c r="F180" s="28">
        <f t="shared" si="59"/>
        <v>62506</v>
      </c>
      <c r="G180" s="28">
        <f t="shared" si="59"/>
        <v>70680</v>
      </c>
      <c r="H180" s="28">
        <f t="shared" si="59"/>
        <v>21616</v>
      </c>
      <c r="I180" s="61">
        <f t="shared" si="59"/>
        <v>23124</v>
      </c>
      <c r="J180" s="61">
        <f t="shared" si="59"/>
        <v>14158</v>
      </c>
      <c r="K180" s="61">
        <f t="shared" si="59"/>
        <v>14045</v>
      </c>
      <c r="L180" s="61">
        <f t="shared" si="59"/>
        <v>82877</v>
      </c>
      <c r="M180" s="61">
        <f t="shared" si="59"/>
        <v>89328</v>
      </c>
      <c r="N180" s="61">
        <f t="shared" si="59"/>
        <v>7122</v>
      </c>
      <c r="O180" s="61">
        <f t="shared" si="59"/>
        <v>7922</v>
      </c>
      <c r="P180" s="61">
        <f t="shared" si="59"/>
        <v>960</v>
      </c>
      <c r="Q180" s="61">
        <f t="shared" ref="Q180" si="60">Q92+Q179</f>
        <v>1000</v>
      </c>
      <c r="R180" s="61">
        <f>R92+R179</f>
        <v>710</v>
      </c>
      <c r="S180" s="73"/>
      <c r="T180" s="61"/>
      <c r="U180" s="73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</row>
    <row r="181" spans="1:264" ht="12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</row>
    <row r="182" spans="1:264" ht="14.1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</row>
    <row r="183" spans="1:264" ht="14.1" customHeight="1" x14ac:dyDescent="0.25">
      <c r="J183" s="51"/>
      <c r="K183" s="51"/>
      <c r="L183" s="51"/>
      <c r="M183" s="51"/>
      <c r="N183" s="51"/>
      <c r="O183" s="51"/>
      <c r="P183" s="51"/>
      <c r="Q183" s="51"/>
      <c r="R183" s="51"/>
      <c r="S183" s="51"/>
    </row>
    <row r="184" spans="1:264" s="1" customFormat="1" ht="12.75" customHeight="1" x14ac:dyDescent="0.25">
      <c r="A184" s="1022" t="s">
        <v>410</v>
      </c>
      <c r="B184" s="1022"/>
      <c r="C184" s="1022"/>
      <c r="D184" s="1022"/>
      <c r="E184" s="1022"/>
      <c r="F184" s="1022"/>
      <c r="G184" s="1022"/>
      <c r="H184" s="1022"/>
      <c r="I184" s="1022"/>
      <c r="J184" s="1022"/>
      <c r="K184" s="1022"/>
      <c r="L184" s="1022" t="s">
        <v>410</v>
      </c>
      <c r="M184" s="1022"/>
      <c r="N184" s="1022"/>
      <c r="O184" s="1022"/>
      <c r="P184" s="1022"/>
      <c r="Q184" s="1022"/>
      <c r="R184" s="1022"/>
      <c r="S184" s="1022"/>
      <c r="T184" s="1022"/>
      <c r="U184" s="1022"/>
    </row>
    <row r="185" spans="1:264" s="1" customFormat="1" ht="14.1" customHeight="1" x14ac:dyDescent="0.25">
      <c r="A185" s="1065" t="s">
        <v>0</v>
      </c>
      <c r="B185" s="1064" t="s">
        <v>1</v>
      </c>
      <c r="C185" s="1065" t="s">
        <v>2</v>
      </c>
      <c r="D185" s="1015" t="s">
        <v>260</v>
      </c>
      <c r="E185" s="1066" t="s">
        <v>259</v>
      </c>
      <c r="F185" s="1062" t="s">
        <v>411</v>
      </c>
      <c r="G185" s="1067"/>
      <c r="H185" s="1062" t="s">
        <v>412</v>
      </c>
      <c r="I185" s="1063"/>
      <c r="J185" s="1070" t="s">
        <v>413</v>
      </c>
      <c r="K185" s="1071"/>
      <c r="L185" s="1070" t="s">
        <v>414</v>
      </c>
      <c r="M185" s="1071"/>
      <c r="N185" s="1070" t="s">
        <v>415</v>
      </c>
      <c r="O185" s="1072"/>
      <c r="P185" s="1068" t="s">
        <v>416</v>
      </c>
      <c r="Q185" s="1069"/>
      <c r="R185" s="1068" t="s">
        <v>417</v>
      </c>
      <c r="S185" s="1069"/>
      <c r="T185" s="1068"/>
      <c r="U185" s="1069"/>
    </row>
    <row r="186" spans="1:264" s="3" customFormat="1" ht="27" customHeight="1" x14ac:dyDescent="0.25">
      <c r="A186" s="1022"/>
      <c r="B186" s="1023"/>
      <c r="C186" s="1022"/>
      <c r="D186" s="1024"/>
      <c r="E186" s="1015"/>
      <c r="F186" s="50" t="s">
        <v>260</v>
      </c>
      <c r="G186" s="50" t="s">
        <v>259</v>
      </c>
      <c r="H186" s="50" t="s">
        <v>260</v>
      </c>
      <c r="I186" s="49" t="s">
        <v>259</v>
      </c>
      <c r="J186" s="50" t="s">
        <v>260</v>
      </c>
      <c r="K186" s="49" t="s">
        <v>259</v>
      </c>
      <c r="L186" s="62" t="s">
        <v>260</v>
      </c>
      <c r="M186" s="77" t="s">
        <v>259</v>
      </c>
      <c r="N186" s="83" t="s">
        <v>260</v>
      </c>
      <c r="O186" s="48" t="s">
        <v>259</v>
      </c>
      <c r="P186" s="84" t="s">
        <v>260</v>
      </c>
      <c r="Q186" s="85" t="s">
        <v>259</v>
      </c>
      <c r="R186" s="84" t="s">
        <v>260</v>
      </c>
      <c r="S186" s="85" t="s">
        <v>259</v>
      </c>
      <c r="T186" s="84"/>
      <c r="U186" s="85"/>
    </row>
    <row r="187" spans="1:264" ht="5.65" customHeight="1" x14ac:dyDescent="0.25">
      <c r="J187" s="63"/>
      <c r="K187" s="78"/>
      <c r="L187" s="63"/>
      <c r="M187" s="78"/>
      <c r="N187" s="63"/>
      <c r="O187" s="63"/>
      <c r="P187" s="63"/>
      <c r="Q187" s="63"/>
      <c r="R187" s="63"/>
      <c r="S187" s="63"/>
      <c r="T187" s="63"/>
      <c r="U187" s="63"/>
    </row>
    <row r="188" spans="1:264" ht="14.1" customHeight="1" x14ac:dyDescent="0.25">
      <c r="A188" s="1021" t="s">
        <v>194</v>
      </c>
      <c r="B188" s="1021"/>
      <c r="C188" s="1021"/>
      <c r="D188" s="1021"/>
      <c r="E188" s="1021"/>
      <c r="F188" s="1021"/>
      <c r="G188" s="1021"/>
      <c r="H188" s="1021"/>
      <c r="I188" s="1021"/>
      <c r="J188" s="64"/>
      <c r="K188" s="79"/>
      <c r="L188" s="64"/>
      <c r="M188" s="79"/>
      <c r="N188" s="64"/>
      <c r="O188" s="64"/>
      <c r="P188" s="64"/>
      <c r="Q188" s="64"/>
      <c r="R188" s="64"/>
      <c r="S188" s="64"/>
      <c r="T188" s="64"/>
      <c r="U188" s="64"/>
    </row>
    <row r="189" spans="1:264" ht="14.1" customHeight="1" x14ac:dyDescent="0.25">
      <c r="A189" s="24" t="s">
        <v>195</v>
      </c>
      <c r="B189" s="24" t="s">
        <v>196</v>
      </c>
      <c r="C189" s="25" t="s">
        <v>197</v>
      </c>
      <c r="D189" s="26">
        <f>F189+H189+J189+L189+N189+P189+R189</f>
        <v>0</v>
      </c>
      <c r="E189" s="26">
        <f>G189+I189+K189+M189+O189+Q189+S189</f>
        <v>0</v>
      </c>
      <c r="F189" s="26"/>
      <c r="G189" s="26"/>
      <c r="H189" s="26"/>
      <c r="I189" s="58"/>
      <c r="J189" s="63"/>
      <c r="K189" s="78"/>
      <c r="L189" s="63"/>
      <c r="M189" s="78"/>
      <c r="N189" s="63"/>
      <c r="O189" s="63"/>
      <c r="P189" s="63"/>
      <c r="Q189" s="63"/>
      <c r="R189" s="63"/>
      <c r="S189" s="63"/>
      <c r="T189" s="63"/>
      <c r="U189" s="63"/>
    </row>
    <row r="190" spans="1:264" ht="14.1" customHeight="1" x14ac:dyDescent="0.25">
      <c r="A190" s="24" t="s">
        <v>198</v>
      </c>
      <c r="B190" s="24" t="s">
        <v>199</v>
      </c>
      <c r="C190" s="25" t="s">
        <v>200</v>
      </c>
      <c r="D190" s="26">
        <f t="shared" ref="D190:E202" si="61">F190+H190+J190+L190+N190+P190+R190</f>
        <v>0</v>
      </c>
      <c r="E190" s="26">
        <f t="shared" si="61"/>
        <v>0</v>
      </c>
      <c r="F190" s="26"/>
      <c r="G190" s="26"/>
      <c r="H190" s="26"/>
      <c r="I190" s="58"/>
      <c r="J190" s="63"/>
      <c r="K190" s="78"/>
      <c r="L190" s="63"/>
      <c r="M190" s="78"/>
      <c r="N190" s="63"/>
      <c r="O190" s="63"/>
      <c r="P190" s="63"/>
      <c r="Q190" s="63"/>
      <c r="R190" s="63"/>
      <c r="S190" s="63"/>
      <c r="T190" s="63"/>
      <c r="U190" s="63"/>
    </row>
    <row r="191" spans="1:264" ht="14.1" customHeight="1" x14ac:dyDescent="0.25">
      <c r="A191" s="24" t="s">
        <v>201</v>
      </c>
      <c r="B191" s="24" t="s">
        <v>202</v>
      </c>
      <c r="C191" s="25" t="s">
        <v>203</v>
      </c>
      <c r="D191" s="26">
        <f t="shared" si="61"/>
        <v>200</v>
      </c>
      <c r="E191" s="26">
        <f t="shared" si="61"/>
        <v>200</v>
      </c>
      <c r="F191" s="26">
        <v>200</v>
      </c>
      <c r="G191" s="26">
        <v>200</v>
      </c>
      <c r="H191" s="26"/>
      <c r="I191" s="58"/>
      <c r="J191" s="63"/>
      <c r="K191" s="78"/>
      <c r="L191" s="63"/>
      <c r="M191" s="78"/>
      <c r="N191" s="63"/>
      <c r="O191" s="63"/>
      <c r="P191" s="63"/>
      <c r="Q191" s="63"/>
      <c r="R191" s="63"/>
      <c r="S191" s="63"/>
      <c r="T191" s="63"/>
      <c r="U191" s="63"/>
    </row>
    <row r="192" spans="1:264" ht="14.1" customHeight="1" x14ac:dyDescent="0.25">
      <c r="A192" s="24" t="s">
        <v>204</v>
      </c>
      <c r="B192" s="24" t="s">
        <v>205</v>
      </c>
      <c r="C192" s="25" t="s">
        <v>206</v>
      </c>
      <c r="D192" s="26">
        <f t="shared" si="61"/>
        <v>350</v>
      </c>
      <c r="E192" s="26">
        <f t="shared" si="61"/>
        <v>350</v>
      </c>
      <c r="F192" s="26">
        <v>100</v>
      </c>
      <c r="G192" s="26">
        <v>100</v>
      </c>
      <c r="H192" s="26">
        <v>100</v>
      </c>
      <c r="I192" s="58">
        <v>100</v>
      </c>
      <c r="J192" s="63"/>
      <c r="K192" s="78"/>
      <c r="L192" s="63">
        <v>150</v>
      </c>
      <c r="M192" s="78">
        <v>150</v>
      </c>
      <c r="N192" s="63"/>
      <c r="O192" s="63"/>
      <c r="P192" s="63"/>
      <c r="Q192" s="63"/>
      <c r="R192" s="63"/>
      <c r="S192" s="63"/>
      <c r="T192" s="63"/>
      <c r="U192" s="63"/>
    </row>
    <row r="193" spans="1:21" ht="14.1" customHeight="1" x14ac:dyDescent="0.25">
      <c r="A193" s="24"/>
      <c r="B193" s="24" t="s">
        <v>207</v>
      </c>
      <c r="C193" s="25" t="s">
        <v>208</v>
      </c>
      <c r="D193" s="26">
        <f t="shared" si="61"/>
        <v>0</v>
      </c>
      <c r="E193" s="26">
        <f t="shared" si="61"/>
        <v>0</v>
      </c>
      <c r="F193" s="26"/>
      <c r="G193" s="26"/>
      <c r="H193" s="26"/>
      <c r="I193" s="58"/>
      <c r="J193" s="63"/>
      <c r="K193" s="78"/>
      <c r="L193" s="63"/>
      <c r="M193" s="78"/>
      <c r="N193" s="63"/>
      <c r="O193" s="63"/>
      <c r="P193" s="63"/>
      <c r="Q193" s="63"/>
      <c r="R193" s="63"/>
      <c r="S193" s="63"/>
      <c r="T193" s="63"/>
      <c r="U193" s="63"/>
    </row>
    <row r="194" spans="1:21" ht="14.1" customHeight="1" x14ac:dyDescent="0.25">
      <c r="A194" s="24" t="s">
        <v>209</v>
      </c>
      <c r="B194" s="24" t="s">
        <v>210</v>
      </c>
      <c r="C194" s="25" t="s">
        <v>211</v>
      </c>
      <c r="D194" s="26">
        <f t="shared" si="61"/>
        <v>0</v>
      </c>
      <c r="E194" s="26">
        <f t="shared" si="61"/>
        <v>0</v>
      </c>
      <c r="F194" s="26"/>
      <c r="G194" s="26"/>
      <c r="H194" s="26"/>
      <c r="I194" s="58"/>
      <c r="J194" s="63"/>
      <c r="K194" s="78"/>
      <c r="L194" s="63"/>
      <c r="M194" s="78"/>
      <c r="N194" s="63"/>
      <c r="O194" s="63"/>
      <c r="P194" s="63"/>
      <c r="Q194" s="63"/>
      <c r="R194" s="63"/>
      <c r="S194" s="63"/>
      <c r="T194" s="63"/>
      <c r="U194" s="63"/>
    </row>
    <row r="195" spans="1:21" ht="14.1" customHeight="1" x14ac:dyDescent="0.25">
      <c r="A195" s="24" t="s">
        <v>212</v>
      </c>
      <c r="B195" s="24" t="s">
        <v>213</v>
      </c>
      <c r="C195" s="25" t="s">
        <v>214</v>
      </c>
      <c r="D195" s="26">
        <f t="shared" si="61"/>
        <v>0</v>
      </c>
      <c r="E195" s="26">
        <f t="shared" si="61"/>
        <v>0</v>
      </c>
      <c r="F195" s="26"/>
      <c r="G195" s="26"/>
      <c r="H195" s="26"/>
      <c r="I195" s="58"/>
      <c r="J195" s="63"/>
      <c r="K195" s="78"/>
      <c r="L195" s="63"/>
      <c r="M195" s="78"/>
      <c r="N195" s="63"/>
      <c r="O195" s="63"/>
      <c r="P195" s="63"/>
      <c r="Q195" s="63"/>
      <c r="R195" s="63"/>
      <c r="S195" s="63"/>
      <c r="T195" s="63"/>
      <c r="U195" s="63"/>
    </row>
    <row r="196" spans="1:21" ht="14.1" customHeight="1" x14ac:dyDescent="0.25">
      <c r="A196" s="24" t="s">
        <v>215</v>
      </c>
      <c r="B196" s="24" t="s">
        <v>216</v>
      </c>
      <c r="C196" s="25" t="s">
        <v>217</v>
      </c>
      <c r="D196" s="26">
        <f t="shared" si="61"/>
        <v>149</v>
      </c>
      <c r="E196" s="26">
        <f t="shared" si="61"/>
        <v>149</v>
      </c>
      <c r="F196" s="26">
        <v>81</v>
      </c>
      <c r="G196" s="26">
        <f>ROUND((G189+G190+G191+G192+G193)*0.27,0)</f>
        <v>81</v>
      </c>
      <c r="H196" s="26">
        <v>27</v>
      </c>
      <c r="I196" s="58">
        <f>ROUND((I189+I190+I191+I192+I193)*0.27,0)</f>
        <v>27</v>
      </c>
      <c r="J196" s="63"/>
      <c r="K196" s="78"/>
      <c r="L196" s="63">
        <v>41</v>
      </c>
      <c r="M196" s="58">
        <f>ROUND((M189+M190+M191+M192+M193)*0.27,0)</f>
        <v>41</v>
      </c>
      <c r="N196" s="63"/>
      <c r="O196" s="58">
        <f>ROUND((O189+O190+O191+O192+O193)*0.27,0)</f>
        <v>0</v>
      </c>
      <c r="P196" s="63"/>
      <c r="Q196" s="63"/>
      <c r="R196" s="63"/>
      <c r="S196" s="63"/>
      <c r="T196" s="63"/>
      <c r="U196" s="63"/>
    </row>
    <row r="197" spans="1:21" s="3" customFormat="1" ht="14.1" customHeight="1" x14ac:dyDescent="0.25">
      <c r="A197" s="20" t="s">
        <v>218</v>
      </c>
      <c r="B197" s="20" t="s">
        <v>219</v>
      </c>
      <c r="C197" s="21" t="s">
        <v>220</v>
      </c>
      <c r="D197" s="22">
        <f>SUM(D189:D196)</f>
        <v>699</v>
      </c>
      <c r="E197" s="22">
        <f t="shared" ref="E197:P197" si="62">SUM(E189:E196)</f>
        <v>699</v>
      </c>
      <c r="F197" s="22">
        <f t="shared" si="62"/>
        <v>381</v>
      </c>
      <c r="G197" s="22">
        <f t="shared" si="62"/>
        <v>381</v>
      </c>
      <c r="H197" s="22">
        <f t="shared" si="62"/>
        <v>127</v>
      </c>
      <c r="I197" s="55">
        <f t="shared" si="62"/>
        <v>127</v>
      </c>
      <c r="J197" s="55">
        <f t="shared" si="62"/>
        <v>0</v>
      </c>
      <c r="K197" s="55">
        <f t="shared" si="62"/>
        <v>0</v>
      </c>
      <c r="L197" s="22">
        <f t="shared" si="62"/>
        <v>191</v>
      </c>
      <c r="M197" s="22">
        <f t="shared" si="62"/>
        <v>191</v>
      </c>
      <c r="N197" s="22">
        <f t="shared" si="62"/>
        <v>0</v>
      </c>
      <c r="O197" s="22">
        <f t="shared" si="62"/>
        <v>0</v>
      </c>
      <c r="P197" s="22">
        <f t="shared" si="62"/>
        <v>0</v>
      </c>
      <c r="Q197" s="68"/>
      <c r="R197" s="22">
        <f t="shared" ref="R197" si="63">SUM(R189:R196)</f>
        <v>0</v>
      </c>
      <c r="S197" s="68"/>
      <c r="T197" s="22"/>
      <c r="U197" s="68"/>
    </row>
    <row r="198" spans="1:21" ht="14.1" customHeight="1" x14ac:dyDescent="0.25">
      <c r="A198" s="24" t="s">
        <v>221</v>
      </c>
      <c r="B198" s="24" t="s">
        <v>222</v>
      </c>
      <c r="C198" s="25" t="s">
        <v>223</v>
      </c>
      <c r="D198" s="26">
        <f t="shared" si="61"/>
        <v>0</v>
      </c>
      <c r="E198" s="26">
        <f t="shared" si="61"/>
        <v>0</v>
      </c>
      <c r="F198" s="26"/>
      <c r="G198" s="26"/>
      <c r="H198" s="26"/>
      <c r="I198" s="58"/>
      <c r="J198" s="63"/>
      <c r="K198" s="78"/>
      <c r="L198" s="63"/>
      <c r="M198" s="78"/>
      <c r="N198" s="63"/>
      <c r="O198" s="63"/>
      <c r="P198" s="63"/>
      <c r="Q198" s="63"/>
      <c r="R198" s="63"/>
      <c r="S198" s="63"/>
      <c r="T198" s="63"/>
      <c r="U198" s="63"/>
    </row>
    <row r="199" spans="1:21" ht="14.1" customHeight="1" x14ac:dyDescent="0.25">
      <c r="A199" s="24" t="s">
        <v>224</v>
      </c>
      <c r="B199" s="24" t="s">
        <v>225</v>
      </c>
      <c r="C199" s="25" t="s">
        <v>226</v>
      </c>
      <c r="D199" s="26">
        <f t="shared" si="61"/>
        <v>0</v>
      </c>
      <c r="E199" s="26">
        <f t="shared" si="61"/>
        <v>0</v>
      </c>
      <c r="F199" s="26"/>
      <c r="G199" s="26"/>
      <c r="H199" s="26"/>
      <c r="I199" s="58"/>
      <c r="J199" s="63"/>
      <c r="K199" s="78"/>
      <c r="L199" s="63"/>
      <c r="M199" s="78"/>
      <c r="N199" s="63"/>
      <c r="O199" s="63"/>
      <c r="P199" s="63"/>
      <c r="Q199" s="63"/>
      <c r="R199" s="63"/>
      <c r="S199" s="63"/>
      <c r="T199" s="63"/>
      <c r="U199" s="63"/>
    </row>
    <row r="200" spans="1:21" ht="14.1" customHeight="1" x14ac:dyDescent="0.25">
      <c r="A200" s="24" t="s">
        <v>227</v>
      </c>
      <c r="B200" s="24" t="s">
        <v>228</v>
      </c>
      <c r="C200" s="25" t="s">
        <v>229</v>
      </c>
      <c r="D200" s="26">
        <f t="shared" si="61"/>
        <v>0</v>
      </c>
      <c r="E200" s="26">
        <f t="shared" si="61"/>
        <v>0</v>
      </c>
      <c r="F200" s="26"/>
      <c r="G200" s="26"/>
      <c r="H200" s="26"/>
      <c r="I200" s="58"/>
      <c r="J200" s="63"/>
      <c r="K200" s="78"/>
      <c r="L200" s="63"/>
      <c r="M200" s="78"/>
      <c r="N200" s="63"/>
      <c r="O200" s="63"/>
      <c r="P200" s="63"/>
      <c r="Q200" s="63"/>
      <c r="R200" s="63"/>
      <c r="S200" s="63"/>
      <c r="T200" s="63"/>
      <c r="U200" s="63"/>
    </row>
    <row r="201" spans="1:21" ht="14.1" customHeight="1" x14ac:dyDescent="0.25">
      <c r="A201" s="24"/>
      <c r="B201" s="24" t="s">
        <v>230</v>
      </c>
      <c r="C201" s="25" t="s">
        <v>231</v>
      </c>
      <c r="D201" s="26">
        <f t="shared" si="61"/>
        <v>0</v>
      </c>
      <c r="E201" s="26">
        <f t="shared" si="61"/>
        <v>0</v>
      </c>
      <c r="F201" s="26"/>
      <c r="G201" s="26"/>
      <c r="H201" s="26"/>
      <c r="I201" s="58"/>
      <c r="J201" s="63"/>
      <c r="K201" s="78"/>
      <c r="L201" s="63"/>
      <c r="M201" s="78"/>
      <c r="N201" s="63"/>
      <c r="O201" s="63"/>
      <c r="P201" s="63"/>
      <c r="Q201" s="63"/>
      <c r="R201" s="63"/>
      <c r="S201" s="63"/>
      <c r="T201" s="63"/>
      <c r="U201" s="63"/>
    </row>
    <row r="202" spans="1:21" ht="14.1" customHeight="1" x14ac:dyDescent="0.25">
      <c r="A202" s="24" t="s">
        <v>232</v>
      </c>
      <c r="B202" s="24" t="s">
        <v>233</v>
      </c>
      <c r="C202" s="25" t="s">
        <v>234</v>
      </c>
      <c r="D202" s="26">
        <f t="shared" si="61"/>
        <v>0</v>
      </c>
      <c r="E202" s="26">
        <f t="shared" si="61"/>
        <v>0</v>
      </c>
      <c r="F202" s="26">
        <v>0</v>
      </c>
      <c r="G202" s="26">
        <f>ROUND((G198+G199+G200+G201)*0.27,0)</f>
        <v>0</v>
      </c>
      <c r="H202" s="26">
        <v>0</v>
      </c>
      <c r="I202" s="58">
        <f>ROUND((I198+I199+I200+I201)*0.27,0)</f>
        <v>0</v>
      </c>
      <c r="J202" s="63"/>
      <c r="K202" s="78"/>
      <c r="L202" s="63"/>
      <c r="M202" s="78"/>
      <c r="N202" s="63"/>
      <c r="O202" s="63"/>
      <c r="P202" s="63"/>
      <c r="Q202" s="63"/>
      <c r="R202" s="63"/>
      <c r="S202" s="63"/>
      <c r="T202" s="63"/>
      <c r="U202" s="63"/>
    </row>
    <row r="203" spans="1:21" s="3" customFormat="1" ht="14.1" customHeight="1" x14ac:dyDescent="0.25">
      <c r="A203" s="20" t="s">
        <v>235</v>
      </c>
      <c r="B203" s="20" t="s">
        <v>236</v>
      </c>
      <c r="C203" s="21" t="s">
        <v>237</v>
      </c>
      <c r="D203" s="22">
        <f>SUM(D198:D202)</f>
        <v>0</v>
      </c>
      <c r="E203" s="22">
        <f t="shared" ref="E203:P203" si="64">SUM(E198:E202)</f>
        <v>0</v>
      </c>
      <c r="F203" s="22">
        <f t="shared" si="64"/>
        <v>0</v>
      </c>
      <c r="G203" s="22">
        <f t="shared" si="64"/>
        <v>0</v>
      </c>
      <c r="H203" s="22">
        <f t="shared" si="64"/>
        <v>0</v>
      </c>
      <c r="I203" s="55">
        <f t="shared" si="64"/>
        <v>0</v>
      </c>
      <c r="J203" s="55">
        <f t="shared" si="64"/>
        <v>0</v>
      </c>
      <c r="K203" s="55">
        <f t="shared" si="64"/>
        <v>0</v>
      </c>
      <c r="L203" s="22">
        <f t="shared" si="64"/>
        <v>0</v>
      </c>
      <c r="M203" s="22">
        <f t="shared" si="64"/>
        <v>0</v>
      </c>
      <c r="N203" s="22">
        <f t="shared" si="64"/>
        <v>0</v>
      </c>
      <c r="O203" s="22">
        <f t="shared" si="64"/>
        <v>0</v>
      </c>
      <c r="P203" s="22">
        <f t="shared" si="64"/>
        <v>0</v>
      </c>
      <c r="Q203" s="68"/>
      <c r="R203" s="22">
        <f t="shared" ref="R203" si="65">SUM(R198:R202)</f>
        <v>0</v>
      </c>
      <c r="S203" s="68"/>
      <c r="T203" s="22"/>
      <c r="U203" s="68"/>
    </row>
    <row r="204" spans="1:21" s="3" customFormat="1" ht="14.1" customHeight="1" x14ac:dyDescent="0.25">
      <c r="A204" s="1025" t="s">
        <v>293</v>
      </c>
      <c r="B204" s="1026"/>
      <c r="C204" s="1027" t="s">
        <v>238</v>
      </c>
      <c r="D204" s="28">
        <f>D197+D203</f>
        <v>699</v>
      </c>
      <c r="E204" s="28">
        <f t="shared" ref="E204:P204" si="66">E197+E203</f>
        <v>699</v>
      </c>
      <c r="F204" s="28">
        <f t="shared" si="66"/>
        <v>381</v>
      </c>
      <c r="G204" s="28">
        <f t="shared" si="66"/>
        <v>381</v>
      </c>
      <c r="H204" s="28">
        <f t="shared" si="66"/>
        <v>127</v>
      </c>
      <c r="I204" s="61">
        <f t="shared" si="66"/>
        <v>127</v>
      </c>
      <c r="J204" s="61">
        <f t="shared" si="66"/>
        <v>0</v>
      </c>
      <c r="K204" s="61">
        <f t="shared" si="66"/>
        <v>0</v>
      </c>
      <c r="L204" s="61">
        <f t="shared" si="66"/>
        <v>191</v>
      </c>
      <c r="M204" s="61">
        <f t="shared" si="66"/>
        <v>191</v>
      </c>
      <c r="N204" s="61">
        <f t="shared" si="66"/>
        <v>0</v>
      </c>
      <c r="O204" s="61">
        <f t="shared" si="66"/>
        <v>0</v>
      </c>
      <c r="P204" s="61">
        <f t="shared" si="66"/>
        <v>0</v>
      </c>
      <c r="Q204" s="73"/>
      <c r="R204" s="61">
        <f t="shared" ref="R204" si="67">R197+R203</f>
        <v>0</v>
      </c>
      <c r="S204" s="73"/>
      <c r="T204" s="61"/>
      <c r="U204" s="73"/>
    </row>
    <row r="205" spans="1:21" ht="6.75" customHeight="1" x14ac:dyDescent="0.25">
      <c r="J205" s="63"/>
      <c r="K205" s="78"/>
      <c r="L205" s="63"/>
      <c r="M205" s="78"/>
      <c r="N205" s="63"/>
      <c r="O205" s="63"/>
      <c r="P205" s="63"/>
      <c r="Q205" s="63"/>
      <c r="R205" s="63"/>
      <c r="S205" s="63"/>
      <c r="T205" s="63"/>
      <c r="U205" s="63"/>
    </row>
    <row r="206" spans="1:21" ht="14.1" customHeight="1" x14ac:dyDescent="0.25">
      <c r="A206" s="1018" t="s">
        <v>294</v>
      </c>
      <c r="B206" s="1019"/>
      <c r="C206" s="1020"/>
      <c r="D206" s="30">
        <f>D204+D180</f>
        <v>190648</v>
      </c>
      <c r="E206" s="30">
        <f t="shared" ref="E206:Q206" si="68">E204+E180</f>
        <v>206798</v>
      </c>
      <c r="F206" s="30">
        <f t="shared" si="68"/>
        <v>62887</v>
      </c>
      <c r="G206" s="30">
        <f t="shared" si="68"/>
        <v>71061</v>
      </c>
      <c r="H206" s="30">
        <f t="shared" si="68"/>
        <v>21743</v>
      </c>
      <c r="I206" s="57">
        <f t="shared" si="68"/>
        <v>23251</v>
      </c>
      <c r="J206" s="57">
        <f t="shared" si="68"/>
        <v>14158</v>
      </c>
      <c r="K206" s="57">
        <f t="shared" si="68"/>
        <v>14045</v>
      </c>
      <c r="L206" s="57">
        <f t="shared" si="68"/>
        <v>83068</v>
      </c>
      <c r="M206" s="57">
        <f t="shared" si="68"/>
        <v>89519</v>
      </c>
      <c r="N206" s="57">
        <f t="shared" si="68"/>
        <v>7122</v>
      </c>
      <c r="O206" s="57">
        <f t="shared" si="68"/>
        <v>7922</v>
      </c>
      <c r="P206" s="57">
        <f t="shared" si="68"/>
        <v>960</v>
      </c>
      <c r="Q206" s="57">
        <f t="shared" si="68"/>
        <v>1000</v>
      </c>
      <c r="R206" s="57">
        <f t="shared" ref="R206" si="69">R204+R180</f>
        <v>710</v>
      </c>
      <c r="S206" s="70"/>
      <c r="T206" s="57"/>
      <c r="U206" s="70"/>
    </row>
    <row r="207" spans="1:21" ht="14.1" customHeight="1" x14ac:dyDescent="0.25">
      <c r="J207" s="76"/>
      <c r="K207" s="76"/>
      <c r="L207" s="76"/>
      <c r="M207" s="76"/>
      <c r="N207" s="76"/>
      <c r="O207" s="76"/>
      <c r="P207" s="76"/>
      <c r="Q207" s="76"/>
      <c r="R207" s="76"/>
      <c r="S207" s="76"/>
    </row>
    <row r="208" spans="1:21" ht="14.1" customHeight="1" x14ac:dyDescent="0.25">
      <c r="J208" s="51"/>
      <c r="K208" s="51"/>
      <c r="L208" s="51"/>
      <c r="M208" s="51"/>
      <c r="N208" s="51"/>
      <c r="O208" s="51"/>
      <c r="P208" s="51"/>
      <c r="Q208" s="51"/>
      <c r="R208" s="51"/>
      <c r="S208" s="51"/>
    </row>
    <row r="209" spans="1:21" ht="14.1" customHeight="1" x14ac:dyDescent="0.25">
      <c r="J209" s="51"/>
      <c r="K209" s="51"/>
      <c r="L209" s="51"/>
      <c r="M209" s="51"/>
      <c r="N209" s="51"/>
      <c r="O209" s="51"/>
      <c r="P209" s="51"/>
      <c r="Q209" s="51"/>
      <c r="R209" s="51"/>
      <c r="S209" s="51"/>
    </row>
    <row r="210" spans="1:21" ht="14.1" customHeight="1" x14ac:dyDescent="0.25">
      <c r="J210" s="51"/>
      <c r="K210" s="51"/>
      <c r="L210" s="51"/>
      <c r="M210" s="51"/>
      <c r="N210" s="51"/>
      <c r="O210" s="51"/>
      <c r="P210" s="51"/>
      <c r="Q210" s="51"/>
      <c r="R210" s="51"/>
      <c r="S210" s="51"/>
    </row>
    <row r="211" spans="1:21" s="1" customFormat="1" ht="12.75" customHeight="1" x14ac:dyDescent="0.25">
      <c r="A211" s="1022" t="s">
        <v>410</v>
      </c>
      <c r="B211" s="1022"/>
      <c r="C211" s="1022"/>
      <c r="D211" s="1022"/>
      <c r="E211" s="1022"/>
      <c r="F211" s="1022"/>
      <c r="G211" s="1022"/>
      <c r="H211" s="1022"/>
      <c r="I211" s="1022"/>
      <c r="J211" s="1022"/>
      <c r="K211" s="1022"/>
      <c r="L211" s="1022" t="s">
        <v>410</v>
      </c>
      <c r="M211" s="1022"/>
      <c r="N211" s="1022"/>
      <c r="O211" s="1022"/>
      <c r="P211" s="1022"/>
      <c r="Q211" s="1022"/>
      <c r="R211" s="1022"/>
      <c r="S211" s="1022"/>
      <c r="T211" s="1022"/>
      <c r="U211" s="1022"/>
    </row>
    <row r="212" spans="1:21" s="1" customFormat="1" ht="14.1" customHeight="1" x14ac:dyDescent="0.25">
      <c r="A212" s="1065" t="s">
        <v>0</v>
      </c>
      <c r="B212" s="1064" t="s">
        <v>1</v>
      </c>
      <c r="C212" s="1065" t="s">
        <v>2</v>
      </c>
      <c r="D212" s="1015" t="s">
        <v>260</v>
      </c>
      <c r="E212" s="1066" t="s">
        <v>259</v>
      </c>
      <c r="F212" s="1062" t="s">
        <v>411</v>
      </c>
      <c r="G212" s="1067"/>
      <c r="H212" s="1062" t="s">
        <v>412</v>
      </c>
      <c r="I212" s="1063"/>
      <c r="J212" s="1070" t="s">
        <v>413</v>
      </c>
      <c r="K212" s="1071"/>
      <c r="L212" s="1070" t="s">
        <v>414</v>
      </c>
      <c r="M212" s="1071"/>
      <c r="N212" s="1070" t="s">
        <v>415</v>
      </c>
      <c r="O212" s="1072"/>
      <c r="P212" s="1068" t="s">
        <v>416</v>
      </c>
      <c r="Q212" s="1069"/>
      <c r="R212" s="1068" t="s">
        <v>417</v>
      </c>
      <c r="S212" s="1069"/>
      <c r="T212" s="1068"/>
      <c r="U212" s="1069"/>
    </row>
    <row r="213" spans="1:21" s="3" customFormat="1" ht="23.25" customHeight="1" x14ac:dyDescent="0.25">
      <c r="A213" s="1022"/>
      <c r="B213" s="1023"/>
      <c r="C213" s="1022"/>
      <c r="D213" s="1024"/>
      <c r="E213" s="1015"/>
      <c r="F213" s="50" t="s">
        <v>260</v>
      </c>
      <c r="G213" s="50" t="s">
        <v>259</v>
      </c>
      <c r="H213" s="50" t="s">
        <v>260</v>
      </c>
      <c r="I213" s="49" t="s">
        <v>259</v>
      </c>
      <c r="J213" s="50" t="s">
        <v>260</v>
      </c>
      <c r="K213" s="49" t="s">
        <v>259</v>
      </c>
      <c r="L213" s="62" t="s">
        <v>260</v>
      </c>
      <c r="M213" s="77" t="s">
        <v>259</v>
      </c>
      <c r="N213" s="83" t="s">
        <v>260</v>
      </c>
      <c r="O213" s="48" t="s">
        <v>259</v>
      </c>
      <c r="P213" s="84" t="s">
        <v>260</v>
      </c>
      <c r="Q213" s="85" t="s">
        <v>259</v>
      </c>
      <c r="R213" s="84" t="s">
        <v>260</v>
      </c>
      <c r="S213" s="85" t="s">
        <v>259</v>
      </c>
      <c r="T213" s="84"/>
      <c r="U213" s="85"/>
    </row>
    <row r="214" spans="1:21" ht="5.65" customHeight="1" x14ac:dyDescent="0.25">
      <c r="J214" s="63"/>
      <c r="K214" s="78"/>
      <c r="L214" s="63"/>
      <c r="M214" s="78"/>
      <c r="N214" s="63"/>
      <c r="O214" s="63"/>
      <c r="P214" s="63"/>
      <c r="Q214" s="63"/>
      <c r="R214" s="63"/>
      <c r="S214" s="63"/>
      <c r="T214" s="63"/>
      <c r="U214" s="63"/>
    </row>
    <row r="215" spans="1:21" ht="14.1" customHeight="1" x14ac:dyDescent="0.25">
      <c r="A215" s="1021" t="s">
        <v>239</v>
      </c>
      <c r="B215" s="1021"/>
      <c r="C215" s="1021"/>
      <c r="D215" s="1021"/>
      <c r="E215" s="1021"/>
      <c r="F215" s="1021"/>
      <c r="G215" s="1021"/>
      <c r="H215" s="1021"/>
      <c r="I215" s="1021"/>
      <c r="J215" s="64"/>
      <c r="K215" s="79"/>
      <c r="L215" s="64"/>
      <c r="M215" s="79"/>
      <c r="N215" s="64"/>
      <c r="O215" s="64"/>
      <c r="P215" s="64"/>
      <c r="Q215" s="64"/>
      <c r="R215" s="64"/>
      <c r="S215" s="64"/>
      <c r="T215" s="64"/>
      <c r="U215" s="64"/>
    </row>
    <row r="216" spans="1:21" s="3" customFormat="1" ht="14.1" customHeight="1" x14ac:dyDescent="0.25">
      <c r="A216" s="20" t="s">
        <v>240</v>
      </c>
      <c r="B216" s="20"/>
      <c r="C216" s="21" t="s">
        <v>241</v>
      </c>
      <c r="D216" s="23">
        <f>SUM(D217:D226)</f>
        <v>15709</v>
      </c>
      <c r="E216" s="23">
        <f t="shared" ref="E216:K216" si="70">SUM(E217:E226)</f>
        <v>11910</v>
      </c>
      <c r="F216" s="23">
        <f t="shared" si="70"/>
        <v>0</v>
      </c>
      <c r="G216" s="23">
        <f t="shared" si="70"/>
        <v>0</v>
      </c>
      <c r="H216" s="23">
        <f t="shared" si="70"/>
        <v>200</v>
      </c>
      <c r="I216" s="60">
        <f t="shared" si="70"/>
        <v>318</v>
      </c>
      <c r="J216" s="60">
        <f t="shared" si="70"/>
        <v>6775</v>
      </c>
      <c r="K216" s="60">
        <f t="shared" si="70"/>
        <v>6160</v>
      </c>
      <c r="L216" s="60">
        <f t="shared" ref="L216:Q216" si="71">SUM(L217:L226)</f>
        <v>3400</v>
      </c>
      <c r="M216" s="60">
        <f t="shared" si="71"/>
        <v>3400</v>
      </c>
      <c r="N216" s="60">
        <f t="shared" si="71"/>
        <v>5334</v>
      </c>
      <c r="O216" s="60">
        <f t="shared" si="71"/>
        <v>2032</v>
      </c>
      <c r="P216" s="60">
        <f t="shared" si="71"/>
        <v>0</v>
      </c>
      <c r="Q216" s="60">
        <f t="shared" si="71"/>
        <v>0</v>
      </c>
      <c r="R216" s="60">
        <f t="shared" ref="R216:S216" si="72">SUM(R217:R226)</f>
        <v>0</v>
      </c>
      <c r="S216" s="60">
        <f t="shared" si="72"/>
        <v>0</v>
      </c>
      <c r="T216" s="60"/>
      <c r="U216" s="72"/>
    </row>
    <row r="217" spans="1:21" ht="14.1" customHeight="1" x14ac:dyDescent="0.25">
      <c r="A217" s="24" t="s">
        <v>242</v>
      </c>
      <c r="B217" s="24"/>
      <c r="C217" s="25" t="s">
        <v>243</v>
      </c>
      <c r="D217" s="26">
        <f t="shared" ref="D217:E226" si="73">F217+H217+J217+L217+N217+P217+R217</f>
        <v>0</v>
      </c>
      <c r="E217" s="26">
        <f t="shared" si="73"/>
        <v>0</v>
      </c>
      <c r="F217" s="26"/>
      <c r="G217" s="26"/>
      <c r="H217" s="26"/>
      <c r="I217" s="58"/>
      <c r="J217" s="63"/>
      <c r="K217" s="78"/>
      <c r="L217" s="63"/>
      <c r="M217" s="78"/>
      <c r="N217" s="63"/>
      <c r="O217" s="63"/>
      <c r="P217" s="63"/>
      <c r="Q217" s="63"/>
      <c r="R217" s="63"/>
      <c r="S217" s="63"/>
      <c r="T217" s="63"/>
      <c r="U217" s="63"/>
    </row>
    <row r="218" spans="1:21" ht="14.1" customHeight="1" x14ac:dyDescent="0.25">
      <c r="A218" s="24" t="s">
        <v>244</v>
      </c>
      <c r="B218" s="24"/>
      <c r="C218" s="25" t="s">
        <v>245</v>
      </c>
      <c r="D218" s="26">
        <f t="shared" si="73"/>
        <v>0</v>
      </c>
      <c r="E218" s="26">
        <f t="shared" si="73"/>
        <v>0</v>
      </c>
      <c r="F218" s="26"/>
      <c r="G218" s="26"/>
      <c r="H218" s="26"/>
      <c r="I218" s="58"/>
      <c r="J218" s="63"/>
      <c r="K218" s="78"/>
      <c r="L218" s="63"/>
      <c r="M218" s="78"/>
      <c r="N218" s="63"/>
      <c r="O218" s="63"/>
      <c r="P218" s="63"/>
      <c r="Q218" s="63"/>
      <c r="R218" s="63"/>
      <c r="S218" s="63"/>
      <c r="T218" s="63"/>
      <c r="U218" s="63"/>
    </row>
    <row r="219" spans="1:21" ht="14.1" customHeight="1" x14ac:dyDescent="0.25">
      <c r="A219" s="24" t="s">
        <v>246</v>
      </c>
      <c r="B219" s="24"/>
      <c r="C219" s="25" t="s">
        <v>247</v>
      </c>
      <c r="D219" s="26">
        <f t="shared" si="73"/>
        <v>0</v>
      </c>
      <c r="E219" s="26">
        <f t="shared" si="73"/>
        <v>0</v>
      </c>
      <c r="F219" s="26"/>
      <c r="G219" s="26"/>
      <c r="H219" s="26"/>
      <c r="I219" s="58"/>
      <c r="J219" s="63"/>
      <c r="K219" s="78"/>
      <c r="L219" s="63"/>
      <c r="M219" s="78"/>
      <c r="N219" s="63"/>
      <c r="O219" s="63"/>
      <c r="P219" s="63"/>
      <c r="Q219" s="63"/>
      <c r="R219" s="63"/>
      <c r="S219" s="63"/>
      <c r="T219" s="63"/>
      <c r="U219" s="63"/>
    </row>
    <row r="220" spans="1:21" ht="14.1" customHeight="1" x14ac:dyDescent="0.25">
      <c r="A220" s="24" t="s">
        <v>248</v>
      </c>
      <c r="B220" s="24"/>
      <c r="C220" s="25" t="s">
        <v>249</v>
      </c>
      <c r="D220" s="26">
        <f t="shared" si="73"/>
        <v>0</v>
      </c>
      <c r="E220" s="26">
        <f t="shared" si="73"/>
        <v>0</v>
      </c>
      <c r="F220" s="26"/>
      <c r="G220" s="26"/>
      <c r="H220" s="26"/>
      <c r="I220" s="58"/>
      <c r="J220" s="63"/>
      <c r="K220" s="78"/>
      <c r="L220" s="63"/>
      <c r="M220" s="78"/>
      <c r="N220" s="63"/>
      <c r="O220" s="63"/>
      <c r="P220" s="63"/>
      <c r="Q220" s="63"/>
      <c r="R220" s="63"/>
      <c r="S220" s="63"/>
      <c r="T220" s="63"/>
      <c r="U220" s="63"/>
    </row>
    <row r="221" spans="1:21" ht="14.1" customHeight="1" x14ac:dyDescent="0.25">
      <c r="A221" s="24" t="s">
        <v>296</v>
      </c>
      <c r="B221" s="24"/>
      <c r="C221" s="25" t="s">
        <v>297</v>
      </c>
      <c r="D221" s="26">
        <f t="shared" si="73"/>
        <v>13135</v>
      </c>
      <c r="E221" s="26">
        <f t="shared" si="73"/>
        <v>10100</v>
      </c>
      <c r="F221" s="26"/>
      <c r="G221" s="26"/>
      <c r="H221" s="26">
        <v>200</v>
      </c>
      <c r="I221" s="58">
        <v>250</v>
      </c>
      <c r="J221" s="63">
        <v>5335</v>
      </c>
      <c r="K221" s="78">
        <v>4850</v>
      </c>
      <c r="L221" s="63">
        <v>3400</v>
      </c>
      <c r="M221" s="78">
        <v>3400</v>
      </c>
      <c r="N221" s="63">
        <v>4200</v>
      </c>
      <c r="O221" s="63">
        <v>1600</v>
      </c>
      <c r="P221" s="63"/>
      <c r="Q221" s="63"/>
      <c r="R221" s="63"/>
      <c r="S221" s="63"/>
      <c r="T221" s="63"/>
      <c r="U221" s="63"/>
    </row>
    <row r="222" spans="1:21" ht="14.1" customHeight="1" x14ac:dyDescent="0.25">
      <c r="A222" s="24" t="s">
        <v>250</v>
      </c>
      <c r="B222" s="24"/>
      <c r="C222" s="25" t="s">
        <v>251</v>
      </c>
      <c r="D222" s="26">
        <f t="shared" si="73"/>
        <v>2574</v>
      </c>
      <c r="E222" s="26">
        <f t="shared" si="73"/>
        <v>1810</v>
      </c>
      <c r="F222" s="26"/>
      <c r="G222" s="26">
        <f>ROUND((G217+G218+G219+G220+G221)*0.27,0)</f>
        <v>0</v>
      </c>
      <c r="H222" s="26">
        <v>0</v>
      </c>
      <c r="I222" s="58">
        <f>ROUND((I217+I218+I219+I220+I221)*0.27,0)</f>
        <v>68</v>
      </c>
      <c r="J222" s="63">
        <v>1440</v>
      </c>
      <c r="K222" s="58">
        <f>ROUND((K217+K218+K219+K220+K221)*0.27,0)</f>
        <v>1310</v>
      </c>
      <c r="L222" s="63"/>
      <c r="M222" s="58">
        <v>0</v>
      </c>
      <c r="N222" s="63">
        <v>1134</v>
      </c>
      <c r="O222" s="58">
        <f>ROUND((O217+O218+O219+O220+O221)*0.27,0)</f>
        <v>432</v>
      </c>
      <c r="P222" s="63"/>
      <c r="Q222" s="63"/>
      <c r="R222" s="63"/>
      <c r="S222" s="63"/>
      <c r="T222" s="63"/>
      <c r="U222" s="63"/>
    </row>
    <row r="223" spans="1:21" ht="14.1" customHeight="1" x14ac:dyDescent="0.25">
      <c r="A223" s="24" t="s">
        <v>298</v>
      </c>
      <c r="B223" s="24"/>
      <c r="C223" s="25" t="s">
        <v>299</v>
      </c>
      <c r="D223" s="26">
        <f t="shared" si="73"/>
        <v>0</v>
      </c>
      <c r="E223" s="26">
        <f t="shared" si="73"/>
        <v>0</v>
      </c>
      <c r="F223" s="26"/>
      <c r="G223" s="26"/>
      <c r="H223" s="26">
        <v>0</v>
      </c>
      <c r="I223" s="58"/>
      <c r="J223" s="63"/>
      <c r="K223" s="78"/>
      <c r="L223" s="63"/>
      <c r="M223" s="78"/>
      <c r="N223" s="63"/>
      <c r="O223" s="63"/>
      <c r="P223" s="63"/>
      <c r="Q223" s="63"/>
      <c r="R223" s="63"/>
      <c r="S223" s="63"/>
      <c r="T223" s="63"/>
      <c r="U223" s="63"/>
    </row>
    <row r="224" spans="1:21" ht="14.1" customHeight="1" x14ac:dyDescent="0.25">
      <c r="A224" s="24" t="s">
        <v>252</v>
      </c>
      <c r="B224" s="24"/>
      <c r="C224" s="25" t="s">
        <v>253</v>
      </c>
      <c r="D224" s="26">
        <f t="shared" si="73"/>
        <v>0</v>
      </c>
      <c r="E224" s="26">
        <f t="shared" si="73"/>
        <v>0</v>
      </c>
      <c r="F224" s="26"/>
      <c r="G224" s="26"/>
      <c r="H224" s="26"/>
      <c r="I224" s="58"/>
      <c r="J224" s="63"/>
      <c r="K224" s="78"/>
      <c r="L224" s="63"/>
      <c r="M224" s="78"/>
      <c r="N224" s="63"/>
      <c r="O224" s="63"/>
      <c r="P224" s="63"/>
      <c r="Q224" s="63"/>
      <c r="R224" s="63"/>
      <c r="S224" s="63"/>
      <c r="T224" s="63"/>
      <c r="U224" s="63"/>
    </row>
    <row r="225" spans="1:21" ht="14.1" customHeight="1" x14ac:dyDescent="0.25">
      <c r="A225" s="24" t="s">
        <v>300</v>
      </c>
      <c r="B225" s="24"/>
      <c r="C225" s="25" t="s">
        <v>301</v>
      </c>
      <c r="D225" s="26">
        <f t="shared" si="73"/>
        <v>0</v>
      </c>
      <c r="E225" s="26">
        <f t="shared" si="73"/>
        <v>0</v>
      </c>
      <c r="F225" s="26"/>
      <c r="G225" s="26"/>
      <c r="H225" s="26"/>
      <c r="I225" s="58"/>
      <c r="J225" s="63"/>
      <c r="K225" s="78"/>
      <c r="L225" s="63"/>
      <c r="M225" s="78"/>
      <c r="N225" s="63"/>
      <c r="O225" s="63"/>
      <c r="P225" s="63"/>
      <c r="Q225" s="63"/>
      <c r="R225" s="63"/>
      <c r="S225" s="63"/>
      <c r="T225" s="63"/>
      <c r="U225" s="63"/>
    </row>
    <row r="226" spans="1:21" ht="14.1" customHeight="1" x14ac:dyDescent="0.25">
      <c r="A226" s="24" t="s">
        <v>254</v>
      </c>
      <c r="B226" s="24"/>
      <c r="C226" s="25" t="s">
        <v>255</v>
      </c>
      <c r="D226" s="26">
        <f t="shared" si="73"/>
        <v>0</v>
      </c>
      <c r="E226" s="26">
        <f t="shared" si="73"/>
        <v>0</v>
      </c>
      <c r="F226" s="26"/>
      <c r="G226" s="26"/>
      <c r="H226" s="26"/>
      <c r="I226" s="58"/>
      <c r="J226" s="63"/>
      <c r="K226" s="78"/>
      <c r="L226" s="63"/>
      <c r="M226" s="78"/>
      <c r="N226" s="63"/>
      <c r="O226" s="63"/>
      <c r="P226" s="63"/>
      <c r="Q226" s="63"/>
      <c r="R226" s="63"/>
      <c r="S226" s="63"/>
      <c r="T226" s="63"/>
      <c r="U226" s="63"/>
    </row>
    <row r="227" spans="1:21" s="3" customFormat="1" ht="14.1" customHeight="1" x14ac:dyDescent="0.25">
      <c r="A227" s="20" t="s">
        <v>256</v>
      </c>
      <c r="B227" s="20"/>
      <c r="C227" s="21" t="s">
        <v>257</v>
      </c>
      <c r="D227" s="23">
        <f>F227+H227+J227+L227+N227+P227+R227</f>
        <v>0</v>
      </c>
      <c r="E227" s="23">
        <f>G227+I227</f>
        <v>0</v>
      </c>
      <c r="F227" s="23">
        <v>0</v>
      </c>
      <c r="G227" s="23">
        <v>0</v>
      </c>
      <c r="H227" s="23">
        <v>0</v>
      </c>
      <c r="I227" s="60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  <c r="Q227" s="72">
        <v>0</v>
      </c>
      <c r="R227" s="72">
        <v>0</v>
      </c>
      <c r="S227" s="72">
        <v>0</v>
      </c>
      <c r="T227" s="72"/>
      <c r="U227" s="72"/>
    </row>
    <row r="228" spans="1:21" s="3" customFormat="1" ht="14.1" customHeight="1" x14ac:dyDescent="0.25">
      <c r="A228" s="1018" t="s">
        <v>295</v>
      </c>
      <c r="B228" s="1019"/>
      <c r="C228" s="1020"/>
      <c r="D228" s="30">
        <f>D216+D227</f>
        <v>15709</v>
      </c>
      <c r="E228" s="30">
        <f t="shared" ref="E228:Q228" si="74">E216+E227</f>
        <v>11910</v>
      </c>
      <c r="F228" s="30">
        <f t="shared" si="74"/>
        <v>0</v>
      </c>
      <c r="G228" s="30">
        <f t="shared" si="74"/>
        <v>0</v>
      </c>
      <c r="H228" s="30">
        <f t="shared" si="74"/>
        <v>200</v>
      </c>
      <c r="I228" s="57">
        <f t="shared" si="74"/>
        <v>318</v>
      </c>
      <c r="J228" s="57">
        <f t="shared" si="74"/>
        <v>6775</v>
      </c>
      <c r="K228" s="57">
        <f t="shared" si="74"/>
        <v>6160</v>
      </c>
      <c r="L228" s="30">
        <f t="shared" si="74"/>
        <v>3400</v>
      </c>
      <c r="M228" s="30">
        <f t="shared" si="74"/>
        <v>3400</v>
      </c>
      <c r="N228" s="30">
        <f t="shared" si="74"/>
        <v>5334</v>
      </c>
      <c r="O228" s="30">
        <f t="shared" si="74"/>
        <v>2032</v>
      </c>
      <c r="P228" s="30">
        <f t="shared" si="74"/>
        <v>0</v>
      </c>
      <c r="Q228" s="30">
        <f t="shared" si="74"/>
        <v>0</v>
      </c>
      <c r="R228" s="30">
        <f t="shared" ref="R228:S228" si="75">R216+R227</f>
        <v>0</v>
      </c>
      <c r="S228" s="30">
        <f t="shared" si="75"/>
        <v>0</v>
      </c>
      <c r="T228" s="30"/>
      <c r="U228" s="70"/>
    </row>
  </sheetData>
  <sheetProtection selectLockedCells="1" selectUnlockedCells="1"/>
  <mergeCells count="69">
    <mergeCell ref="D212:D213"/>
    <mergeCell ref="L212:M212"/>
    <mergeCell ref="E212:E213"/>
    <mergeCell ref="F212:G212"/>
    <mergeCell ref="A100:I100"/>
    <mergeCell ref="A180:C180"/>
    <mergeCell ref="A185:A186"/>
    <mergeCell ref="B185:B186"/>
    <mergeCell ref="C185:C186"/>
    <mergeCell ref="D185:D186"/>
    <mergeCell ref="E185:E186"/>
    <mergeCell ref="F185:G185"/>
    <mergeCell ref="H185:I185"/>
    <mergeCell ref="H212:I212"/>
    <mergeCell ref="A211:K211"/>
    <mergeCell ref="P212:Q212"/>
    <mergeCell ref="N2:O2"/>
    <mergeCell ref="A215:I215"/>
    <mergeCell ref="A228:C228"/>
    <mergeCell ref="J2:K2"/>
    <mergeCell ref="L2:M2"/>
    <mergeCell ref="J97:K97"/>
    <mergeCell ref="J185:K185"/>
    <mergeCell ref="J212:K212"/>
    <mergeCell ref="L97:M97"/>
    <mergeCell ref="A188:I188"/>
    <mergeCell ref="A204:C204"/>
    <mergeCell ref="A206:C206"/>
    <mergeCell ref="A212:A213"/>
    <mergeCell ref="B212:B213"/>
    <mergeCell ref="C212:C213"/>
    <mergeCell ref="A1:K1"/>
    <mergeCell ref="L1:U1"/>
    <mergeCell ref="A96:K96"/>
    <mergeCell ref="L96:U96"/>
    <mergeCell ref="A184:K184"/>
    <mergeCell ref="L184:U184"/>
    <mergeCell ref="A5:I5"/>
    <mergeCell ref="A92:C92"/>
    <mergeCell ref="A97:A98"/>
    <mergeCell ref="B97:B98"/>
    <mergeCell ref="C97:C98"/>
    <mergeCell ref="D97:D98"/>
    <mergeCell ref="E97:E98"/>
    <mergeCell ref="F97:G97"/>
    <mergeCell ref="H97:I97"/>
    <mergeCell ref="A2:A3"/>
    <mergeCell ref="T212:U212"/>
    <mergeCell ref="R2:S2"/>
    <mergeCell ref="R97:S97"/>
    <mergeCell ref="R185:S185"/>
    <mergeCell ref="R212:S212"/>
    <mergeCell ref="L211:U211"/>
    <mergeCell ref="T2:U2"/>
    <mergeCell ref="T97:U97"/>
    <mergeCell ref="T185:U185"/>
    <mergeCell ref="L185:M185"/>
    <mergeCell ref="N97:O97"/>
    <mergeCell ref="N185:O185"/>
    <mergeCell ref="N212:O212"/>
    <mergeCell ref="P2:Q2"/>
    <mergeCell ref="P97:Q97"/>
    <mergeCell ref="P185:Q185"/>
    <mergeCell ref="H2:I2"/>
    <mergeCell ref="B2:B3"/>
    <mergeCell ref="C2:C3"/>
    <mergeCell ref="D2:D3"/>
    <mergeCell ref="E2:E3"/>
    <mergeCell ref="F2:G2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92" max="16383" man="1"/>
    <brk id="180" max="16383" man="1"/>
  </rowBreaks>
  <colBreaks count="1" manualBreakCount="1">
    <brk id="13" max="1048575" man="1"/>
  </col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D192"/>
  <sheetViews>
    <sheetView view="pageBreakPreview" zoomScale="150" zoomScaleNormal="100" zoomScaleSheetLayoutView="150" workbookViewId="0">
      <pane xSplit="5" ySplit="3" topLeftCell="S4" activePane="bottomRight" state="frozen"/>
      <selection pane="topRight" activeCell="F1" sqref="F1"/>
      <selection pane="bottomLeft" activeCell="A4" sqref="A4"/>
      <selection pane="bottomRight" activeCell="V9" sqref="V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7109375" style="5"/>
  </cols>
  <sheetData>
    <row r="1" spans="1:21" s="1" customFormat="1" ht="12.75" customHeight="1" x14ac:dyDescent="0.25">
      <c r="A1" s="1028" t="s">
        <v>609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 t="s">
        <v>609</v>
      </c>
      <c r="O1" s="1029"/>
      <c r="P1" s="1029"/>
      <c r="Q1" s="1029"/>
      <c r="R1" s="1029"/>
      <c r="S1" s="1029"/>
      <c r="T1" s="1029"/>
      <c r="U1" s="1030"/>
    </row>
    <row r="2" spans="1:21" s="1" customFormat="1" ht="14.1" customHeight="1" x14ac:dyDescent="0.25">
      <c r="A2" s="1065" t="s">
        <v>0</v>
      </c>
      <c r="B2" s="1064" t="s">
        <v>1</v>
      </c>
      <c r="C2" s="1065" t="s">
        <v>2</v>
      </c>
      <c r="D2" s="1015" t="s">
        <v>260</v>
      </c>
      <c r="E2" s="1066" t="s">
        <v>259</v>
      </c>
      <c r="F2" s="1062" t="s">
        <v>610</v>
      </c>
      <c r="G2" s="1067"/>
      <c r="H2" s="1062" t="s">
        <v>611</v>
      </c>
      <c r="I2" s="1063"/>
      <c r="J2" s="1076" t="s">
        <v>612</v>
      </c>
      <c r="K2" s="1070"/>
      <c r="L2" s="1079" t="s">
        <v>649</v>
      </c>
      <c r="M2" s="1079"/>
      <c r="N2" s="1079" t="s">
        <v>613</v>
      </c>
      <c r="O2" s="1079"/>
      <c r="P2" s="1080" t="s">
        <v>614</v>
      </c>
      <c r="Q2" s="1069"/>
      <c r="R2" s="1077" t="s">
        <v>615</v>
      </c>
      <c r="S2" s="1078"/>
      <c r="T2" s="1077" t="s">
        <v>616</v>
      </c>
      <c r="U2" s="1078"/>
    </row>
    <row r="3" spans="1:21" s="3" customFormat="1" ht="25.5" customHeight="1" x14ac:dyDescent="0.25">
      <c r="A3" s="1022"/>
      <c r="B3" s="1023"/>
      <c r="C3" s="1022"/>
      <c r="D3" s="1024"/>
      <c r="E3" s="1015"/>
      <c r="F3" s="98" t="s">
        <v>263</v>
      </c>
      <c r="G3" s="98" t="s">
        <v>259</v>
      </c>
      <c r="H3" s="98" t="s">
        <v>260</v>
      </c>
      <c r="I3" s="97" t="s">
        <v>259</v>
      </c>
      <c r="J3" s="62" t="s">
        <v>260</v>
      </c>
      <c r="K3" s="77" t="s">
        <v>259</v>
      </c>
      <c r="L3" s="159" t="s">
        <v>260</v>
      </c>
      <c r="M3" s="159" t="s">
        <v>259</v>
      </c>
      <c r="N3" s="159" t="s">
        <v>260</v>
      </c>
      <c r="O3" s="159" t="s">
        <v>259</v>
      </c>
      <c r="P3" s="84" t="s">
        <v>260</v>
      </c>
      <c r="Q3" s="85" t="s">
        <v>259</v>
      </c>
      <c r="R3" s="153" t="s">
        <v>260</v>
      </c>
      <c r="S3" s="154" t="s">
        <v>259</v>
      </c>
      <c r="T3" s="153" t="s">
        <v>260</v>
      </c>
      <c r="U3" s="154" t="s">
        <v>259</v>
      </c>
    </row>
    <row r="4" spans="1:21" ht="5.65" customHeight="1" x14ac:dyDescent="0.25">
      <c r="J4" s="63"/>
      <c r="K4" s="78"/>
      <c r="L4" s="158"/>
      <c r="M4" s="158"/>
    </row>
    <row r="5" spans="1:21" ht="14.1" customHeight="1" x14ac:dyDescent="0.25">
      <c r="A5" s="1021" t="s">
        <v>3</v>
      </c>
      <c r="B5" s="1021"/>
      <c r="C5" s="1021"/>
      <c r="D5" s="1021"/>
      <c r="E5" s="1021"/>
      <c r="F5" s="1021"/>
      <c r="G5" s="1021"/>
      <c r="H5" s="1021"/>
      <c r="I5" s="1021"/>
      <c r="J5" s="64"/>
      <c r="K5" s="79"/>
      <c r="L5" s="64"/>
      <c r="M5" s="79"/>
      <c r="N5" s="64"/>
      <c r="O5" s="64"/>
      <c r="P5" s="64"/>
      <c r="Q5" s="64"/>
      <c r="R5" s="64"/>
      <c r="S5" s="64"/>
      <c r="T5" s="64"/>
      <c r="U5" s="64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F6+H6+J6+L6+N6+P6+R6+T6</f>
        <v>261300</v>
      </c>
      <c r="E6" s="9">
        <f>G6+I6+K6+M6+O6+Q6+S6+U6</f>
        <v>248292</v>
      </c>
      <c r="F6" s="10">
        <v>236139</v>
      </c>
      <c r="G6" s="10">
        <v>233094</v>
      </c>
      <c r="H6" s="10">
        <v>6600</v>
      </c>
      <c r="I6" s="52"/>
      <c r="J6" s="65">
        <v>1450</v>
      </c>
      <c r="K6" s="65"/>
      <c r="L6" s="65">
        <v>0</v>
      </c>
      <c r="M6" s="52">
        <v>0</v>
      </c>
      <c r="N6" s="65">
        <v>13987</v>
      </c>
      <c r="O6" s="65">
        <v>12074</v>
      </c>
      <c r="P6" s="65">
        <v>3124</v>
      </c>
      <c r="Q6" s="65">
        <v>3124</v>
      </c>
      <c r="R6" s="65">
        <v>0</v>
      </c>
      <c r="S6" s="65">
        <v>0</v>
      </c>
      <c r="T6" s="65">
        <v>0</v>
      </c>
      <c r="U6" s="65">
        <v>0</v>
      </c>
    </row>
    <row r="7" spans="1:21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53"/>
      <c r="J7" s="66"/>
      <c r="K7" s="81"/>
      <c r="L7" s="66"/>
      <c r="M7" s="81"/>
      <c r="N7" s="66"/>
      <c r="O7" s="66"/>
      <c r="P7" s="66"/>
      <c r="Q7" s="66"/>
      <c r="R7" s="66"/>
      <c r="S7" s="66"/>
      <c r="T7" s="66"/>
      <c r="U7" s="66"/>
    </row>
    <row r="8" spans="1:21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 t="shared" ref="D8:E10" si="0">F8+H8+J8+L8+N8+P8+R8+T8</f>
        <v>0</v>
      </c>
      <c r="E8" s="9">
        <f t="shared" si="0"/>
        <v>0</v>
      </c>
      <c r="F8" s="10">
        <v>0</v>
      </c>
      <c r="G8" s="10">
        <v>0</v>
      </c>
      <c r="H8" s="10">
        <v>0</v>
      </c>
      <c r="I8" s="52"/>
      <c r="J8" s="65">
        <v>0</v>
      </c>
      <c r="K8" s="65"/>
      <c r="L8" s="65">
        <v>0</v>
      </c>
      <c r="M8" s="80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</row>
    <row r="9" spans="1:21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 t="shared" si="0"/>
        <v>0</v>
      </c>
      <c r="E9" s="9">
        <f t="shared" si="0"/>
        <v>900</v>
      </c>
      <c r="F9" s="10">
        <v>0</v>
      </c>
      <c r="G9" s="10">
        <v>900</v>
      </c>
      <c r="H9" s="10">
        <v>0</v>
      </c>
      <c r="I9" s="52"/>
      <c r="J9" s="65">
        <v>0</v>
      </c>
      <c r="K9" s="65"/>
      <c r="L9" s="65">
        <v>0</v>
      </c>
      <c r="M9" s="80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</row>
    <row r="10" spans="1:21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 t="shared" si="0"/>
        <v>1123</v>
      </c>
      <c r="E10" s="9">
        <f t="shared" si="0"/>
        <v>1000</v>
      </c>
      <c r="F10" s="10">
        <v>1000</v>
      </c>
      <c r="G10" s="10">
        <f>SUM(G11:G12)</f>
        <v>1000</v>
      </c>
      <c r="H10" s="10">
        <v>0</v>
      </c>
      <c r="I10" s="52"/>
      <c r="J10" s="52">
        <f>SUM(J11:J12)</f>
        <v>123</v>
      </c>
      <c r="K10" s="52"/>
      <c r="L10" s="52">
        <v>0</v>
      </c>
      <c r="M10" s="52">
        <v>0</v>
      </c>
      <c r="N10" s="52">
        <v>0</v>
      </c>
      <c r="O10" s="52">
        <v>0</v>
      </c>
      <c r="P10" s="52">
        <f>SUM(P11:P12)</f>
        <v>0</v>
      </c>
      <c r="Q10" s="65">
        <v>0</v>
      </c>
      <c r="R10" s="52">
        <v>0</v>
      </c>
      <c r="S10" s="65">
        <v>0</v>
      </c>
      <c r="T10" s="52">
        <v>0</v>
      </c>
      <c r="U10" s="65">
        <v>0</v>
      </c>
    </row>
    <row r="11" spans="1:21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>
        <v>1000</v>
      </c>
      <c r="H11" s="14"/>
      <c r="I11" s="53"/>
      <c r="J11" s="66">
        <v>123</v>
      </c>
      <c r="K11" s="81"/>
      <c r="L11" s="66"/>
      <c r="M11" s="81"/>
      <c r="N11" s="66"/>
      <c r="O11" s="66"/>
      <c r="P11" s="66"/>
      <c r="Q11" s="66"/>
      <c r="R11" s="66"/>
      <c r="S11" s="66"/>
      <c r="T11" s="66"/>
      <c r="U11" s="66"/>
    </row>
    <row r="12" spans="1:21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/>
      <c r="I12" s="53"/>
      <c r="J12" s="66"/>
      <c r="K12" s="81"/>
      <c r="L12" s="66"/>
      <c r="M12" s="81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 t="shared" ref="D13:E14" si="1">F13+H13+J13+L13+N13+P13+R13+T13</f>
        <v>8000</v>
      </c>
      <c r="E13" s="9">
        <f t="shared" si="1"/>
        <v>5000</v>
      </c>
      <c r="F13" s="10">
        <v>8000</v>
      </c>
      <c r="G13" s="10">
        <v>5000</v>
      </c>
      <c r="H13" s="10">
        <v>0</v>
      </c>
      <c r="I13" s="52"/>
      <c r="J13" s="65">
        <v>0</v>
      </c>
      <c r="K13" s="65"/>
      <c r="L13" s="65">
        <v>0</v>
      </c>
      <c r="M13" s="80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</row>
    <row r="14" spans="1:21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 t="shared" si="1"/>
        <v>1740</v>
      </c>
      <c r="E14" s="9">
        <f t="shared" si="1"/>
        <v>2644</v>
      </c>
      <c r="F14" s="10">
        <v>1740</v>
      </c>
      <c r="G14" s="10">
        <v>2644</v>
      </c>
      <c r="H14" s="10">
        <v>0</v>
      </c>
      <c r="I14" s="52"/>
      <c r="J14" s="65">
        <v>0</v>
      </c>
      <c r="K14" s="65"/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</row>
    <row r="15" spans="1:21" s="3" customFormat="1" ht="12.75" customHeight="1" x14ac:dyDescent="0.25">
      <c r="A15" s="11"/>
      <c r="B15" s="11"/>
      <c r="C15" s="12"/>
      <c r="D15" s="13"/>
      <c r="E15" s="13"/>
      <c r="F15" s="14"/>
      <c r="G15" s="14"/>
      <c r="H15" s="14"/>
      <c r="I15" s="53"/>
      <c r="J15" s="66"/>
      <c r="K15" s="81"/>
      <c r="L15" s="66"/>
      <c r="M15" s="81"/>
      <c r="N15" s="66"/>
      <c r="O15" s="66"/>
      <c r="P15" s="66"/>
      <c r="Q15" s="66"/>
      <c r="R15" s="66"/>
      <c r="S15" s="66"/>
      <c r="T15" s="66"/>
      <c r="U15" s="66"/>
    </row>
    <row r="16" spans="1:21" s="3" customFormat="1" ht="12.75" customHeight="1" x14ac:dyDescent="0.25">
      <c r="A16" s="7" t="s">
        <v>24</v>
      </c>
      <c r="B16" s="7" t="s">
        <v>25</v>
      </c>
      <c r="C16" s="8" t="s">
        <v>26</v>
      </c>
      <c r="D16" s="9">
        <f>F16+H16+J16+L16+N16+P16+R16+T16</f>
        <v>13184</v>
      </c>
      <c r="E16" s="9">
        <f>G16+I16+K16+M16+O16+Q16+S16+U16</f>
        <v>13176</v>
      </c>
      <c r="F16" s="10">
        <f>SUM(F17:F18)</f>
        <v>12088</v>
      </c>
      <c r="G16" s="10">
        <f>SUM(G17:G18)</f>
        <v>12280</v>
      </c>
      <c r="H16" s="52">
        <v>0</v>
      </c>
      <c r="I16" s="52"/>
      <c r="J16" s="52">
        <v>0</v>
      </c>
      <c r="K16" s="52"/>
      <c r="L16" s="52">
        <v>0</v>
      </c>
      <c r="M16" s="52">
        <v>0</v>
      </c>
      <c r="N16" s="52">
        <f>SUM(N17:N18)</f>
        <v>1000</v>
      </c>
      <c r="O16" s="52">
        <f>SUM(O17:O18)</f>
        <v>800</v>
      </c>
      <c r="P16" s="52">
        <f>SUM(P17:P18)</f>
        <v>96</v>
      </c>
      <c r="Q16" s="52">
        <f>SUM(Q17:Q18)</f>
        <v>96</v>
      </c>
      <c r="R16" s="52">
        <v>0</v>
      </c>
      <c r="S16" s="65">
        <v>0</v>
      </c>
      <c r="T16" s="52">
        <v>0</v>
      </c>
      <c r="U16" s="65">
        <v>0</v>
      </c>
    </row>
    <row r="17" spans="1:21" s="15" customFormat="1" ht="11.45" customHeight="1" x14ac:dyDescent="0.25">
      <c r="A17" s="11"/>
      <c r="B17" s="11"/>
      <c r="C17" s="12" t="s">
        <v>278</v>
      </c>
      <c r="D17" s="13"/>
      <c r="E17" s="13"/>
      <c r="F17" s="14">
        <v>288</v>
      </c>
      <c r="G17" s="14">
        <v>480</v>
      </c>
      <c r="H17" s="14"/>
      <c r="I17" s="53"/>
      <c r="J17" s="66"/>
      <c r="K17" s="81"/>
      <c r="L17" s="66"/>
      <c r="M17" s="81"/>
      <c r="N17" s="66"/>
      <c r="O17" s="66"/>
      <c r="P17" s="66">
        <v>96</v>
      </c>
      <c r="Q17" s="66">
        <v>96</v>
      </c>
      <c r="R17" s="66"/>
      <c r="S17" s="66"/>
      <c r="T17" s="66"/>
      <c r="U17" s="66"/>
    </row>
    <row r="18" spans="1:21" s="15" customFormat="1" ht="11.45" customHeight="1" x14ac:dyDescent="0.25">
      <c r="A18" s="11"/>
      <c r="B18" s="11"/>
      <c r="C18" s="12" t="s">
        <v>617</v>
      </c>
      <c r="D18" s="13"/>
      <c r="E18" s="13"/>
      <c r="F18" s="14">
        <v>11800</v>
      </c>
      <c r="G18" s="14">
        <v>11800</v>
      </c>
      <c r="H18" s="14"/>
      <c r="I18" s="53"/>
      <c r="J18" s="66"/>
      <c r="K18" s="81"/>
      <c r="L18" s="66"/>
      <c r="M18" s="81"/>
      <c r="N18" s="66">
        <v>1000</v>
      </c>
      <c r="O18" s="66">
        <v>800</v>
      </c>
      <c r="P18" s="66"/>
      <c r="Q18" s="66"/>
      <c r="R18" s="66"/>
      <c r="S18" s="66"/>
      <c r="T18" s="66"/>
      <c r="U18" s="66"/>
    </row>
    <row r="19" spans="1:21" s="3" customFormat="1" ht="12.75" customHeight="1" x14ac:dyDescent="0.25">
      <c r="A19" s="7" t="s">
        <v>27</v>
      </c>
      <c r="B19" s="7" t="s">
        <v>28</v>
      </c>
      <c r="C19" s="8" t="s">
        <v>29</v>
      </c>
      <c r="D19" s="9">
        <f t="shared" ref="D19:E21" si="2">F19+H19+J19+L19+N19+P19+R19+T19</f>
        <v>0</v>
      </c>
      <c r="E19" s="9">
        <f t="shared" si="2"/>
        <v>0</v>
      </c>
      <c r="F19" s="10">
        <v>0</v>
      </c>
      <c r="G19" s="10">
        <v>0</v>
      </c>
      <c r="H19" s="10">
        <v>0</v>
      </c>
      <c r="I19" s="52"/>
      <c r="J19" s="65">
        <v>0</v>
      </c>
      <c r="K19" s="80"/>
      <c r="L19" s="65">
        <v>0</v>
      </c>
      <c r="M19" s="80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</row>
    <row r="20" spans="1:21" s="3" customFormat="1" ht="12.75" customHeight="1" x14ac:dyDescent="0.25">
      <c r="A20" s="7" t="s">
        <v>30</v>
      </c>
      <c r="B20" s="7" t="s">
        <v>31</v>
      </c>
      <c r="C20" s="8" t="s">
        <v>32</v>
      </c>
      <c r="D20" s="9">
        <f t="shared" si="2"/>
        <v>4810</v>
      </c>
      <c r="E20" s="9">
        <f t="shared" si="2"/>
        <v>4620</v>
      </c>
      <c r="F20" s="10">
        <v>4350</v>
      </c>
      <c r="G20" s="10">
        <v>4350</v>
      </c>
      <c r="H20" s="10">
        <v>150</v>
      </c>
      <c r="I20" s="52"/>
      <c r="J20" s="65">
        <v>30</v>
      </c>
      <c r="K20" s="80"/>
      <c r="L20" s="65">
        <v>0</v>
      </c>
      <c r="M20" s="80">
        <v>0</v>
      </c>
      <c r="N20" s="65">
        <v>270</v>
      </c>
      <c r="O20" s="65">
        <v>270</v>
      </c>
      <c r="P20" s="65">
        <v>10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</row>
    <row r="21" spans="1:21" s="3" customFormat="1" ht="12.75" customHeight="1" x14ac:dyDescent="0.25">
      <c r="A21" s="7" t="s">
        <v>33</v>
      </c>
      <c r="B21" s="7" t="s">
        <v>34</v>
      </c>
      <c r="C21" s="8" t="s">
        <v>35</v>
      </c>
      <c r="D21" s="9">
        <f t="shared" si="2"/>
        <v>1200</v>
      </c>
      <c r="E21" s="9">
        <f t="shared" si="2"/>
        <v>1828</v>
      </c>
      <c r="F21" s="10">
        <v>1200</v>
      </c>
      <c r="G21" s="10">
        <f>G22+G23</f>
        <v>1768</v>
      </c>
      <c r="H21" s="10">
        <v>0</v>
      </c>
      <c r="I21" s="52"/>
      <c r="J21" s="65">
        <v>0</v>
      </c>
      <c r="K21" s="80"/>
      <c r="L21" s="65">
        <v>0</v>
      </c>
      <c r="M21" s="80">
        <v>0</v>
      </c>
      <c r="N21" s="65">
        <v>0</v>
      </c>
      <c r="O21" s="65">
        <f>O22+O23</f>
        <v>48</v>
      </c>
      <c r="P21" s="65">
        <f>P22</f>
        <v>0</v>
      </c>
      <c r="Q21" s="65">
        <f>Q22+Q23</f>
        <v>12</v>
      </c>
      <c r="R21" s="65">
        <v>0</v>
      </c>
      <c r="S21" s="65">
        <v>0</v>
      </c>
      <c r="T21" s="65">
        <v>0</v>
      </c>
      <c r="U21" s="65">
        <v>0</v>
      </c>
    </row>
    <row r="22" spans="1:21" s="3" customFormat="1" ht="12.75" customHeight="1" x14ac:dyDescent="0.25">
      <c r="A22" s="11"/>
      <c r="B22" s="11"/>
      <c r="C22" s="12" t="s">
        <v>1038</v>
      </c>
      <c r="D22" s="13"/>
      <c r="E22" s="13"/>
      <c r="F22" s="14"/>
      <c r="G22" s="14">
        <v>1000</v>
      </c>
      <c r="H22" s="14"/>
      <c r="I22" s="53"/>
      <c r="J22" s="66"/>
      <c r="K22" s="81"/>
      <c r="L22" s="66"/>
      <c r="M22" s="81"/>
      <c r="N22" s="66"/>
      <c r="O22" s="66"/>
      <c r="P22" s="66"/>
      <c r="Q22" s="66"/>
      <c r="R22" s="66"/>
      <c r="S22" s="66"/>
      <c r="T22" s="66"/>
      <c r="U22" s="66"/>
    </row>
    <row r="23" spans="1:21" s="3" customFormat="1" ht="12.75" customHeight="1" x14ac:dyDescent="0.25">
      <c r="A23" s="11"/>
      <c r="B23" s="11"/>
      <c r="C23" s="12" t="s">
        <v>1275</v>
      </c>
      <c r="D23" s="13"/>
      <c r="E23" s="13"/>
      <c r="F23" s="14"/>
      <c r="G23" s="14">
        <v>768</v>
      </c>
      <c r="H23" s="14"/>
      <c r="I23" s="53"/>
      <c r="J23" s="66"/>
      <c r="K23" s="81"/>
      <c r="L23" s="66"/>
      <c r="M23" s="81"/>
      <c r="N23" s="66"/>
      <c r="O23" s="66">
        <v>48</v>
      </c>
      <c r="P23" s="66"/>
      <c r="Q23" s="66">
        <v>12</v>
      </c>
      <c r="R23" s="66"/>
      <c r="S23" s="66"/>
      <c r="T23" s="66"/>
      <c r="U23" s="66"/>
    </row>
    <row r="24" spans="1:21" s="3" customFormat="1" ht="12.75" customHeight="1" x14ac:dyDescent="0.25">
      <c r="A24" s="7" t="s">
        <v>36</v>
      </c>
      <c r="B24" s="7" t="s">
        <v>37</v>
      </c>
      <c r="C24" s="8" t="s">
        <v>38</v>
      </c>
      <c r="D24" s="9">
        <f t="shared" ref="D24:E26" si="3">F24+H24+J24+L24+N24+P24+R24+T24</f>
        <v>1440</v>
      </c>
      <c r="E24" s="9">
        <f t="shared" si="3"/>
        <v>3000</v>
      </c>
      <c r="F24" s="10">
        <f>F25</f>
        <v>1440</v>
      </c>
      <c r="G24" s="10">
        <f>G25</f>
        <v>3000</v>
      </c>
      <c r="H24" s="10">
        <v>0</v>
      </c>
      <c r="I24" s="52"/>
      <c r="J24" s="65">
        <v>0</v>
      </c>
      <c r="K24" s="80"/>
      <c r="L24" s="65">
        <v>0</v>
      </c>
      <c r="M24" s="80">
        <v>0</v>
      </c>
      <c r="N24" s="65">
        <v>0</v>
      </c>
      <c r="O24" s="65">
        <v>0</v>
      </c>
      <c r="P24" s="65">
        <f>P25</f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</row>
    <row r="25" spans="1:21" s="3" customFormat="1" ht="12.75" customHeight="1" x14ac:dyDescent="0.25">
      <c r="A25" s="11"/>
      <c r="B25" s="11"/>
      <c r="C25" s="12" t="s">
        <v>618</v>
      </c>
      <c r="D25" s="13"/>
      <c r="E25" s="13"/>
      <c r="F25" s="14">
        <v>1440</v>
      </c>
      <c r="G25" s="14">
        <v>3000</v>
      </c>
      <c r="H25" s="14"/>
      <c r="I25" s="53"/>
      <c r="J25" s="66"/>
      <c r="K25" s="81"/>
      <c r="L25" s="66"/>
      <c r="M25" s="81"/>
      <c r="N25" s="66"/>
      <c r="O25" s="66"/>
      <c r="P25" s="66"/>
      <c r="Q25" s="66"/>
      <c r="R25" s="66"/>
      <c r="S25" s="66"/>
      <c r="T25" s="66"/>
      <c r="U25" s="66"/>
    </row>
    <row r="26" spans="1:21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 t="shared" si="3"/>
        <v>500</v>
      </c>
      <c r="E26" s="9">
        <f t="shared" si="3"/>
        <v>932</v>
      </c>
      <c r="F26" s="10">
        <v>500</v>
      </c>
      <c r="G26" s="10">
        <f>G27</f>
        <v>932</v>
      </c>
      <c r="H26" s="10">
        <v>0</v>
      </c>
      <c r="I26" s="52"/>
      <c r="J26" s="65">
        <v>0</v>
      </c>
      <c r="K26" s="80"/>
      <c r="L26" s="65">
        <v>0</v>
      </c>
      <c r="M26" s="80">
        <v>0</v>
      </c>
      <c r="N26" s="65">
        <v>0</v>
      </c>
      <c r="O26" s="65">
        <v>0</v>
      </c>
      <c r="P26" s="65">
        <f>P27</f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</row>
    <row r="27" spans="1:21" s="3" customFormat="1" ht="12.75" customHeight="1" x14ac:dyDescent="0.25">
      <c r="A27" s="11"/>
      <c r="B27" s="11"/>
      <c r="C27" s="12" t="s">
        <v>280</v>
      </c>
      <c r="D27" s="13"/>
      <c r="E27" s="13"/>
      <c r="F27" s="14"/>
      <c r="G27" s="14">
        <f>ROUND(G6*0.004,0)</f>
        <v>932</v>
      </c>
      <c r="H27" s="14"/>
      <c r="I27" s="14"/>
      <c r="J27" s="66"/>
      <c r="K27" s="81"/>
      <c r="L27" s="66"/>
      <c r="M27" s="14"/>
      <c r="N27" s="66"/>
      <c r="O27" s="66"/>
      <c r="P27" s="66"/>
      <c r="Q27" s="66"/>
      <c r="R27" s="66"/>
      <c r="S27" s="66"/>
      <c r="T27" s="66"/>
      <c r="U27" s="66"/>
    </row>
    <row r="28" spans="1:21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F28+H28+J28+L28+N28+P28+R28+T28</f>
        <v>1500</v>
      </c>
      <c r="E28" s="9">
        <f>G28+I28+K28+M28+O28+Q28+S28+U28</f>
        <v>2200</v>
      </c>
      <c r="F28" s="10">
        <f>F29</f>
        <v>1500</v>
      </c>
      <c r="G28" s="10">
        <f>G29</f>
        <v>2000</v>
      </c>
      <c r="H28" s="10">
        <v>0</v>
      </c>
      <c r="I28" s="52"/>
      <c r="J28" s="65">
        <v>0</v>
      </c>
      <c r="K28" s="80"/>
      <c r="L28" s="65">
        <v>0</v>
      </c>
      <c r="M28" s="52">
        <v>0</v>
      </c>
      <c r="N28" s="65">
        <v>0</v>
      </c>
      <c r="O28" s="65">
        <v>200</v>
      </c>
      <c r="P28" s="65">
        <f>P29</f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</row>
    <row r="29" spans="1:21" s="15" customFormat="1" ht="11.45" customHeight="1" x14ac:dyDescent="0.25">
      <c r="A29" s="11"/>
      <c r="B29" s="11"/>
      <c r="C29" s="12" t="s">
        <v>408</v>
      </c>
      <c r="D29" s="13"/>
      <c r="E29" s="13"/>
      <c r="F29" s="14">
        <v>1500</v>
      </c>
      <c r="G29" s="14">
        <v>2000</v>
      </c>
      <c r="H29" s="14"/>
      <c r="I29" s="53"/>
      <c r="J29" s="66"/>
      <c r="K29" s="81"/>
      <c r="L29" s="66"/>
      <c r="M29" s="81"/>
      <c r="N29" s="66"/>
      <c r="O29" s="66"/>
      <c r="P29" s="66"/>
      <c r="Q29" s="66"/>
      <c r="R29" s="66"/>
      <c r="S29" s="66"/>
      <c r="T29" s="66"/>
      <c r="U29" s="66"/>
    </row>
    <row r="30" spans="1:21" s="3" customFormat="1" ht="12.75" customHeight="1" x14ac:dyDescent="0.25">
      <c r="A30" s="16" t="s">
        <v>45</v>
      </c>
      <c r="B30" s="16" t="s">
        <v>46</v>
      </c>
      <c r="C30" s="17" t="s">
        <v>47</v>
      </c>
      <c r="D30" s="18">
        <f>D6+D8+D9+D10+D13+D14+D16+D19+D20+D21+D24+D26+D28</f>
        <v>294797</v>
      </c>
      <c r="E30" s="18">
        <f>E6+E8+E9+E10+E13+E14+E16+E19+E20+E21+E24+E26+E28</f>
        <v>283592</v>
      </c>
      <c r="F30" s="18">
        <f>F6+F8+F9+F10+F13+F14+F16+F19+F20+F21+F24+F26+F28</f>
        <v>267957</v>
      </c>
      <c r="G30" s="18">
        <f t="shared" ref="G30:U30" si="4">G6+G8+G9+G10+G13+G14+G16+G19+G20+G21+G24+G26+G28</f>
        <v>266968</v>
      </c>
      <c r="H30" s="18">
        <f t="shared" si="4"/>
        <v>6750</v>
      </c>
      <c r="I30" s="18">
        <f t="shared" si="4"/>
        <v>0</v>
      </c>
      <c r="J30" s="18">
        <f t="shared" si="4"/>
        <v>1603</v>
      </c>
      <c r="K30" s="18">
        <f t="shared" si="4"/>
        <v>0</v>
      </c>
      <c r="L30" s="18">
        <f t="shared" si="4"/>
        <v>0</v>
      </c>
      <c r="M30" s="18">
        <f t="shared" si="4"/>
        <v>0</v>
      </c>
      <c r="N30" s="18">
        <f t="shared" si="4"/>
        <v>15257</v>
      </c>
      <c r="O30" s="18">
        <f t="shared" si="4"/>
        <v>13392</v>
      </c>
      <c r="P30" s="18">
        <f t="shared" si="4"/>
        <v>3230</v>
      </c>
      <c r="Q30" s="18">
        <f t="shared" si="4"/>
        <v>3232</v>
      </c>
      <c r="R30" s="18">
        <f t="shared" si="4"/>
        <v>0</v>
      </c>
      <c r="S30" s="18">
        <f t="shared" si="4"/>
        <v>0</v>
      </c>
      <c r="T30" s="18">
        <f t="shared" si="4"/>
        <v>0</v>
      </c>
      <c r="U30" s="18">
        <f t="shared" si="4"/>
        <v>0</v>
      </c>
    </row>
    <row r="31" spans="1:21" s="3" customFormat="1" ht="12.75" customHeight="1" x14ac:dyDescent="0.25">
      <c r="A31" s="7" t="s">
        <v>48</v>
      </c>
      <c r="B31" s="7" t="s">
        <v>49</v>
      </c>
      <c r="C31" s="8" t="s">
        <v>50</v>
      </c>
      <c r="D31" s="9">
        <f t="shared" ref="D31:E34" si="5">F31+H31+J31+L31+N31+P31+R31+T31</f>
        <v>18336</v>
      </c>
      <c r="E31" s="9">
        <f t="shared" si="5"/>
        <v>0</v>
      </c>
      <c r="F31" s="10">
        <f>SUM(F32:F33)</f>
        <v>18336</v>
      </c>
      <c r="G31" s="10">
        <f>SUM(G32:G33)</f>
        <v>0</v>
      </c>
      <c r="H31" s="10">
        <v>0</v>
      </c>
      <c r="I31" s="52"/>
      <c r="J31" s="65">
        <v>0</v>
      </c>
      <c r="K31" s="80"/>
      <c r="L31" s="65">
        <v>0</v>
      </c>
      <c r="M31" s="80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</row>
    <row r="32" spans="1:21" s="15" customFormat="1" ht="11.45" customHeight="1" x14ac:dyDescent="0.25">
      <c r="A32" s="11"/>
      <c r="B32" s="11"/>
      <c r="C32" s="12" t="s">
        <v>619</v>
      </c>
      <c r="D32" s="13"/>
      <c r="E32" s="13"/>
      <c r="F32" s="14">
        <v>14016</v>
      </c>
      <c r="G32" s="14">
        <v>0</v>
      </c>
      <c r="H32" s="14"/>
      <c r="I32" s="53"/>
      <c r="J32" s="66"/>
      <c r="K32" s="81"/>
      <c r="L32" s="66"/>
      <c r="M32" s="81"/>
      <c r="N32" s="66"/>
      <c r="O32" s="66"/>
      <c r="P32" s="66"/>
      <c r="Q32" s="66"/>
      <c r="R32" s="66"/>
      <c r="S32" s="66"/>
      <c r="T32" s="66"/>
      <c r="U32" s="66"/>
    </row>
    <row r="33" spans="1:21" s="15" customFormat="1" ht="11.45" customHeight="1" x14ac:dyDescent="0.25">
      <c r="A33" s="11"/>
      <c r="B33" s="11"/>
      <c r="C33" s="12" t="s">
        <v>620</v>
      </c>
      <c r="D33" s="13"/>
      <c r="E33" s="13"/>
      <c r="F33" s="14">
        <v>4320</v>
      </c>
      <c r="G33" s="14">
        <v>0</v>
      </c>
      <c r="H33" s="14"/>
      <c r="I33" s="53"/>
      <c r="J33" s="66"/>
      <c r="K33" s="81"/>
      <c r="L33" s="66"/>
      <c r="M33" s="81"/>
      <c r="N33" s="66"/>
      <c r="O33" s="66"/>
      <c r="P33" s="66"/>
      <c r="Q33" s="66"/>
      <c r="R33" s="66"/>
      <c r="S33" s="66"/>
      <c r="T33" s="66"/>
      <c r="U33" s="66"/>
    </row>
    <row r="34" spans="1:21" s="3" customFormat="1" ht="12.75" customHeight="1" x14ac:dyDescent="0.25">
      <c r="A34" s="7" t="s">
        <v>51</v>
      </c>
      <c r="B34" s="7" t="s">
        <v>52</v>
      </c>
      <c r="C34" s="8" t="s">
        <v>53</v>
      </c>
      <c r="D34" s="9">
        <f t="shared" si="5"/>
        <v>24843</v>
      </c>
      <c r="E34" s="9">
        <f t="shared" si="5"/>
        <v>5922</v>
      </c>
      <c r="F34" s="10">
        <f>F35</f>
        <v>21000</v>
      </c>
      <c r="G34" s="10">
        <f>G35</f>
        <v>5922</v>
      </c>
      <c r="H34" s="10">
        <v>0</v>
      </c>
      <c r="I34" s="52"/>
      <c r="J34" s="65">
        <v>0</v>
      </c>
      <c r="K34" s="80"/>
      <c r="L34" s="65">
        <f>L35</f>
        <v>3818</v>
      </c>
      <c r="M34" s="65">
        <f>M35</f>
        <v>0</v>
      </c>
      <c r="N34" s="65">
        <f>N35</f>
        <v>25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</row>
    <row r="35" spans="1:21" s="15" customFormat="1" ht="11.45" customHeight="1" x14ac:dyDescent="0.25">
      <c r="A35" s="11"/>
      <c r="B35" s="11"/>
      <c r="C35" s="12" t="s">
        <v>282</v>
      </c>
      <c r="D35" s="13"/>
      <c r="E35" s="13"/>
      <c r="F35" s="14">
        <v>21000</v>
      </c>
      <c r="G35" s="14">
        <f>3000+922+2000</f>
        <v>5922</v>
      </c>
      <c r="H35" s="14"/>
      <c r="I35" s="53"/>
      <c r="J35" s="66"/>
      <c r="K35" s="81"/>
      <c r="L35" s="66">
        <v>3818</v>
      </c>
      <c r="M35" s="81"/>
      <c r="N35" s="66">
        <v>25</v>
      </c>
      <c r="O35" s="66"/>
      <c r="P35" s="66"/>
      <c r="Q35" s="66"/>
      <c r="R35" s="66"/>
      <c r="S35" s="66"/>
      <c r="T35" s="66"/>
      <c r="U35" s="66"/>
    </row>
    <row r="36" spans="1:21" s="3" customFormat="1" ht="12.75" customHeight="1" x14ac:dyDescent="0.25">
      <c r="A36" s="7" t="s">
        <v>54</v>
      </c>
      <c r="B36" s="7" t="s">
        <v>55</v>
      </c>
      <c r="C36" s="8" t="s">
        <v>285</v>
      </c>
      <c r="D36" s="9">
        <f>F36+H36+J36+L36+N36+P36+R36+T36</f>
        <v>22294</v>
      </c>
      <c r="E36" s="9">
        <f>G36+I36+K36+M36+O36+Q36+S36+U36</f>
        <v>3040</v>
      </c>
      <c r="F36" s="10">
        <f>SUM(F37:F38)</f>
        <v>3600</v>
      </c>
      <c r="G36" s="10">
        <f>SUM(G37:G38)</f>
        <v>3000</v>
      </c>
      <c r="H36" s="10">
        <v>0</v>
      </c>
      <c r="I36" s="52"/>
      <c r="J36" s="65">
        <v>0</v>
      </c>
      <c r="K36" s="80"/>
      <c r="L36" s="65">
        <f>SUM(L37:L38)</f>
        <v>18694</v>
      </c>
      <c r="M36" s="65">
        <f>SUM(M37:M38)</f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f>SUM(U37:U38)</f>
        <v>40</v>
      </c>
    </row>
    <row r="37" spans="1:21" s="15" customFormat="1" ht="11.45" customHeight="1" x14ac:dyDescent="0.25">
      <c r="A37" s="11"/>
      <c r="B37" s="11"/>
      <c r="C37" s="12" t="s">
        <v>283</v>
      </c>
      <c r="D37" s="13"/>
      <c r="E37" s="13"/>
      <c r="F37" s="14">
        <v>3000</v>
      </c>
      <c r="G37" s="14">
        <v>3000</v>
      </c>
      <c r="H37" s="14"/>
      <c r="I37" s="53"/>
      <c r="J37" s="66"/>
      <c r="K37" s="81"/>
      <c r="L37" s="66"/>
      <c r="M37" s="81"/>
      <c r="N37" s="66"/>
      <c r="O37" s="66"/>
      <c r="P37" s="66"/>
      <c r="Q37" s="66"/>
      <c r="R37" s="66"/>
      <c r="S37" s="66"/>
      <c r="T37" s="66"/>
      <c r="U37" s="66">
        <v>40</v>
      </c>
    </row>
    <row r="38" spans="1:21" s="15" customFormat="1" ht="11.45" customHeight="1" x14ac:dyDescent="0.25">
      <c r="A38" s="11"/>
      <c r="B38" s="11"/>
      <c r="C38" s="12" t="s">
        <v>285</v>
      </c>
      <c r="D38" s="13"/>
      <c r="E38" s="13"/>
      <c r="F38" s="14">
        <v>600</v>
      </c>
      <c r="G38" s="14">
        <v>0</v>
      </c>
      <c r="H38" s="14"/>
      <c r="I38" s="53"/>
      <c r="J38" s="90"/>
      <c r="K38" s="90"/>
      <c r="L38" s="90">
        <v>18694</v>
      </c>
      <c r="M38" s="90"/>
      <c r="N38" s="90"/>
      <c r="O38" s="90"/>
      <c r="P38" s="90"/>
      <c r="Q38" s="66"/>
      <c r="R38" s="90"/>
      <c r="S38" s="66"/>
      <c r="T38" s="90"/>
      <c r="U38" s="66"/>
    </row>
    <row r="39" spans="1:21" s="3" customFormat="1" ht="12.75" customHeight="1" x14ac:dyDescent="0.25">
      <c r="A39" s="16" t="s">
        <v>56</v>
      </c>
      <c r="B39" s="16" t="s">
        <v>57</v>
      </c>
      <c r="C39" s="17" t="s">
        <v>58</v>
      </c>
      <c r="D39" s="18">
        <f>D31+D34+D36</f>
        <v>65473</v>
      </c>
      <c r="E39" s="18">
        <f>E31+E34+E36</f>
        <v>8962</v>
      </c>
      <c r="F39" s="18">
        <f>F31+F34+F36</f>
        <v>42936</v>
      </c>
      <c r="G39" s="18">
        <f t="shared" ref="G39:U39" si="6">G31+G34+G36</f>
        <v>8922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18">
        <f t="shared" si="6"/>
        <v>22512</v>
      </c>
      <c r="M39" s="18">
        <f t="shared" si="6"/>
        <v>0</v>
      </c>
      <c r="N39" s="18">
        <f t="shared" si="6"/>
        <v>25</v>
      </c>
      <c r="O39" s="18">
        <f t="shared" si="6"/>
        <v>0</v>
      </c>
      <c r="P39" s="18">
        <f t="shared" si="6"/>
        <v>0</v>
      </c>
      <c r="Q39" s="18">
        <f t="shared" si="6"/>
        <v>0</v>
      </c>
      <c r="R39" s="18">
        <f t="shared" si="6"/>
        <v>0</v>
      </c>
      <c r="S39" s="18">
        <f t="shared" si="6"/>
        <v>0</v>
      </c>
      <c r="T39" s="18">
        <f t="shared" si="6"/>
        <v>0</v>
      </c>
      <c r="U39" s="18">
        <f t="shared" si="6"/>
        <v>40</v>
      </c>
    </row>
    <row r="40" spans="1:21" s="3" customFormat="1" ht="12.75" customHeight="1" x14ac:dyDescent="0.25">
      <c r="A40" s="20" t="s">
        <v>59</v>
      </c>
      <c r="B40" s="20" t="s">
        <v>60</v>
      </c>
      <c r="C40" s="21" t="s">
        <v>286</v>
      </c>
      <c r="D40" s="22">
        <f t="shared" ref="D40:Q40" si="7">D30+D39</f>
        <v>360270</v>
      </c>
      <c r="E40" s="22">
        <f t="shared" si="7"/>
        <v>292554</v>
      </c>
      <c r="F40" s="22">
        <f t="shared" si="7"/>
        <v>310893</v>
      </c>
      <c r="G40" s="22">
        <f t="shared" si="7"/>
        <v>275890</v>
      </c>
      <c r="H40" s="22">
        <f t="shared" si="7"/>
        <v>6750</v>
      </c>
      <c r="I40" s="55">
        <f t="shared" si="7"/>
        <v>0</v>
      </c>
      <c r="J40" s="55">
        <f t="shared" si="7"/>
        <v>1603</v>
      </c>
      <c r="K40" s="55">
        <f t="shared" si="7"/>
        <v>0</v>
      </c>
      <c r="L40" s="55">
        <f t="shared" si="7"/>
        <v>22512</v>
      </c>
      <c r="M40" s="55">
        <f t="shared" si="7"/>
        <v>0</v>
      </c>
      <c r="N40" s="55">
        <f t="shared" si="7"/>
        <v>15282</v>
      </c>
      <c r="O40" s="55">
        <f t="shared" si="7"/>
        <v>13392</v>
      </c>
      <c r="P40" s="55">
        <f t="shared" si="7"/>
        <v>3230</v>
      </c>
      <c r="Q40" s="55">
        <f t="shared" si="7"/>
        <v>3232</v>
      </c>
      <c r="R40" s="55">
        <f t="shared" ref="R40:U40" si="8">R30+R39</f>
        <v>0</v>
      </c>
      <c r="S40" s="55">
        <f t="shared" si="8"/>
        <v>0</v>
      </c>
      <c r="T40" s="55">
        <f t="shared" si="8"/>
        <v>0</v>
      </c>
      <c r="U40" s="55">
        <f t="shared" si="8"/>
        <v>40</v>
      </c>
    </row>
    <row r="41" spans="1:21" s="15" customFormat="1" ht="11.45" customHeight="1" x14ac:dyDescent="0.25">
      <c r="A41" s="11"/>
      <c r="B41" s="11"/>
      <c r="C41" s="12" t="s">
        <v>284</v>
      </c>
      <c r="D41" s="13">
        <f>H41+F41+L41+N41+P41+R41+T41+J41</f>
        <v>79497</v>
      </c>
      <c r="E41" s="13">
        <f>I41+G41+M41+O41+Q41+S41+U41+K41</f>
        <v>72006</v>
      </c>
      <c r="F41" s="13">
        <v>66593</v>
      </c>
      <c r="G41" s="13">
        <f>ROUND((G6+G8+G9+G10+G13+G14+G26+G28+G34)*0.27,0)</f>
        <v>67903</v>
      </c>
      <c r="H41" s="13">
        <v>1782</v>
      </c>
      <c r="I41" s="56">
        <f>ROUND((I6+I8+I9+I10+I13+I14+I34)*0.27,0)</f>
        <v>0</v>
      </c>
      <c r="J41" s="69">
        <v>425</v>
      </c>
      <c r="K41" s="56">
        <f>ROUND((K6+K8+K9+K10+K13+K14+K34)*0.27,0)</f>
        <v>0</v>
      </c>
      <c r="L41" s="69">
        <v>6078</v>
      </c>
      <c r="M41" s="13">
        <f>ROUND((M6+M8+M9+M10+M13+M14+M26+M28+M34)*0.27,0)</f>
        <v>0</v>
      </c>
      <c r="N41" s="69">
        <v>3776</v>
      </c>
      <c r="O41" s="56">
        <f>ROUND((O6+O8+O9+O10+O13+O14+O34)*0.27,0)</f>
        <v>3260</v>
      </c>
      <c r="P41" s="69">
        <v>843</v>
      </c>
      <c r="Q41" s="56">
        <f>ROUND((Q6+Q8+Q9+Q10+Q13+Q14+Q34)*0.27,0)</f>
        <v>843</v>
      </c>
      <c r="R41" s="69"/>
      <c r="S41" s="69"/>
      <c r="T41" s="69"/>
      <c r="U41" s="13">
        <f>ROUND((U6+U8+U9+U10+U13+U14+U26+U28+U34)*0.27,0)</f>
        <v>0</v>
      </c>
    </row>
    <row r="42" spans="1:21" s="15" customFormat="1" ht="11.45" customHeight="1" x14ac:dyDescent="0.25">
      <c r="A42" s="11"/>
      <c r="B42" s="11"/>
      <c r="C42" s="12" t="s">
        <v>61</v>
      </c>
      <c r="D42" s="13">
        <f t="shared" ref="D42:E44" si="9">H42+F42+L42+N42+P42+R42+T42+J42</f>
        <v>3161</v>
      </c>
      <c r="E42" s="13">
        <f t="shared" si="9"/>
        <v>3268</v>
      </c>
      <c r="F42" s="14">
        <v>2978</v>
      </c>
      <c r="G42" s="13">
        <f>ROUND((G16+G17)*1.19*0.14+(G36)*1.19*0.27,0)</f>
        <v>3090</v>
      </c>
      <c r="H42" s="14">
        <v>0</v>
      </c>
      <c r="I42" s="13">
        <f>ROUND(I16*1.19*0.14+(I36)*1.19*0.27,0)</f>
        <v>0</v>
      </c>
      <c r="J42" s="66"/>
      <c r="K42" s="13">
        <f>ROUND(K16*1.19*0.14+(K36)*1.19*0.27,0)</f>
        <v>0</v>
      </c>
      <c r="L42" s="66">
        <v>0</v>
      </c>
      <c r="M42" s="13">
        <f>ROUND(M16*1.19*0.14+(M36)*1.19*0.27,0)</f>
        <v>0</v>
      </c>
      <c r="N42" s="66">
        <v>167</v>
      </c>
      <c r="O42" s="13">
        <f>ROUND((O16+O17)*1.19*0.14+(O36)*1.19*0.27,0)</f>
        <v>133</v>
      </c>
      <c r="P42" s="66">
        <v>16</v>
      </c>
      <c r="Q42" s="13">
        <f>ROUND((Q16+Q17)*1.19*0.14+(Q36)*1.19*0.27,0)</f>
        <v>32</v>
      </c>
      <c r="R42" s="66"/>
      <c r="S42" s="66"/>
      <c r="T42" s="66"/>
      <c r="U42" s="13">
        <f>ROUND((U16+U17)*1.19*0.14+(U36)*1.19*0.27,0)</f>
        <v>13</v>
      </c>
    </row>
    <row r="43" spans="1:21" s="15" customFormat="1" ht="11.45" customHeight="1" x14ac:dyDescent="0.25">
      <c r="A43" s="11"/>
      <c r="B43" s="11"/>
      <c r="C43" s="12" t="s">
        <v>62</v>
      </c>
      <c r="D43" s="13">
        <f t="shared" si="9"/>
        <v>3545</v>
      </c>
      <c r="E43" s="13">
        <f t="shared" si="9"/>
        <v>3545</v>
      </c>
      <c r="F43" s="14">
        <v>3545</v>
      </c>
      <c r="G43" s="14">
        <v>3545</v>
      </c>
      <c r="H43" s="14">
        <v>0</v>
      </c>
      <c r="I43" s="53"/>
      <c r="J43" s="66"/>
      <c r="K43" s="81"/>
      <c r="L43" s="66">
        <v>0</v>
      </c>
      <c r="M43" s="81">
        <v>0</v>
      </c>
      <c r="N43" s="66"/>
      <c r="O43" s="81"/>
      <c r="P43" s="66"/>
      <c r="Q43" s="81"/>
      <c r="R43" s="66"/>
      <c r="S43" s="66"/>
      <c r="T43" s="66"/>
      <c r="U43" s="14"/>
    </row>
    <row r="44" spans="1:21" s="15" customFormat="1" ht="11.45" customHeight="1" x14ac:dyDescent="0.25">
      <c r="A44" s="11"/>
      <c r="B44" s="11"/>
      <c r="C44" s="12" t="s">
        <v>63</v>
      </c>
      <c r="D44" s="13">
        <f t="shared" si="9"/>
        <v>3081</v>
      </c>
      <c r="E44" s="13">
        <f t="shared" si="9"/>
        <v>3087</v>
      </c>
      <c r="F44" s="14">
        <v>2873</v>
      </c>
      <c r="G44" s="14">
        <f>ROUND((G37+G17+G18)*1.19*0.16,0)</f>
        <v>2909</v>
      </c>
      <c r="H44" s="14">
        <v>0</v>
      </c>
      <c r="I44" s="14">
        <f>ROUND((I37+I17)*1.19*0.16,0)</f>
        <v>0</v>
      </c>
      <c r="J44" s="66"/>
      <c r="K44" s="14">
        <f>ROUND((K37+K17)*1.19*0.16,0)</f>
        <v>0</v>
      </c>
      <c r="L44" s="66">
        <v>0</v>
      </c>
      <c r="M44" s="14">
        <f>ROUND((M37+M17)*1.19*0.16,0)</f>
        <v>0</v>
      </c>
      <c r="N44" s="66">
        <v>190</v>
      </c>
      <c r="O44" s="14">
        <f>ROUND((O37+O17+O18)*1.19*0.16,0)</f>
        <v>152</v>
      </c>
      <c r="P44" s="66">
        <v>18</v>
      </c>
      <c r="Q44" s="14">
        <f>ROUND((Q37+Q17+Q18)*1.19*0.16,0)</f>
        <v>18</v>
      </c>
      <c r="R44" s="66"/>
      <c r="S44" s="66"/>
      <c r="T44" s="66"/>
      <c r="U44" s="14">
        <f>ROUND((U37+U17+U18)*1.19*0.16,0)</f>
        <v>8</v>
      </c>
    </row>
    <row r="45" spans="1:21" s="3" customFormat="1" ht="12.75" customHeight="1" x14ac:dyDescent="0.25">
      <c r="A45" s="20" t="s">
        <v>64</v>
      </c>
      <c r="B45" s="20" t="s">
        <v>65</v>
      </c>
      <c r="C45" s="21" t="s">
        <v>287</v>
      </c>
      <c r="D45" s="22">
        <f>D41+D42+D43+D44</f>
        <v>89284</v>
      </c>
      <c r="E45" s="22">
        <f>E41+E42+E43+E44</f>
        <v>81906</v>
      </c>
      <c r="F45" s="22">
        <f t="shared" ref="F45:Q45" si="10">F41+F42+F43+F44</f>
        <v>75989</v>
      </c>
      <c r="G45" s="22">
        <f t="shared" si="10"/>
        <v>77447</v>
      </c>
      <c r="H45" s="22">
        <f t="shared" si="10"/>
        <v>1782</v>
      </c>
      <c r="I45" s="55">
        <f t="shared" si="10"/>
        <v>0</v>
      </c>
      <c r="J45" s="55">
        <f t="shared" si="10"/>
        <v>425</v>
      </c>
      <c r="K45" s="55">
        <f t="shared" si="10"/>
        <v>0</v>
      </c>
      <c r="L45" s="22">
        <f t="shared" si="10"/>
        <v>6078</v>
      </c>
      <c r="M45" s="22">
        <f t="shared" si="10"/>
        <v>0</v>
      </c>
      <c r="N45" s="22">
        <f t="shared" si="10"/>
        <v>4133</v>
      </c>
      <c r="O45" s="22">
        <f t="shared" si="10"/>
        <v>3545</v>
      </c>
      <c r="P45" s="22">
        <f t="shared" si="10"/>
        <v>877</v>
      </c>
      <c r="Q45" s="22">
        <f t="shared" si="10"/>
        <v>893</v>
      </c>
      <c r="R45" s="22">
        <f t="shared" ref="R45:U45" si="11">R41+R42+R43+R44</f>
        <v>0</v>
      </c>
      <c r="S45" s="22">
        <f t="shared" si="11"/>
        <v>0</v>
      </c>
      <c r="T45" s="22">
        <f t="shared" si="11"/>
        <v>0</v>
      </c>
      <c r="U45" s="22">
        <f t="shared" si="11"/>
        <v>21</v>
      </c>
    </row>
    <row r="46" spans="1:21" s="3" customFormat="1" ht="14.1" customHeight="1" x14ac:dyDescent="0.25">
      <c r="A46" s="1073" t="s">
        <v>66</v>
      </c>
      <c r="B46" s="1074"/>
      <c r="C46" s="1075"/>
      <c r="D46" s="86">
        <f>D40+D45</f>
        <v>449554</v>
      </c>
      <c r="E46" s="86">
        <f>E40+E45</f>
        <v>374460</v>
      </c>
      <c r="F46" s="86">
        <f t="shared" ref="F46:Q46" si="12">F40+F45</f>
        <v>386882</v>
      </c>
      <c r="G46" s="86">
        <f t="shared" si="12"/>
        <v>353337</v>
      </c>
      <c r="H46" s="86">
        <f t="shared" si="12"/>
        <v>8532</v>
      </c>
      <c r="I46" s="87">
        <f t="shared" si="12"/>
        <v>0</v>
      </c>
      <c r="J46" s="87">
        <f t="shared" si="12"/>
        <v>2028</v>
      </c>
      <c r="K46" s="87">
        <f t="shared" si="12"/>
        <v>0</v>
      </c>
      <c r="L46" s="86">
        <f t="shared" si="12"/>
        <v>28590</v>
      </c>
      <c r="M46" s="86">
        <f t="shared" si="12"/>
        <v>0</v>
      </c>
      <c r="N46" s="86">
        <f t="shared" si="12"/>
        <v>19415</v>
      </c>
      <c r="O46" s="86">
        <f t="shared" si="12"/>
        <v>16937</v>
      </c>
      <c r="P46" s="86">
        <f t="shared" si="12"/>
        <v>4107</v>
      </c>
      <c r="Q46" s="86">
        <f t="shared" si="12"/>
        <v>4125</v>
      </c>
      <c r="R46" s="86">
        <f t="shared" ref="R46:U46" si="13">R40+R45</f>
        <v>0</v>
      </c>
      <c r="S46" s="86">
        <f t="shared" si="13"/>
        <v>0</v>
      </c>
      <c r="T46" s="86">
        <f t="shared" si="13"/>
        <v>0</v>
      </c>
      <c r="U46" s="86">
        <f t="shared" si="13"/>
        <v>61</v>
      </c>
    </row>
    <row r="47" spans="1:21" s="3" customFormat="1" ht="14.1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1:21" s="3" customFormat="1" ht="14.1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1:21" s="3" customFormat="1" ht="14.1" customHeight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s="1" customFormat="1" ht="12.75" customHeight="1" x14ac:dyDescent="0.25">
      <c r="A50" s="1028" t="s">
        <v>609</v>
      </c>
      <c r="B50" s="1029"/>
      <c r="C50" s="1029"/>
      <c r="D50" s="1029"/>
      <c r="E50" s="1029"/>
      <c r="F50" s="1029"/>
      <c r="G50" s="1029"/>
      <c r="H50" s="1029"/>
      <c r="I50" s="1029"/>
      <c r="J50" s="1029"/>
      <c r="K50" s="1029"/>
      <c r="L50" s="1029"/>
      <c r="M50" s="1029"/>
      <c r="N50" s="1029" t="s">
        <v>609</v>
      </c>
      <c r="O50" s="1029"/>
      <c r="P50" s="1029"/>
      <c r="Q50" s="1029"/>
      <c r="R50" s="1029"/>
      <c r="S50" s="1029"/>
      <c r="T50" s="1029"/>
      <c r="U50" s="1030"/>
    </row>
    <row r="51" spans="1:21" s="1" customFormat="1" ht="14.1" customHeight="1" x14ac:dyDescent="0.25">
      <c r="A51" s="1065" t="s">
        <v>0</v>
      </c>
      <c r="B51" s="1064" t="s">
        <v>1</v>
      </c>
      <c r="C51" s="1065" t="s">
        <v>2</v>
      </c>
      <c r="D51" s="1015" t="s">
        <v>260</v>
      </c>
      <c r="E51" s="1066" t="s">
        <v>259</v>
      </c>
      <c r="F51" s="1062" t="s">
        <v>610</v>
      </c>
      <c r="G51" s="1067"/>
      <c r="H51" s="1062" t="s">
        <v>611</v>
      </c>
      <c r="I51" s="1063"/>
      <c r="J51" s="1076" t="s">
        <v>612</v>
      </c>
      <c r="K51" s="1070"/>
      <c r="L51" s="1079" t="s">
        <v>649</v>
      </c>
      <c r="M51" s="1079"/>
      <c r="N51" s="1068" t="s">
        <v>613</v>
      </c>
      <c r="O51" s="1069"/>
      <c r="P51" s="1068" t="s">
        <v>614</v>
      </c>
      <c r="Q51" s="1069"/>
      <c r="R51" s="1077" t="s">
        <v>615</v>
      </c>
      <c r="S51" s="1078"/>
      <c r="T51" s="1077" t="s">
        <v>616</v>
      </c>
      <c r="U51" s="1078"/>
    </row>
    <row r="52" spans="1:21" s="3" customFormat="1" ht="33" customHeight="1" x14ac:dyDescent="0.25">
      <c r="A52" s="1022"/>
      <c r="B52" s="1023"/>
      <c r="C52" s="1022"/>
      <c r="D52" s="1024"/>
      <c r="E52" s="1015"/>
      <c r="F52" s="98" t="s">
        <v>263</v>
      </c>
      <c r="G52" s="98" t="s">
        <v>259</v>
      </c>
      <c r="H52" s="98" t="s">
        <v>260</v>
      </c>
      <c r="I52" s="97" t="s">
        <v>259</v>
      </c>
      <c r="J52" s="62" t="s">
        <v>260</v>
      </c>
      <c r="K52" s="77" t="s">
        <v>259</v>
      </c>
      <c r="L52" s="159" t="s">
        <v>260</v>
      </c>
      <c r="M52" s="159" t="s">
        <v>259</v>
      </c>
      <c r="N52" s="84" t="s">
        <v>260</v>
      </c>
      <c r="O52" s="85" t="s">
        <v>259</v>
      </c>
      <c r="P52" s="84" t="s">
        <v>260</v>
      </c>
      <c r="Q52" s="85" t="s">
        <v>259</v>
      </c>
      <c r="R52" s="153" t="s">
        <v>260</v>
      </c>
      <c r="S52" s="154" t="s">
        <v>259</v>
      </c>
      <c r="T52" s="153" t="s">
        <v>260</v>
      </c>
      <c r="U52" s="154" t="s">
        <v>259</v>
      </c>
    </row>
    <row r="53" spans="1:21" ht="5.65" customHeight="1" x14ac:dyDescent="0.25">
      <c r="J53" s="63"/>
      <c r="K53" s="78"/>
      <c r="L53" s="63"/>
      <c r="M53" s="78"/>
      <c r="N53" s="63"/>
      <c r="O53" s="63"/>
      <c r="P53" s="63"/>
      <c r="Q53" s="63"/>
      <c r="R53" s="63"/>
      <c r="S53" s="63"/>
      <c r="T53" s="63"/>
      <c r="U53" s="63"/>
    </row>
    <row r="54" spans="1:21" ht="14.1" customHeight="1" x14ac:dyDescent="0.25">
      <c r="A54" s="1021" t="s">
        <v>288</v>
      </c>
      <c r="B54" s="1021"/>
      <c r="C54" s="1021"/>
      <c r="D54" s="1021"/>
      <c r="E54" s="1021"/>
      <c r="F54" s="1021"/>
      <c r="G54" s="1021"/>
      <c r="H54" s="1021"/>
      <c r="I54" s="1021"/>
      <c r="J54" s="64"/>
      <c r="K54" s="79"/>
      <c r="L54" s="64"/>
      <c r="M54" s="79"/>
      <c r="N54" s="64"/>
      <c r="O54" s="64"/>
      <c r="P54" s="64"/>
      <c r="Q54" s="64"/>
      <c r="R54" s="64"/>
      <c r="S54" s="64"/>
      <c r="T54" s="64"/>
      <c r="U54" s="64"/>
    </row>
    <row r="55" spans="1:21" s="3" customFormat="1" ht="14.1" customHeight="1" x14ac:dyDescent="0.25">
      <c r="A55" s="7" t="s">
        <v>67</v>
      </c>
      <c r="B55" s="7" t="s">
        <v>68</v>
      </c>
      <c r="C55" s="8" t="s">
        <v>69</v>
      </c>
      <c r="D55" s="9">
        <f>F55+H55+J55+L55+N55+P55+R55+T55</f>
        <v>1650</v>
      </c>
      <c r="E55" s="9">
        <f>G55+I55+K55+M55+O55+Q55+S55+U55</f>
        <v>400</v>
      </c>
      <c r="F55" s="10">
        <f>SUM(F56:F61)</f>
        <v>1650</v>
      </c>
      <c r="G55" s="10">
        <f>SUM(G56:G61)</f>
        <v>400</v>
      </c>
      <c r="H55" s="10">
        <v>0</v>
      </c>
      <c r="I55" s="52"/>
      <c r="J55" s="52">
        <v>0</v>
      </c>
      <c r="K55" s="52"/>
      <c r="L55" s="65">
        <v>0</v>
      </c>
      <c r="M55" s="65">
        <v>0</v>
      </c>
      <c r="N55" s="52">
        <v>0</v>
      </c>
      <c r="O55" s="65">
        <v>0</v>
      </c>
      <c r="P55" s="65">
        <f>SUM(P56:P61)</f>
        <v>0</v>
      </c>
      <c r="Q55" s="65">
        <v>0</v>
      </c>
      <c r="R55" s="65">
        <v>0</v>
      </c>
      <c r="S55" s="65">
        <v>0</v>
      </c>
      <c r="T55" s="65">
        <f>SUM(T56:T61)</f>
        <v>0</v>
      </c>
      <c r="U55" s="65">
        <f>SUM(U56:U61)</f>
        <v>0</v>
      </c>
    </row>
    <row r="56" spans="1:21" ht="14.1" customHeight="1" x14ac:dyDescent="0.25">
      <c r="A56" s="24"/>
      <c r="B56" s="24"/>
      <c r="C56" s="25" t="s">
        <v>70</v>
      </c>
      <c r="D56" s="26"/>
      <c r="E56" s="26"/>
      <c r="F56" s="26"/>
      <c r="G56" s="26"/>
      <c r="H56" s="26"/>
      <c r="I56" s="58"/>
      <c r="J56" s="63"/>
      <c r="K56" s="78"/>
      <c r="L56" s="63"/>
      <c r="M56" s="78"/>
      <c r="N56" s="63"/>
      <c r="O56" s="63"/>
      <c r="P56" s="63"/>
      <c r="Q56" s="63"/>
      <c r="R56" s="63"/>
      <c r="S56" s="63"/>
      <c r="T56" s="63"/>
      <c r="U56" s="63"/>
    </row>
    <row r="57" spans="1:21" ht="14.1" customHeight="1" x14ac:dyDescent="0.25">
      <c r="A57" s="24"/>
      <c r="B57" s="24"/>
      <c r="C57" s="25" t="s">
        <v>71</v>
      </c>
      <c r="D57" s="26"/>
      <c r="E57" s="26"/>
      <c r="F57" s="26"/>
      <c r="G57" s="26"/>
      <c r="H57" s="26"/>
      <c r="I57" s="58"/>
      <c r="J57" s="63"/>
      <c r="K57" s="78"/>
      <c r="L57" s="63"/>
      <c r="M57" s="78"/>
      <c r="N57" s="63"/>
      <c r="O57" s="63"/>
      <c r="P57" s="63"/>
      <c r="Q57" s="63"/>
      <c r="R57" s="63"/>
      <c r="S57" s="63"/>
      <c r="T57" s="63"/>
      <c r="U57" s="63"/>
    </row>
    <row r="58" spans="1:21" ht="14.1" customHeight="1" x14ac:dyDescent="0.25">
      <c r="A58" s="24"/>
      <c r="B58" s="24"/>
      <c r="C58" s="25" t="s">
        <v>72</v>
      </c>
      <c r="D58" s="26"/>
      <c r="E58" s="26"/>
      <c r="F58" s="26">
        <v>150</v>
      </c>
      <c r="G58" s="26">
        <v>100</v>
      </c>
      <c r="H58" s="26"/>
      <c r="I58" s="58"/>
      <c r="J58" s="63"/>
      <c r="K58" s="78"/>
      <c r="L58" s="63"/>
      <c r="M58" s="78"/>
      <c r="N58" s="63"/>
      <c r="O58" s="63"/>
      <c r="P58" s="63"/>
      <c r="Q58" s="63"/>
      <c r="R58" s="63"/>
      <c r="S58" s="63"/>
      <c r="T58" s="63"/>
      <c r="U58" s="63"/>
    </row>
    <row r="59" spans="1:21" ht="14.1" customHeight="1" x14ac:dyDescent="0.25">
      <c r="A59" s="24"/>
      <c r="B59" s="24"/>
      <c r="C59" s="25" t="s">
        <v>73</v>
      </c>
      <c r="D59" s="26"/>
      <c r="E59" s="26"/>
      <c r="F59" s="26">
        <v>100</v>
      </c>
      <c r="G59" s="26">
        <v>200</v>
      </c>
      <c r="H59" s="26"/>
      <c r="I59" s="58"/>
      <c r="J59" s="63"/>
      <c r="K59" s="78"/>
      <c r="L59" s="63"/>
      <c r="M59" s="78"/>
      <c r="N59" s="63"/>
      <c r="O59" s="63"/>
      <c r="P59" s="63"/>
      <c r="Q59" s="63"/>
      <c r="R59" s="63"/>
      <c r="S59" s="63"/>
      <c r="T59" s="63"/>
      <c r="U59" s="63"/>
    </row>
    <row r="60" spans="1:21" ht="14.1" customHeight="1" x14ac:dyDescent="0.25">
      <c r="A60" s="24"/>
      <c r="B60" s="24"/>
      <c r="C60" s="25" t="s">
        <v>74</v>
      </c>
      <c r="D60" s="26"/>
      <c r="E60" s="26"/>
      <c r="F60" s="26">
        <v>1350</v>
      </c>
      <c r="G60" s="26">
        <v>50</v>
      </c>
      <c r="H60" s="26"/>
      <c r="I60" s="58"/>
      <c r="J60" s="63"/>
      <c r="K60" s="78"/>
      <c r="L60" s="63"/>
      <c r="M60" s="78"/>
      <c r="N60" s="63"/>
      <c r="O60" s="63"/>
      <c r="P60" s="63"/>
      <c r="Q60" s="63"/>
      <c r="R60" s="63"/>
      <c r="S60" s="63"/>
      <c r="T60" s="63"/>
      <c r="U60" s="63"/>
    </row>
    <row r="61" spans="1:21" ht="14.1" customHeight="1" x14ac:dyDescent="0.25">
      <c r="A61" s="24"/>
      <c r="B61" s="24"/>
      <c r="C61" s="25" t="s">
        <v>75</v>
      </c>
      <c r="D61" s="26"/>
      <c r="E61" s="26"/>
      <c r="F61" s="26">
        <v>50</v>
      </c>
      <c r="G61" s="26">
        <v>50</v>
      </c>
      <c r="H61" s="26"/>
      <c r="I61" s="58"/>
      <c r="J61" s="63"/>
      <c r="K61" s="78"/>
      <c r="L61" s="63"/>
      <c r="M61" s="78"/>
      <c r="N61" s="63"/>
      <c r="O61" s="63"/>
      <c r="P61" s="63"/>
      <c r="Q61" s="63"/>
      <c r="R61" s="63"/>
      <c r="S61" s="63"/>
      <c r="T61" s="63"/>
      <c r="U61" s="63"/>
    </row>
    <row r="62" spans="1:21" s="3" customFormat="1" ht="14.1" customHeight="1" x14ac:dyDescent="0.25">
      <c r="A62" s="7" t="s">
        <v>76</v>
      </c>
      <c r="B62" s="7" t="s">
        <v>77</v>
      </c>
      <c r="C62" s="8" t="s">
        <v>78</v>
      </c>
      <c r="D62" s="9">
        <f>F62+H62+J62+L62+N62+P62+R62+T62</f>
        <v>7530</v>
      </c>
      <c r="E62" s="9">
        <f>G62+I62+K62+M62+O62+Q62+S62+U62</f>
        <v>8370</v>
      </c>
      <c r="F62" s="10">
        <f>SUM(F63:F68)</f>
        <v>6000</v>
      </c>
      <c r="G62" s="10">
        <f>SUM(G63:G68)</f>
        <v>6600</v>
      </c>
      <c r="H62" s="10">
        <v>0</v>
      </c>
      <c r="I62" s="52"/>
      <c r="J62" s="52">
        <v>0</v>
      </c>
      <c r="K62" s="52"/>
      <c r="L62" s="65">
        <v>0</v>
      </c>
      <c r="M62" s="65">
        <v>0</v>
      </c>
      <c r="N62" s="10">
        <f>SUM(N63:N68)</f>
        <v>950</v>
      </c>
      <c r="O62" s="10">
        <f>SUM(O63:O68)</f>
        <v>1000</v>
      </c>
      <c r="P62" s="65">
        <f>SUM(P63:P68)</f>
        <v>420</v>
      </c>
      <c r="Q62" s="65">
        <f>SUM(Q63:Q68)</f>
        <v>300</v>
      </c>
      <c r="R62" s="65">
        <v>0</v>
      </c>
      <c r="S62" s="65">
        <v>0</v>
      </c>
      <c r="T62" s="65">
        <f>SUM(T63:T68)</f>
        <v>160</v>
      </c>
      <c r="U62" s="65">
        <f>SUM(U63:U68)</f>
        <v>470</v>
      </c>
    </row>
    <row r="63" spans="1:21" ht="14.1" customHeight="1" x14ac:dyDescent="0.25">
      <c r="A63" s="24"/>
      <c r="B63" s="24"/>
      <c r="C63" s="25" t="s">
        <v>79</v>
      </c>
      <c r="D63" s="26"/>
      <c r="E63" s="26"/>
      <c r="F63" s="26"/>
      <c r="G63" s="26"/>
      <c r="H63" s="26"/>
      <c r="I63" s="58"/>
      <c r="J63" s="63"/>
      <c r="K63" s="78"/>
      <c r="L63" s="63"/>
      <c r="M63" s="78"/>
      <c r="N63" s="63"/>
      <c r="O63" s="63"/>
      <c r="P63" s="63"/>
      <c r="Q63" s="63"/>
      <c r="R63" s="63"/>
      <c r="S63" s="63"/>
      <c r="T63" s="63"/>
      <c r="U63" s="63"/>
    </row>
    <row r="64" spans="1:21" ht="14.1" customHeight="1" x14ac:dyDescent="0.25">
      <c r="A64" s="24"/>
      <c r="B64" s="24"/>
      <c r="C64" s="25" t="s">
        <v>80</v>
      </c>
      <c r="D64" s="26"/>
      <c r="E64" s="26"/>
      <c r="F64" s="26">
        <v>2550</v>
      </c>
      <c r="G64" s="26">
        <v>3500</v>
      </c>
      <c r="H64" s="26"/>
      <c r="I64" s="58"/>
      <c r="J64" s="63"/>
      <c r="K64" s="78"/>
      <c r="L64" s="63"/>
      <c r="M64" s="78"/>
      <c r="N64" s="63"/>
      <c r="O64" s="63"/>
      <c r="P64" s="63"/>
      <c r="Q64" s="63"/>
      <c r="R64" s="63"/>
      <c r="S64" s="63"/>
      <c r="T64" s="63">
        <v>150</v>
      </c>
      <c r="U64" s="63">
        <v>150</v>
      </c>
    </row>
    <row r="65" spans="1:21" ht="14.1" customHeight="1" x14ac:dyDescent="0.25">
      <c r="A65" s="24"/>
      <c r="B65" s="24"/>
      <c r="C65" s="25" t="s">
        <v>81</v>
      </c>
      <c r="D65" s="26"/>
      <c r="E65" s="26"/>
      <c r="F65" s="26"/>
      <c r="G65" s="26"/>
      <c r="H65" s="26"/>
      <c r="I65" s="58"/>
      <c r="J65" s="63"/>
      <c r="K65" s="78"/>
      <c r="L65" s="63"/>
      <c r="M65" s="78"/>
      <c r="N65" s="63"/>
      <c r="O65" s="63"/>
      <c r="P65" s="63"/>
      <c r="Q65" s="63"/>
      <c r="R65" s="63"/>
      <c r="S65" s="63"/>
      <c r="T65" s="63"/>
      <c r="U65" s="63"/>
    </row>
    <row r="66" spans="1:21" ht="14.1" customHeight="1" x14ac:dyDescent="0.25">
      <c r="A66" s="24"/>
      <c r="B66" s="24"/>
      <c r="C66" s="25" t="s">
        <v>82</v>
      </c>
      <c r="D66" s="26"/>
      <c r="E66" s="26"/>
      <c r="F66" s="26">
        <v>950</v>
      </c>
      <c r="G66" s="26">
        <v>1500</v>
      </c>
      <c r="H66" s="26"/>
      <c r="I66" s="58"/>
      <c r="J66" s="63"/>
      <c r="K66" s="78"/>
      <c r="L66" s="63"/>
      <c r="M66" s="78"/>
      <c r="N66" s="63">
        <v>500</v>
      </c>
      <c r="O66" s="63">
        <v>500</v>
      </c>
      <c r="P66" s="63">
        <v>300</v>
      </c>
      <c r="Q66" s="63">
        <v>150</v>
      </c>
      <c r="R66" s="63"/>
      <c r="S66" s="63"/>
      <c r="T66" s="63"/>
      <c r="U66" s="63"/>
    </row>
    <row r="67" spans="1:21" ht="14.1" customHeight="1" x14ac:dyDescent="0.25">
      <c r="A67" s="24"/>
      <c r="B67" s="24"/>
      <c r="C67" s="25" t="s">
        <v>83</v>
      </c>
      <c r="D67" s="26"/>
      <c r="E67" s="26"/>
      <c r="F67" s="26"/>
      <c r="G67" s="26"/>
      <c r="H67" s="26"/>
      <c r="I67" s="58"/>
      <c r="J67" s="63"/>
      <c r="K67" s="78"/>
      <c r="L67" s="63"/>
      <c r="M67" s="78"/>
      <c r="N67" s="63">
        <v>400</v>
      </c>
      <c r="O67" s="63">
        <v>400</v>
      </c>
      <c r="P67" s="63">
        <v>100</v>
      </c>
      <c r="Q67" s="63">
        <v>100</v>
      </c>
      <c r="R67" s="63"/>
      <c r="S67" s="63"/>
      <c r="T67" s="63"/>
      <c r="U67" s="63">
        <v>300</v>
      </c>
    </row>
    <row r="68" spans="1:21" ht="14.1" customHeight="1" x14ac:dyDescent="0.25">
      <c r="A68" s="24"/>
      <c r="B68" s="24"/>
      <c r="C68" s="25" t="s">
        <v>84</v>
      </c>
      <c r="D68" s="26"/>
      <c r="E68" s="26"/>
      <c r="F68" s="26">
        <v>2500</v>
      </c>
      <c r="G68" s="26">
        <v>1600</v>
      </c>
      <c r="H68" s="26"/>
      <c r="I68" s="58"/>
      <c r="J68" s="63"/>
      <c r="K68" s="78"/>
      <c r="L68" s="63"/>
      <c r="M68" s="78"/>
      <c r="N68" s="63">
        <v>50</v>
      </c>
      <c r="O68" s="63">
        <v>100</v>
      </c>
      <c r="P68" s="63">
        <v>20</v>
      </c>
      <c r="Q68" s="63">
        <v>50</v>
      </c>
      <c r="R68" s="63"/>
      <c r="S68" s="63"/>
      <c r="T68" s="63">
        <v>10</v>
      </c>
      <c r="U68" s="63">
        <v>20</v>
      </c>
    </row>
    <row r="69" spans="1:21" s="3" customFormat="1" ht="14.1" customHeight="1" x14ac:dyDescent="0.25">
      <c r="A69" s="7" t="s">
        <v>85</v>
      </c>
      <c r="B69" s="7" t="s">
        <v>86</v>
      </c>
      <c r="C69" s="8" t="s">
        <v>87</v>
      </c>
      <c r="D69" s="9">
        <f>F69+H69+J69+L69+N69+P69+R69+T69</f>
        <v>0</v>
      </c>
      <c r="E69" s="9">
        <f>G69+I69+K69+M69+O69+Q69+S69+U69</f>
        <v>0</v>
      </c>
      <c r="F69" s="10">
        <f>SUM(F70:F71)</f>
        <v>0</v>
      </c>
      <c r="G69" s="10">
        <f>SUM(G70:G71)</f>
        <v>0</v>
      </c>
      <c r="H69" s="10">
        <v>0</v>
      </c>
      <c r="I69" s="52"/>
      <c r="J69" s="52">
        <v>0</v>
      </c>
      <c r="K69" s="52"/>
      <c r="L69" s="52">
        <v>0</v>
      </c>
      <c r="M69" s="52">
        <v>0</v>
      </c>
      <c r="N69" s="52">
        <v>0</v>
      </c>
      <c r="O69" s="52">
        <v>0</v>
      </c>
      <c r="P69" s="52">
        <f>SUM(P70:P71)</f>
        <v>0</v>
      </c>
      <c r="Q69" s="52">
        <f>SUM(Q70:Q71)</f>
        <v>0</v>
      </c>
      <c r="R69" s="52">
        <v>0</v>
      </c>
      <c r="S69" s="65">
        <v>0</v>
      </c>
      <c r="T69" s="52">
        <v>0</v>
      </c>
      <c r="U69" s="52">
        <v>0</v>
      </c>
    </row>
    <row r="70" spans="1:21" ht="14.1" customHeight="1" x14ac:dyDescent="0.25">
      <c r="A70" s="24"/>
      <c r="B70" s="24"/>
      <c r="C70" s="25" t="s">
        <v>88</v>
      </c>
      <c r="D70" s="26"/>
      <c r="E70" s="26"/>
      <c r="F70" s="26"/>
      <c r="G70" s="26"/>
      <c r="H70" s="26"/>
      <c r="I70" s="58"/>
      <c r="J70" s="63"/>
      <c r="K70" s="78"/>
      <c r="L70" s="63"/>
      <c r="M70" s="78"/>
      <c r="N70" s="63"/>
      <c r="O70" s="63"/>
      <c r="P70" s="63"/>
      <c r="Q70" s="63"/>
      <c r="R70" s="63"/>
      <c r="S70" s="63"/>
      <c r="T70" s="63"/>
      <c r="U70" s="63"/>
    </row>
    <row r="71" spans="1:21" ht="14.1" customHeight="1" x14ac:dyDescent="0.25">
      <c r="A71" s="24"/>
      <c r="B71" s="24"/>
      <c r="C71" s="25" t="s">
        <v>89</v>
      </c>
      <c r="D71" s="26"/>
      <c r="E71" s="26"/>
      <c r="F71" s="26"/>
      <c r="G71" s="26"/>
      <c r="H71" s="26"/>
      <c r="I71" s="58"/>
      <c r="J71" s="63"/>
      <c r="K71" s="78"/>
      <c r="L71" s="63"/>
      <c r="M71" s="78"/>
      <c r="N71" s="63"/>
      <c r="O71" s="63"/>
      <c r="P71" s="63"/>
      <c r="Q71" s="63"/>
      <c r="R71" s="63"/>
      <c r="S71" s="63"/>
      <c r="T71" s="63"/>
      <c r="U71" s="63"/>
    </row>
    <row r="72" spans="1:21" s="3" customFormat="1" ht="14.1" customHeight="1" x14ac:dyDescent="0.25">
      <c r="A72" s="16" t="s">
        <v>90</v>
      </c>
      <c r="B72" s="16" t="s">
        <v>91</v>
      </c>
      <c r="C72" s="17" t="s">
        <v>92</v>
      </c>
      <c r="D72" s="19">
        <f>D55+D62</f>
        <v>9180</v>
      </c>
      <c r="E72" s="19">
        <f>E55+E62</f>
        <v>8770</v>
      </c>
      <c r="F72" s="19">
        <f>F55+F62</f>
        <v>7650</v>
      </c>
      <c r="G72" s="19">
        <f t="shared" ref="G72:U72" si="14">G55+G62</f>
        <v>7000</v>
      </c>
      <c r="H72" s="19">
        <f t="shared" si="14"/>
        <v>0</v>
      </c>
      <c r="I72" s="19">
        <f t="shared" si="14"/>
        <v>0</v>
      </c>
      <c r="J72" s="19">
        <f t="shared" si="14"/>
        <v>0</v>
      </c>
      <c r="K72" s="19">
        <f t="shared" si="14"/>
        <v>0</v>
      </c>
      <c r="L72" s="19">
        <f t="shared" si="14"/>
        <v>0</v>
      </c>
      <c r="M72" s="19">
        <f t="shared" si="14"/>
        <v>0</v>
      </c>
      <c r="N72" s="19">
        <f t="shared" si="14"/>
        <v>950</v>
      </c>
      <c r="O72" s="19">
        <f t="shared" si="14"/>
        <v>1000</v>
      </c>
      <c r="P72" s="19">
        <f t="shared" si="14"/>
        <v>420</v>
      </c>
      <c r="Q72" s="19">
        <f t="shared" si="14"/>
        <v>300</v>
      </c>
      <c r="R72" s="19">
        <f t="shared" si="14"/>
        <v>0</v>
      </c>
      <c r="S72" s="19">
        <f t="shared" si="14"/>
        <v>0</v>
      </c>
      <c r="T72" s="19">
        <f t="shared" si="14"/>
        <v>160</v>
      </c>
      <c r="U72" s="19">
        <f t="shared" si="14"/>
        <v>470</v>
      </c>
    </row>
    <row r="73" spans="1:21" s="3" customFormat="1" ht="14.1" customHeight="1" x14ac:dyDescent="0.25">
      <c r="A73" s="7" t="s">
        <v>93</v>
      </c>
      <c r="B73" s="7" t="s">
        <v>94</v>
      </c>
      <c r="C73" s="8" t="s">
        <v>95</v>
      </c>
      <c r="D73" s="9">
        <f>F73+H73+J73+L73+N73+P73+R73+T73</f>
        <v>22253</v>
      </c>
      <c r="E73" s="9">
        <f>G73+I73+K73+M73+O73+Q73+S73+U73</f>
        <v>22192</v>
      </c>
      <c r="F73" s="10">
        <f>SUM(F74:F79)</f>
        <v>20753</v>
      </c>
      <c r="G73" s="10">
        <f>SUM(G74:G79)</f>
        <v>21592</v>
      </c>
      <c r="H73" s="10">
        <v>0</v>
      </c>
      <c r="I73" s="52"/>
      <c r="J73" s="52">
        <v>0</v>
      </c>
      <c r="K73" s="52"/>
      <c r="L73" s="52">
        <v>0</v>
      </c>
      <c r="M73" s="52">
        <v>0</v>
      </c>
      <c r="N73" s="10">
        <f>SUM(N74:N79)</f>
        <v>0</v>
      </c>
      <c r="O73" s="52">
        <v>0</v>
      </c>
      <c r="P73" s="52">
        <f>SUM(P74:P79)</f>
        <v>0</v>
      </c>
      <c r="Q73" s="52">
        <f>SUM(Q74:Q79)</f>
        <v>0</v>
      </c>
      <c r="R73" s="52">
        <v>0</v>
      </c>
      <c r="S73" s="65">
        <v>0</v>
      </c>
      <c r="T73" s="52">
        <f>SUM(T74:T79)</f>
        <v>1500</v>
      </c>
      <c r="U73" s="52">
        <f>SUM(U74:U79)</f>
        <v>600</v>
      </c>
    </row>
    <row r="74" spans="1:21" ht="14.1" customHeight="1" x14ac:dyDescent="0.25">
      <c r="A74" s="24"/>
      <c r="B74" s="24"/>
      <c r="C74" s="25" t="s">
        <v>96</v>
      </c>
      <c r="D74" s="26"/>
      <c r="E74" s="26"/>
      <c r="F74" s="26"/>
      <c r="G74" s="26"/>
      <c r="H74" s="26"/>
      <c r="I74" s="58"/>
      <c r="J74" s="63"/>
      <c r="K74" s="78"/>
      <c r="L74" s="63"/>
      <c r="M74" s="78"/>
      <c r="N74" s="63"/>
      <c r="O74" s="63"/>
      <c r="P74" s="63" t="s">
        <v>622</v>
      </c>
      <c r="Q74" s="63"/>
      <c r="R74" s="63"/>
      <c r="S74" s="63"/>
      <c r="T74" s="63"/>
      <c r="U74" s="63"/>
    </row>
    <row r="75" spans="1:21" ht="14.1" customHeight="1" x14ac:dyDescent="0.25">
      <c r="A75" s="24"/>
      <c r="B75" s="24"/>
      <c r="C75" s="25" t="s">
        <v>97</v>
      </c>
      <c r="D75" s="26"/>
      <c r="E75" s="26"/>
      <c r="F75" s="26">
        <v>12241</v>
      </c>
      <c r="G75" s="26"/>
      <c r="H75" s="26"/>
      <c r="I75" s="58"/>
      <c r="J75" s="63"/>
      <c r="K75" s="78"/>
      <c r="L75" s="63"/>
      <c r="M75" s="78"/>
      <c r="N75" s="63"/>
      <c r="O75" s="63"/>
      <c r="P75" s="63"/>
      <c r="Q75" s="63"/>
      <c r="R75" s="63"/>
      <c r="S75" s="63"/>
      <c r="T75" s="63">
        <v>1500</v>
      </c>
      <c r="U75" s="63">
        <v>600</v>
      </c>
    </row>
    <row r="76" spans="1:21" ht="14.1" customHeight="1" x14ac:dyDescent="0.25">
      <c r="A76" s="24"/>
      <c r="B76" s="24"/>
      <c r="C76" s="25" t="s">
        <v>98</v>
      </c>
      <c r="D76" s="26"/>
      <c r="E76" s="26"/>
      <c r="F76" s="26">
        <v>4752</v>
      </c>
      <c r="G76" s="26"/>
      <c r="H76" s="26"/>
      <c r="I76" s="58"/>
      <c r="J76" s="63"/>
      <c r="K76" s="78"/>
      <c r="L76" s="63"/>
      <c r="M76" s="78"/>
      <c r="N76" s="63"/>
      <c r="O76" s="63"/>
      <c r="P76" s="63"/>
      <c r="Q76" s="63"/>
      <c r="R76" s="63"/>
      <c r="S76" s="63"/>
      <c r="T76" s="63"/>
      <c r="U76" s="63"/>
    </row>
    <row r="77" spans="1:21" ht="14.1" customHeight="1" x14ac:dyDescent="0.25">
      <c r="A77" s="24"/>
      <c r="B77" s="24"/>
      <c r="C77" s="25" t="s">
        <v>99</v>
      </c>
      <c r="D77" s="26"/>
      <c r="E77" s="26"/>
      <c r="F77" s="26">
        <v>200</v>
      </c>
      <c r="G77" s="26"/>
      <c r="H77" s="26"/>
      <c r="I77" s="58"/>
      <c r="J77" s="63"/>
      <c r="K77" s="78"/>
      <c r="L77" s="63"/>
      <c r="M77" s="78"/>
      <c r="N77" s="63"/>
      <c r="O77" s="63"/>
      <c r="P77" s="63"/>
      <c r="Q77" s="63"/>
      <c r="R77" s="63"/>
      <c r="S77" s="63"/>
      <c r="T77" s="63"/>
      <c r="U77" s="63"/>
    </row>
    <row r="78" spans="1:21" ht="14.1" customHeight="1" x14ac:dyDescent="0.25">
      <c r="A78" s="24"/>
      <c r="B78" s="24"/>
      <c r="C78" s="25" t="s">
        <v>100</v>
      </c>
      <c r="D78" s="26"/>
      <c r="E78" s="26"/>
      <c r="F78" s="26">
        <v>3530</v>
      </c>
      <c r="G78" s="26"/>
      <c r="H78" s="26"/>
      <c r="I78" s="58"/>
      <c r="J78" s="63"/>
      <c r="K78" s="78"/>
      <c r="L78" s="63"/>
      <c r="M78" s="78"/>
      <c r="N78" s="63"/>
      <c r="O78" s="63"/>
      <c r="P78" s="63"/>
      <c r="Q78" s="63"/>
      <c r="R78" s="63"/>
      <c r="S78" s="63"/>
      <c r="T78" s="63"/>
      <c r="U78" s="63"/>
    </row>
    <row r="79" spans="1:21" ht="14.1" customHeight="1" x14ac:dyDescent="0.25">
      <c r="A79" s="24"/>
      <c r="B79" s="24"/>
      <c r="C79" s="25" t="s">
        <v>101</v>
      </c>
      <c r="D79" s="26"/>
      <c r="E79" s="26"/>
      <c r="F79" s="26">
        <v>30</v>
      </c>
      <c r="G79" s="26">
        <v>21592</v>
      </c>
      <c r="H79" s="26"/>
      <c r="I79" s="58"/>
      <c r="J79" s="63"/>
      <c r="K79" s="78"/>
      <c r="L79" s="63"/>
      <c r="M79" s="78"/>
      <c r="N79" s="63"/>
      <c r="O79" s="63"/>
      <c r="P79" s="63"/>
      <c r="Q79" s="63"/>
      <c r="R79" s="63"/>
      <c r="S79" s="63"/>
      <c r="T79" s="63"/>
      <c r="U79" s="63"/>
    </row>
    <row r="80" spans="1:21" s="3" customFormat="1" ht="14.1" customHeight="1" x14ac:dyDescent="0.25">
      <c r="A80" s="7" t="s">
        <v>102</v>
      </c>
      <c r="B80" s="7" t="s">
        <v>103</v>
      </c>
      <c r="C80" s="8" t="s">
        <v>104</v>
      </c>
      <c r="D80" s="9">
        <f>F80+H80+J80+L80+N80+P80+R80+T80</f>
        <v>3514</v>
      </c>
      <c r="E80" s="9">
        <f>G80+I80+K80+M80+O80+Q80+S80+U80</f>
        <v>3510</v>
      </c>
      <c r="F80" s="10">
        <f>SUM(F81:F82)</f>
        <v>2684</v>
      </c>
      <c r="G80" s="10">
        <f>SUM(G81:G82)</f>
        <v>2600</v>
      </c>
      <c r="H80" s="10">
        <v>0</v>
      </c>
      <c r="I80" s="52"/>
      <c r="J80" s="52">
        <v>0</v>
      </c>
      <c r="K80" s="52"/>
      <c r="L80" s="52">
        <v>0</v>
      </c>
      <c r="M80" s="52">
        <v>0</v>
      </c>
      <c r="N80" s="10">
        <f>SUM(N81:N82)</f>
        <v>230</v>
      </c>
      <c r="O80" s="10">
        <f>SUM(O81:O82)</f>
        <v>200</v>
      </c>
      <c r="P80" s="52">
        <f>SUM(P81:P82)</f>
        <v>50</v>
      </c>
      <c r="Q80" s="52">
        <f>SUM(Q81:Q82)</f>
        <v>50</v>
      </c>
      <c r="R80" s="52">
        <v>0</v>
      </c>
      <c r="S80" s="65">
        <v>0</v>
      </c>
      <c r="T80" s="52">
        <f>SUM(T81:T82)</f>
        <v>550</v>
      </c>
      <c r="U80" s="52">
        <f>SUM(U81:U82)</f>
        <v>660</v>
      </c>
    </row>
    <row r="81" spans="1:21" ht="14.1" customHeight="1" x14ac:dyDescent="0.25">
      <c r="A81" s="24"/>
      <c r="B81" s="24"/>
      <c r="C81" s="25" t="s">
        <v>105</v>
      </c>
      <c r="D81" s="26"/>
      <c r="E81" s="26"/>
      <c r="F81" s="26">
        <v>2234</v>
      </c>
      <c r="G81" s="26">
        <v>2600</v>
      </c>
      <c r="H81" s="26"/>
      <c r="I81" s="58"/>
      <c r="J81" s="63"/>
      <c r="K81" s="78"/>
      <c r="L81" s="63"/>
      <c r="M81" s="78"/>
      <c r="N81" s="63">
        <v>230</v>
      </c>
      <c r="O81" s="63">
        <v>200</v>
      </c>
      <c r="P81" s="63">
        <v>50</v>
      </c>
      <c r="Q81" s="63">
        <v>50</v>
      </c>
      <c r="R81" s="63"/>
      <c r="S81" s="63"/>
      <c r="T81" s="63">
        <v>550</v>
      </c>
      <c r="U81" s="63">
        <v>660</v>
      </c>
    </row>
    <row r="82" spans="1:21" ht="14.1" customHeight="1" x14ac:dyDescent="0.25">
      <c r="A82" s="24"/>
      <c r="B82" s="24"/>
      <c r="C82" s="25" t="s">
        <v>106</v>
      </c>
      <c r="D82" s="26"/>
      <c r="E82" s="26"/>
      <c r="F82" s="26">
        <v>450</v>
      </c>
      <c r="G82" s="26">
        <v>0</v>
      </c>
      <c r="H82" s="26"/>
      <c r="I82" s="58"/>
      <c r="J82" s="63"/>
      <c r="K82" s="78"/>
      <c r="L82" s="63"/>
      <c r="M82" s="78"/>
      <c r="N82" s="63"/>
      <c r="O82" s="63"/>
      <c r="P82" s="63"/>
      <c r="Q82" s="63"/>
      <c r="R82" s="63"/>
      <c r="S82" s="63"/>
      <c r="T82" s="63"/>
      <c r="U82" s="63"/>
    </row>
    <row r="83" spans="1:21" s="3" customFormat="1" ht="14.1" customHeight="1" x14ac:dyDescent="0.25">
      <c r="A83" s="16" t="s">
        <v>107</v>
      </c>
      <c r="B83" s="16" t="s">
        <v>108</v>
      </c>
      <c r="C83" s="17" t="s">
        <v>109</v>
      </c>
      <c r="D83" s="19">
        <f>D73+D80</f>
        <v>25767</v>
      </c>
      <c r="E83" s="19">
        <f>E73+E80</f>
        <v>25702</v>
      </c>
      <c r="F83" s="19">
        <f>F73+F80</f>
        <v>23437</v>
      </c>
      <c r="G83" s="19">
        <f t="shared" ref="G83:U83" si="15">G73+G80</f>
        <v>24192</v>
      </c>
      <c r="H83" s="19">
        <f t="shared" si="15"/>
        <v>0</v>
      </c>
      <c r="I83" s="19">
        <f t="shared" si="15"/>
        <v>0</v>
      </c>
      <c r="J83" s="19">
        <f t="shared" si="15"/>
        <v>0</v>
      </c>
      <c r="K83" s="19">
        <f t="shared" si="15"/>
        <v>0</v>
      </c>
      <c r="L83" s="19">
        <f t="shared" si="15"/>
        <v>0</v>
      </c>
      <c r="M83" s="19">
        <f t="shared" si="15"/>
        <v>0</v>
      </c>
      <c r="N83" s="19">
        <f t="shared" si="15"/>
        <v>230</v>
      </c>
      <c r="O83" s="19">
        <f t="shared" si="15"/>
        <v>200</v>
      </c>
      <c r="P83" s="19">
        <f t="shared" si="15"/>
        <v>50</v>
      </c>
      <c r="Q83" s="19">
        <f t="shared" si="15"/>
        <v>50</v>
      </c>
      <c r="R83" s="19">
        <f t="shared" si="15"/>
        <v>0</v>
      </c>
      <c r="S83" s="19">
        <f t="shared" si="15"/>
        <v>0</v>
      </c>
      <c r="T83" s="19">
        <f t="shared" si="15"/>
        <v>2050</v>
      </c>
      <c r="U83" s="19">
        <f t="shared" si="15"/>
        <v>1260</v>
      </c>
    </row>
    <row r="84" spans="1:21" s="3" customFormat="1" ht="14.1" customHeight="1" x14ac:dyDescent="0.25">
      <c r="A84" s="7" t="s">
        <v>110</v>
      </c>
      <c r="B84" s="7" t="s">
        <v>111</v>
      </c>
      <c r="C84" s="8" t="s">
        <v>112</v>
      </c>
      <c r="D84" s="9">
        <f>F84+H84+J84+L84+N84+P84+R84+T84</f>
        <v>7850</v>
      </c>
      <c r="E84" s="9">
        <f>G84+I84+K84+M84+O84+Q84+S84+U84</f>
        <v>7750</v>
      </c>
      <c r="F84" s="10">
        <f>SUM(F85:F87)</f>
        <v>7850</v>
      </c>
      <c r="G84" s="10">
        <f>SUM(G85:G87)</f>
        <v>7750</v>
      </c>
      <c r="H84" s="10">
        <v>0</v>
      </c>
      <c r="I84" s="52"/>
      <c r="J84" s="52">
        <v>0</v>
      </c>
      <c r="K84" s="52"/>
      <c r="L84" s="52">
        <v>0</v>
      </c>
      <c r="M84" s="52">
        <v>0</v>
      </c>
      <c r="N84" s="10">
        <f>SUM(N85:N87)</f>
        <v>0</v>
      </c>
      <c r="O84" s="52">
        <v>0</v>
      </c>
      <c r="P84" s="52">
        <f>SUM(P85:P87)</f>
        <v>0</v>
      </c>
      <c r="Q84" s="52">
        <f>SUM(Q85:Q87)</f>
        <v>0</v>
      </c>
      <c r="R84" s="52">
        <v>0</v>
      </c>
      <c r="S84" s="65">
        <v>0</v>
      </c>
      <c r="T84" s="52">
        <f>SUM(T85:T87)</f>
        <v>0</v>
      </c>
      <c r="U84" s="52">
        <f>SUM(U85:U87)</f>
        <v>0</v>
      </c>
    </row>
    <row r="85" spans="1:21" ht="14.1" customHeight="1" x14ac:dyDescent="0.25">
      <c r="A85" s="24"/>
      <c r="B85" s="24"/>
      <c r="C85" s="25" t="s">
        <v>113</v>
      </c>
      <c r="D85" s="26"/>
      <c r="E85" s="26"/>
      <c r="F85" s="26">
        <v>3300</v>
      </c>
      <c r="G85" s="26">
        <v>3300</v>
      </c>
      <c r="H85" s="26"/>
      <c r="I85" s="58"/>
      <c r="J85" s="63"/>
      <c r="K85" s="78"/>
      <c r="L85" s="63"/>
      <c r="M85" s="78"/>
      <c r="N85" s="63"/>
      <c r="O85" s="63"/>
      <c r="P85" s="63"/>
      <c r="Q85" s="63"/>
      <c r="R85" s="63"/>
      <c r="S85" s="63"/>
      <c r="T85" s="63"/>
      <c r="U85" s="63"/>
    </row>
    <row r="86" spans="1:21" ht="14.1" customHeight="1" x14ac:dyDescent="0.25">
      <c r="A86" s="24"/>
      <c r="B86" s="24"/>
      <c r="C86" s="25" t="s">
        <v>114</v>
      </c>
      <c r="D86" s="26"/>
      <c r="E86" s="26"/>
      <c r="F86" s="26">
        <v>4000</v>
      </c>
      <c r="G86" s="26">
        <v>4000</v>
      </c>
      <c r="H86" s="26"/>
      <c r="I86" s="58"/>
      <c r="J86" s="63"/>
      <c r="K86" s="78"/>
      <c r="L86" s="63"/>
      <c r="M86" s="78"/>
      <c r="N86" s="63"/>
      <c r="O86" s="63"/>
      <c r="P86" s="63"/>
      <c r="Q86" s="63"/>
      <c r="R86" s="63"/>
      <c r="S86" s="63"/>
      <c r="T86" s="63"/>
      <c r="U86" s="63"/>
    </row>
    <row r="87" spans="1:21" ht="14.1" customHeight="1" x14ac:dyDescent="0.25">
      <c r="A87" s="24"/>
      <c r="B87" s="24"/>
      <c r="C87" s="25" t="s">
        <v>115</v>
      </c>
      <c r="D87" s="26"/>
      <c r="E87" s="26"/>
      <c r="F87" s="26">
        <v>550</v>
      </c>
      <c r="G87" s="26">
        <v>450</v>
      </c>
      <c r="H87" s="26"/>
      <c r="I87" s="58"/>
      <c r="J87" s="63"/>
      <c r="K87" s="78"/>
      <c r="L87" s="63"/>
      <c r="M87" s="78"/>
      <c r="N87" s="63"/>
      <c r="O87" s="63"/>
      <c r="P87" s="63"/>
      <c r="Q87" s="63"/>
      <c r="R87" s="63"/>
      <c r="S87" s="63"/>
      <c r="T87" s="63"/>
      <c r="U87" s="63"/>
    </row>
    <row r="88" spans="1:21" s="3" customFormat="1" ht="14.1" customHeight="1" x14ac:dyDescent="0.25">
      <c r="A88" s="7" t="s">
        <v>116</v>
      </c>
      <c r="B88" s="7" t="s">
        <v>117</v>
      </c>
      <c r="C88" s="8" t="s">
        <v>118</v>
      </c>
      <c r="D88" s="9">
        <f>F88+H88+J88+L88+N88+P88+R88+T88</f>
        <v>0</v>
      </c>
      <c r="E88" s="9">
        <f>G88+I88+K88+M88+O88+Q88+S88+U88</f>
        <v>0</v>
      </c>
      <c r="F88" s="10">
        <v>0</v>
      </c>
      <c r="G88" s="10">
        <v>0</v>
      </c>
      <c r="H88" s="10">
        <v>0</v>
      </c>
      <c r="I88" s="52"/>
      <c r="J88" s="52">
        <v>0</v>
      </c>
      <c r="K88" s="52"/>
      <c r="L88" s="52">
        <v>0</v>
      </c>
      <c r="M88" s="80">
        <v>0</v>
      </c>
      <c r="N88" s="52">
        <v>0</v>
      </c>
      <c r="O88" s="52">
        <v>0</v>
      </c>
      <c r="P88" s="52">
        <v>0</v>
      </c>
      <c r="Q88" s="65">
        <v>0</v>
      </c>
      <c r="R88" s="52">
        <v>0</v>
      </c>
      <c r="S88" s="65">
        <v>0</v>
      </c>
      <c r="T88" s="52">
        <v>0</v>
      </c>
      <c r="U88" s="52">
        <v>0</v>
      </c>
    </row>
    <row r="89" spans="1:21" s="3" customFormat="1" ht="14.1" customHeight="1" x14ac:dyDescent="0.25">
      <c r="A89" s="7" t="s">
        <v>119</v>
      </c>
      <c r="B89" s="7" t="s">
        <v>120</v>
      </c>
      <c r="C89" s="8" t="s">
        <v>121</v>
      </c>
      <c r="D89" s="9">
        <f>F89+H89+J89+L89+N89+P89+R89+T89</f>
        <v>9290</v>
      </c>
      <c r="E89" s="9">
        <f>G89+I89+K89+M89+O89+Q89+S89+U89</f>
        <v>9115</v>
      </c>
      <c r="F89" s="10">
        <f>SUM(F90:F91)</f>
        <v>9290</v>
      </c>
      <c r="G89" s="10">
        <f>SUM(G90:G91)</f>
        <v>9115</v>
      </c>
      <c r="H89" s="10">
        <v>0</v>
      </c>
      <c r="I89" s="52"/>
      <c r="J89" s="52">
        <v>0</v>
      </c>
      <c r="K89" s="52"/>
      <c r="L89" s="52">
        <v>0</v>
      </c>
      <c r="M89" s="52">
        <v>0</v>
      </c>
      <c r="N89" s="10">
        <f>SUM(N90:N91)</f>
        <v>0</v>
      </c>
      <c r="O89" s="52">
        <v>0</v>
      </c>
      <c r="P89" s="52">
        <f>SUM(P90:P91)</f>
        <v>0</v>
      </c>
      <c r="Q89" s="52">
        <f>SUM(Q90:Q91)</f>
        <v>0</v>
      </c>
      <c r="R89" s="52">
        <v>0</v>
      </c>
      <c r="S89" s="65">
        <v>0</v>
      </c>
      <c r="T89" s="52">
        <f>SUM(T90:T91)</f>
        <v>0</v>
      </c>
      <c r="U89" s="52">
        <f>SUM(U90:U91)</f>
        <v>0</v>
      </c>
    </row>
    <row r="90" spans="1:21" ht="14.1" customHeight="1" x14ac:dyDescent="0.25">
      <c r="A90" s="24"/>
      <c r="B90" s="24"/>
      <c r="C90" s="25" t="s">
        <v>122</v>
      </c>
      <c r="D90" s="26"/>
      <c r="E90" s="26"/>
      <c r="F90" s="26"/>
      <c r="G90" s="26"/>
      <c r="H90" s="26"/>
      <c r="I90" s="58"/>
      <c r="J90" s="63"/>
      <c r="K90" s="78"/>
      <c r="L90" s="63"/>
      <c r="M90" s="78"/>
      <c r="N90" s="63"/>
      <c r="O90" s="63"/>
      <c r="P90" s="63"/>
      <c r="Q90" s="63"/>
      <c r="R90" s="63"/>
      <c r="S90" s="63"/>
      <c r="T90" s="63"/>
      <c r="U90" s="63"/>
    </row>
    <row r="91" spans="1:21" ht="14.1" customHeight="1" x14ac:dyDescent="0.25">
      <c r="A91" s="24"/>
      <c r="B91" s="24"/>
      <c r="C91" s="25" t="s">
        <v>123</v>
      </c>
      <c r="D91" s="26"/>
      <c r="E91" s="26"/>
      <c r="F91" s="26">
        <v>9290</v>
      </c>
      <c r="G91" s="26">
        <v>9115</v>
      </c>
      <c r="H91" s="26"/>
      <c r="I91" s="58"/>
      <c r="J91" s="63"/>
      <c r="K91" s="78"/>
      <c r="L91" s="63"/>
      <c r="M91" s="78"/>
      <c r="N91" s="63"/>
      <c r="O91" s="63"/>
      <c r="P91" s="63"/>
      <c r="Q91" s="63"/>
      <c r="R91" s="63"/>
      <c r="S91" s="63"/>
      <c r="T91" s="63"/>
      <c r="U91" s="63"/>
    </row>
    <row r="92" spans="1:21" s="3" customFormat="1" ht="14.1" customHeight="1" x14ac:dyDescent="0.25">
      <c r="A92" s="7" t="s">
        <v>124</v>
      </c>
      <c r="B92" s="7" t="s">
        <v>125</v>
      </c>
      <c r="C92" s="8" t="s">
        <v>126</v>
      </c>
      <c r="D92" s="9">
        <f t="shared" ref="D92:E93" si="16">F92+H92+J92+L92+N92+P92+R92+T92</f>
        <v>1650</v>
      </c>
      <c r="E92" s="9">
        <f t="shared" si="16"/>
        <v>1895</v>
      </c>
      <c r="F92" s="10">
        <v>1450</v>
      </c>
      <c r="G92" s="10">
        <v>1650</v>
      </c>
      <c r="H92" s="10">
        <v>0</v>
      </c>
      <c r="I92" s="52"/>
      <c r="J92" s="65">
        <v>0</v>
      </c>
      <c r="K92" s="80"/>
      <c r="L92" s="65">
        <v>0</v>
      </c>
      <c r="M92" s="80">
        <v>0</v>
      </c>
      <c r="N92" s="65">
        <v>100</v>
      </c>
      <c r="O92" s="65">
        <f>100+55+40</f>
        <v>195</v>
      </c>
      <c r="P92" s="65">
        <v>100</v>
      </c>
      <c r="Q92" s="65">
        <f>50</f>
        <v>50</v>
      </c>
      <c r="R92" s="65">
        <v>0</v>
      </c>
      <c r="S92" s="65">
        <v>0</v>
      </c>
      <c r="T92" s="65">
        <v>0</v>
      </c>
      <c r="U92" s="65">
        <v>0</v>
      </c>
    </row>
    <row r="93" spans="1:21" s="3" customFormat="1" ht="14.1" customHeight="1" x14ac:dyDescent="0.25">
      <c r="A93" s="7" t="s">
        <v>127</v>
      </c>
      <c r="B93" s="7" t="s">
        <v>128</v>
      </c>
      <c r="C93" s="8" t="s">
        <v>129</v>
      </c>
      <c r="D93" s="9">
        <f t="shared" si="16"/>
        <v>1160</v>
      </c>
      <c r="E93" s="9">
        <f t="shared" si="16"/>
        <v>1160</v>
      </c>
      <c r="F93" s="10">
        <f>SUM(F94:F95)</f>
        <v>1000</v>
      </c>
      <c r="G93" s="10">
        <f>SUM(G94:G95)</f>
        <v>1000</v>
      </c>
      <c r="H93" s="10">
        <v>0</v>
      </c>
      <c r="I93" s="52"/>
      <c r="J93" s="52">
        <v>0</v>
      </c>
      <c r="K93" s="52"/>
      <c r="L93" s="52">
        <v>0</v>
      </c>
      <c r="M93" s="52">
        <v>0</v>
      </c>
      <c r="N93" s="10">
        <f>SUM(N94:N95)</f>
        <v>0</v>
      </c>
      <c r="O93" s="10">
        <f>SUM(O94:O95)</f>
        <v>0</v>
      </c>
      <c r="P93" s="52">
        <f>SUM(P94:P95)</f>
        <v>0</v>
      </c>
      <c r="Q93" s="65">
        <v>0</v>
      </c>
      <c r="R93" s="52">
        <v>0</v>
      </c>
      <c r="S93" s="65">
        <v>0</v>
      </c>
      <c r="T93" s="52">
        <f>SUM(T94:T95)</f>
        <v>160</v>
      </c>
      <c r="U93" s="52">
        <f>SUM(U94:U95)</f>
        <v>160</v>
      </c>
    </row>
    <row r="94" spans="1:21" ht="14.1" customHeight="1" x14ac:dyDescent="0.25">
      <c r="A94" s="24"/>
      <c r="B94" s="24"/>
      <c r="C94" s="25" t="s">
        <v>130</v>
      </c>
      <c r="D94" s="26"/>
      <c r="E94" s="26"/>
      <c r="F94" s="26">
        <v>500</v>
      </c>
      <c r="G94" s="26">
        <v>500</v>
      </c>
      <c r="H94" s="26"/>
      <c r="I94" s="58"/>
      <c r="J94" s="63"/>
      <c r="K94" s="78"/>
      <c r="L94" s="63"/>
      <c r="M94" s="78"/>
      <c r="N94" s="63"/>
      <c r="O94" s="63"/>
      <c r="P94" s="63"/>
      <c r="Q94" s="63"/>
      <c r="R94" s="63"/>
      <c r="S94" s="63"/>
      <c r="T94" s="63"/>
      <c r="U94" s="63"/>
    </row>
    <row r="95" spans="1:21" ht="14.1" customHeight="1" x14ac:dyDescent="0.25">
      <c r="A95" s="24"/>
      <c r="B95" s="24"/>
      <c r="C95" s="25" t="s">
        <v>131</v>
      </c>
      <c r="D95" s="26"/>
      <c r="E95" s="26"/>
      <c r="F95" s="26">
        <v>500</v>
      </c>
      <c r="G95" s="26">
        <v>500</v>
      </c>
      <c r="H95" s="26"/>
      <c r="I95" s="58"/>
      <c r="J95" s="63"/>
      <c r="K95" s="78"/>
      <c r="L95" s="63"/>
      <c r="M95" s="78"/>
      <c r="N95" s="63"/>
      <c r="O95" s="63"/>
      <c r="P95" s="63"/>
      <c r="Q95" s="63"/>
      <c r="R95" s="63"/>
      <c r="S95" s="63"/>
      <c r="T95" s="63">
        <v>160</v>
      </c>
      <c r="U95" s="63">
        <v>160</v>
      </c>
    </row>
    <row r="96" spans="1:21" s="3" customFormat="1" ht="14.1" customHeight="1" x14ac:dyDescent="0.25">
      <c r="A96" s="7" t="s">
        <v>132</v>
      </c>
      <c r="B96" s="7" t="s">
        <v>133</v>
      </c>
      <c r="C96" s="8" t="s">
        <v>134</v>
      </c>
      <c r="D96" s="9">
        <f>F96+H96+J96+L96+N96+P96+R96+T96</f>
        <v>10115</v>
      </c>
      <c r="E96" s="9">
        <f>G96+I96+K96+M96+O96+Q96+S96+U96</f>
        <v>13000</v>
      </c>
      <c r="F96" s="10">
        <f>SUM(F97:F99)</f>
        <v>8490</v>
      </c>
      <c r="G96" s="10">
        <f>SUM(G97:G99)</f>
        <v>13000</v>
      </c>
      <c r="H96" s="10">
        <v>0</v>
      </c>
      <c r="I96" s="52"/>
      <c r="J96" s="52">
        <v>0</v>
      </c>
      <c r="K96" s="52"/>
      <c r="L96" s="52">
        <v>0</v>
      </c>
      <c r="M96" s="52">
        <v>0</v>
      </c>
      <c r="N96" s="10">
        <f>SUM(N97:N99)</f>
        <v>0</v>
      </c>
      <c r="O96" s="10">
        <f>SUM(O97:O99)</f>
        <v>0</v>
      </c>
      <c r="P96" s="52">
        <f>SUM(P97:P99)</f>
        <v>25</v>
      </c>
      <c r="Q96" s="65">
        <v>0</v>
      </c>
      <c r="R96" s="52">
        <v>0</v>
      </c>
      <c r="S96" s="65">
        <v>0</v>
      </c>
      <c r="T96" s="52">
        <f>SUM(T97:T99)</f>
        <v>1600</v>
      </c>
      <c r="U96" s="52">
        <f>SUM(U97:U99)</f>
        <v>0</v>
      </c>
    </row>
    <row r="97" spans="1:21" ht="14.1" customHeight="1" x14ac:dyDescent="0.25">
      <c r="A97" s="24"/>
      <c r="B97" s="24"/>
      <c r="C97" s="25" t="s">
        <v>135</v>
      </c>
      <c r="D97" s="26"/>
      <c r="E97" s="26"/>
      <c r="F97" s="26"/>
      <c r="G97" s="26"/>
      <c r="H97" s="26"/>
      <c r="I97" s="58"/>
      <c r="J97" s="63"/>
      <c r="K97" s="78"/>
      <c r="L97" s="63"/>
      <c r="M97" s="78"/>
      <c r="N97" s="63"/>
      <c r="O97" s="63"/>
      <c r="P97" s="63"/>
      <c r="Q97" s="63"/>
      <c r="R97" s="63"/>
      <c r="S97" s="63"/>
      <c r="T97" s="63"/>
      <c r="U97" s="63"/>
    </row>
    <row r="98" spans="1:21" ht="14.1" customHeight="1" x14ac:dyDescent="0.25">
      <c r="A98" s="24"/>
      <c r="B98" s="24"/>
      <c r="C98" s="25" t="s">
        <v>136</v>
      </c>
      <c r="D98" s="26"/>
      <c r="E98" s="26"/>
      <c r="F98" s="26"/>
      <c r="G98" s="26"/>
      <c r="H98" s="26"/>
      <c r="I98" s="58"/>
      <c r="J98" s="63"/>
      <c r="K98" s="78"/>
      <c r="L98" s="63"/>
      <c r="M98" s="78"/>
      <c r="N98" s="63"/>
      <c r="O98" s="63"/>
      <c r="P98" s="63"/>
      <c r="Q98" s="63"/>
      <c r="R98" s="63"/>
      <c r="S98" s="63"/>
      <c r="T98" s="63"/>
      <c r="U98" s="63"/>
    </row>
    <row r="99" spans="1:21" ht="14.1" customHeight="1" x14ac:dyDescent="0.25">
      <c r="A99" s="24"/>
      <c r="B99" s="24"/>
      <c r="C99" s="25" t="s">
        <v>137</v>
      </c>
      <c r="D99" s="26"/>
      <c r="E99" s="26"/>
      <c r="F99" s="26">
        <v>8490</v>
      </c>
      <c r="G99" s="26">
        <v>13000</v>
      </c>
      <c r="H99" s="26"/>
      <c r="I99" s="58"/>
      <c r="J99" s="63"/>
      <c r="K99" s="78"/>
      <c r="L99" s="63"/>
      <c r="M99" s="78"/>
      <c r="N99" s="63"/>
      <c r="O99" s="63"/>
      <c r="P99" s="63">
        <v>25</v>
      </c>
      <c r="Q99" s="63"/>
      <c r="R99" s="63"/>
      <c r="S99" s="63"/>
      <c r="T99" s="63">
        <v>1600</v>
      </c>
      <c r="U99" s="63">
        <v>0</v>
      </c>
    </row>
    <row r="100" spans="1:21" s="3" customFormat="1" ht="14.1" customHeight="1" x14ac:dyDescent="0.25">
      <c r="A100" s="7" t="s">
        <v>138</v>
      </c>
      <c r="B100" s="7" t="s">
        <v>139</v>
      </c>
      <c r="C100" s="8" t="s">
        <v>140</v>
      </c>
      <c r="D100" s="9">
        <f>F100+H100+J100+L100+N100+P100+R100+T100</f>
        <v>21218</v>
      </c>
      <c r="E100" s="9">
        <f>G100+I100+K100+M100+O100+Q100+S100+U100</f>
        <v>25742</v>
      </c>
      <c r="F100" s="10">
        <f>SUM(F101:F104)</f>
        <v>21023</v>
      </c>
      <c r="G100" s="10">
        <f>SUM(G101:G104)</f>
        <v>23357</v>
      </c>
      <c r="H100" s="10">
        <v>0</v>
      </c>
      <c r="I100" s="52"/>
      <c r="J100" s="52">
        <v>0</v>
      </c>
      <c r="K100" s="52"/>
      <c r="L100" s="52">
        <v>0</v>
      </c>
      <c r="M100" s="52">
        <v>0</v>
      </c>
      <c r="N100" s="10">
        <f>SUM(N101:N104)</f>
        <v>170</v>
      </c>
      <c r="O100" s="10">
        <f>SUM(O101:O104)</f>
        <v>320</v>
      </c>
      <c r="P100" s="52">
        <f>SUM(P101:P104)</f>
        <v>25</v>
      </c>
      <c r="Q100" s="52">
        <f>SUM(Q101:Q104)</f>
        <v>25</v>
      </c>
      <c r="R100" s="52">
        <v>0</v>
      </c>
      <c r="S100" s="65">
        <v>0</v>
      </c>
      <c r="T100" s="52">
        <f>SUM(T101:T104)</f>
        <v>0</v>
      </c>
      <c r="U100" s="52">
        <f>SUM(U101:U104)</f>
        <v>2040</v>
      </c>
    </row>
    <row r="101" spans="1:21" ht="14.1" customHeight="1" x14ac:dyDescent="0.25">
      <c r="A101" s="24"/>
      <c r="B101" s="24"/>
      <c r="C101" s="25" t="s">
        <v>141</v>
      </c>
      <c r="D101" s="26"/>
      <c r="E101" s="26"/>
      <c r="F101" s="26">
        <v>447</v>
      </c>
      <c r="G101" s="26"/>
      <c r="H101" s="26"/>
      <c r="I101" s="58"/>
      <c r="J101" s="63"/>
      <c r="K101" s="78"/>
      <c r="L101" s="63"/>
      <c r="M101" s="78"/>
      <c r="N101" s="63">
        <v>120</v>
      </c>
      <c r="O101" s="63">
        <v>120</v>
      </c>
      <c r="P101" s="63">
        <v>6</v>
      </c>
      <c r="Q101" s="63">
        <v>6</v>
      </c>
      <c r="R101" s="63"/>
      <c r="S101" s="63"/>
      <c r="T101" s="63"/>
      <c r="U101" s="63"/>
    </row>
    <row r="102" spans="1:21" ht="14.1" customHeight="1" x14ac:dyDescent="0.25">
      <c r="A102" s="24"/>
      <c r="B102" s="24"/>
      <c r="C102" s="25" t="s">
        <v>142</v>
      </c>
      <c r="D102" s="26"/>
      <c r="E102" s="26"/>
      <c r="F102" s="26">
        <v>900</v>
      </c>
      <c r="G102" s="26"/>
      <c r="H102" s="26"/>
      <c r="I102" s="58"/>
      <c r="J102" s="63"/>
      <c r="K102" s="78"/>
      <c r="L102" s="63"/>
      <c r="M102" s="78"/>
      <c r="N102" s="63"/>
      <c r="O102" s="63"/>
      <c r="P102" s="63"/>
      <c r="Q102" s="63"/>
      <c r="R102" s="63"/>
      <c r="S102" s="63"/>
      <c r="T102" s="63"/>
      <c r="U102" s="63"/>
    </row>
    <row r="103" spans="1:21" ht="14.1" customHeight="1" x14ac:dyDescent="0.25">
      <c r="A103" s="24"/>
      <c r="B103" s="24"/>
      <c r="C103" s="25" t="s">
        <v>143</v>
      </c>
      <c r="D103" s="26"/>
      <c r="E103" s="26"/>
      <c r="F103" s="26"/>
      <c r="G103" s="26"/>
      <c r="H103" s="26"/>
      <c r="I103" s="58"/>
      <c r="J103" s="63"/>
      <c r="K103" s="78"/>
      <c r="L103" s="63"/>
      <c r="M103" s="78"/>
      <c r="N103" s="63"/>
      <c r="O103" s="63"/>
      <c r="P103" s="63"/>
      <c r="Q103" s="63"/>
      <c r="R103" s="63"/>
      <c r="S103" s="63"/>
      <c r="T103" s="63"/>
      <c r="U103" s="63"/>
    </row>
    <row r="104" spans="1:21" ht="14.1" customHeight="1" x14ac:dyDescent="0.25">
      <c r="A104" s="24"/>
      <c r="B104" s="24"/>
      <c r="C104" s="25" t="s">
        <v>144</v>
      </c>
      <c r="D104" s="26"/>
      <c r="E104" s="26"/>
      <c r="F104" s="26">
        <v>19676</v>
      </c>
      <c r="G104" s="26">
        <v>23357</v>
      </c>
      <c r="H104" s="26"/>
      <c r="I104" s="58"/>
      <c r="J104" s="63"/>
      <c r="K104" s="78"/>
      <c r="L104" s="63"/>
      <c r="M104" s="78"/>
      <c r="N104" s="63">
        <v>50</v>
      </c>
      <c r="O104" s="63">
        <v>200</v>
      </c>
      <c r="P104" s="63">
        <v>19</v>
      </c>
      <c r="Q104" s="63">
        <v>19</v>
      </c>
      <c r="R104" s="63"/>
      <c r="S104" s="63"/>
      <c r="T104" s="63"/>
      <c r="U104" s="63">
        <f>680*3</f>
        <v>2040</v>
      </c>
    </row>
    <row r="105" spans="1:21" s="3" customFormat="1" ht="14.1" customHeight="1" x14ac:dyDescent="0.25">
      <c r="A105" s="16" t="s">
        <v>145</v>
      </c>
      <c r="B105" s="16" t="s">
        <v>146</v>
      </c>
      <c r="C105" s="17" t="s">
        <v>147</v>
      </c>
      <c r="D105" s="19">
        <f>D84+D88+D89+D92+D93+D96+D100</f>
        <v>51283</v>
      </c>
      <c r="E105" s="19">
        <f>E84+E88+E89+E92+E93+E96+E100</f>
        <v>58662</v>
      </c>
      <c r="F105" s="19">
        <f>F84+F88+F89+F92+F93+F96+F100</f>
        <v>49103</v>
      </c>
      <c r="G105" s="19">
        <f t="shared" ref="G105:U105" si="17">G84+G88+G89+G92+G93+G96+G100</f>
        <v>55872</v>
      </c>
      <c r="H105" s="19">
        <f t="shared" si="17"/>
        <v>0</v>
      </c>
      <c r="I105" s="19">
        <f t="shared" si="17"/>
        <v>0</v>
      </c>
      <c r="J105" s="19">
        <f t="shared" si="17"/>
        <v>0</v>
      </c>
      <c r="K105" s="19">
        <f t="shared" si="17"/>
        <v>0</v>
      </c>
      <c r="L105" s="19">
        <f t="shared" si="17"/>
        <v>0</v>
      </c>
      <c r="M105" s="19">
        <f t="shared" si="17"/>
        <v>0</v>
      </c>
      <c r="N105" s="19">
        <f t="shared" si="17"/>
        <v>270</v>
      </c>
      <c r="O105" s="19">
        <f t="shared" si="17"/>
        <v>515</v>
      </c>
      <c r="P105" s="19">
        <f t="shared" si="17"/>
        <v>150</v>
      </c>
      <c r="Q105" s="19">
        <f t="shared" si="17"/>
        <v>75</v>
      </c>
      <c r="R105" s="19">
        <f t="shared" si="17"/>
        <v>0</v>
      </c>
      <c r="S105" s="19">
        <f t="shared" si="17"/>
        <v>0</v>
      </c>
      <c r="T105" s="19">
        <f t="shared" si="17"/>
        <v>1760</v>
      </c>
      <c r="U105" s="19">
        <f t="shared" si="17"/>
        <v>2200</v>
      </c>
    </row>
    <row r="106" spans="1:21" s="3" customFormat="1" ht="14.1" customHeight="1" x14ac:dyDescent="0.25">
      <c r="A106" s="7" t="s">
        <v>148</v>
      </c>
      <c r="B106" s="7" t="s">
        <v>149</v>
      </c>
      <c r="C106" s="8" t="s">
        <v>150</v>
      </c>
      <c r="D106" s="9">
        <f>F106+H106+J106+L106+N106+P106+R106+T106</f>
        <v>460</v>
      </c>
      <c r="E106" s="9">
        <f>G106+I106+K106+M106+O106+Q106+S106+U106</f>
        <v>350</v>
      </c>
      <c r="F106" s="10">
        <f>SUM(F107:F108)</f>
        <v>400</v>
      </c>
      <c r="G106" s="10">
        <f>SUM(G107:G108)</f>
        <v>300</v>
      </c>
      <c r="H106" s="10">
        <v>0</v>
      </c>
      <c r="I106" s="52"/>
      <c r="J106" s="52">
        <v>0</v>
      </c>
      <c r="K106" s="52"/>
      <c r="L106" s="52">
        <v>0</v>
      </c>
      <c r="M106" s="52">
        <v>0</v>
      </c>
      <c r="N106" s="52">
        <f>SUM(N107:N108)</f>
        <v>60</v>
      </c>
      <c r="O106" s="52">
        <f>SUM(O107:O108)</f>
        <v>50</v>
      </c>
      <c r="P106" s="52">
        <f>SUM(P107:P108)</f>
        <v>0</v>
      </c>
      <c r="Q106" s="52">
        <f>SUM(Q107:Q108)</f>
        <v>0</v>
      </c>
      <c r="R106" s="52">
        <v>0</v>
      </c>
      <c r="S106" s="65">
        <v>0</v>
      </c>
      <c r="T106" s="52">
        <f>SUM(T107:T108)</f>
        <v>0</v>
      </c>
      <c r="U106" s="52">
        <f>SUM(U107:U108)</f>
        <v>0</v>
      </c>
    </row>
    <row r="107" spans="1:21" ht="14.1" customHeight="1" x14ac:dyDescent="0.25">
      <c r="A107" s="24"/>
      <c r="B107" s="24"/>
      <c r="C107" s="25" t="s">
        <v>151</v>
      </c>
      <c r="D107" s="26"/>
      <c r="E107" s="26"/>
      <c r="F107" s="26">
        <v>400</v>
      </c>
      <c r="G107" s="26">
        <v>300</v>
      </c>
      <c r="H107" s="26"/>
      <c r="I107" s="58"/>
      <c r="J107" s="63"/>
      <c r="K107" s="78"/>
      <c r="L107" s="63"/>
      <c r="M107" s="78"/>
      <c r="N107" s="63">
        <v>60</v>
      </c>
      <c r="O107" s="63">
        <v>50</v>
      </c>
      <c r="P107" s="63"/>
      <c r="Q107" s="63"/>
      <c r="R107" s="63"/>
      <c r="S107" s="63"/>
      <c r="T107" s="63"/>
      <c r="U107" s="63"/>
    </row>
    <row r="108" spans="1:21" ht="14.1" customHeight="1" x14ac:dyDescent="0.25">
      <c r="A108" s="24"/>
      <c r="B108" s="24"/>
      <c r="C108" s="25" t="s">
        <v>152</v>
      </c>
      <c r="D108" s="26"/>
      <c r="E108" s="26"/>
      <c r="F108" s="26">
        <v>0</v>
      </c>
      <c r="G108" s="26"/>
      <c r="H108" s="26"/>
      <c r="I108" s="58"/>
      <c r="J108" s="63"/>
      <c r="K108" s="78"/>
      <c r="L108" s="63"/>
      <c r="M108" s="78"/>
      <c r="N108" s="63"/>
      <c r="O108" s="63"/>
      <c r="P108" s="63"/>
      <c r="Q108" s="63"/>
      <c r="R108" s="63"/>
      <c r="S108" s="63"/>
      <c r="T108" s="63"/>
      <c r="U108" s="63"/>
    </row>
    <row r="109" spans="1:21" s="3" customFormat="1" ht="14.1" customHeight="1" x14ac:dyDescent="0.25">
      <c r="A109" s="7" t="s">
        <v>153</v>
      </c>
      <c r="B109" s="7" t="s">
        <v>154</v>
      </c>
      <c r="C109" s="8" t="s">
        <v>155</v>
      </c>
      <c r="D109" s="9">
        <f>F109+H109+J109+L109+N109+P109+R109+T109</f>
        <v>0</v>
      </c>
      <c r="E109" s="9">
        <f>G109+I109+K109+M109+O109+Q109+S109+U109</f>
        <v>0</v>
      </c>
      <c r="F109" s="10">
        <v>0</v>
      </c>
      <c r="G109" s="10">
        <v>0</v>
      </c>
      <c r="H109" s="10">
        <v>0</v>
      </c>
      <c r="I109" s="52"/>
      <c r="J109" s="52">
        <v>0</v>
      </c>
      <c r="K109" s="80"/>
      <c r="L109" s="65">
        <v>0</v>
      </c>
      <c r="M109" s="80">
        <v>0</v>
      </c>
      <c r="N109" s="65">
        <v>0</v>
      </c>
      <c r="O109" s="65">
        <v>0</v>
      </c>
      <c r="P109" s="65">
        <v>0</v>
      </c>
      <c r="Q109" s="65"/>
      <c r="R109" s="65">
        <v>0</v>
      </c>
      <c r="S109" s="65">
        <v>0</v>
      </c>
      <c r="T109" s="65">
        <v>0</v>
      </c>
      <c r="U109" s="65">
        <v>0</v>
      </c>
    </row>
    <row r="110" spans="1:21" s="3" customFormat="1" ht="14.1" customHeight="1" x14ac:dyDescent="0.25">
      <c r="A110" s="16" t="s">
        <v>156</v>
      </c>
      <c r="B110" s="16" t="s">
        <v>157</v>
      </c>
      <c r="C110" s="17" t="s">
        <v>158</v>
      </c>
      <c r="D110" s="19">
        <f>D106+D109</f>
        <v>460</v>
      </c>
      <c r="E110" s="19">
        <f>E106+E109</f>
        <v>350</v>
      </c>
      <c r="F110" s="19">
        <f>F106+F109</f>
        <v>400</v>
      </c>
      <c r="G110" s="19">
        <f t="shared" ref="G110:U110" si="18">G106+G109</f>
        <v>300</v>
      </c>
      <c r="H110" s="19">
        <f t="shared" si="18"/>
        <v>0</v>
      </c>
      <c r="I110" s="19">
        <f t="shared" si="18"/>
        <v>0</v>
      </c>
      <c r="J110" s="19">
        <f t="shared" si="18"/>
        <v>0</v>
      </c>
      <c r="K110" s="19">
        <f t="shared" si="18"/>
        <v>0</v>
      </c>
      <c r="L110" s="19">
        <f t="shared" si="18"/>
        <v>0</v>
      </c>
      <c r="M110" s="19">
        <f t="shared" si="18"/>
        <v>0</v>
      </c>
      <c r="N110" s="19">
        <f t="shared" si="18"/>
        <v>60</v>
      </c>
      <c r="O110" s="19">
        <f t="shared" si="18"/>
        <v>50</v>
      </c>
      <c r="P110" s="19">
        <f t="shared" si="18"/>
        <v>0</v>
      </c>
      <c r="Q110" s="19">
        <f t="shared" si="18"/>
        <v>0</v>
      </c>
      <c r="R110" s="19">
        <f t="shared" si="18"/>
        <v>0</v>
      </c>
      <c r="S110" s="19">
        <f t="shared" si="18"/>
        <v>0</v>
      </c>
      <c r="T110" s="19">
        <f t="shared" si="18"/>
        <v>0</v>
      </c>
      <c r="U110" s="19">
        <f t="shared" si="18"/>
        <v>0</v>
      </c>
    </row>
    <row r="111" spans="1:21" s="3" customFormat="1" ht="14.1" customHeight="1" x14ac:dyDescent="0.25">
      <c r="A111" s="7" t="s">
        <v>159</v>
      </c>
      <c r="B111" s="7" t="s">
        <v>160</v>
      </c>
      <c r="C111" s="8" t="s">
        <v>161</v>
      </c>
      <c r="D111" s="9">
        <f>F111+H111+J111+L111+N111+P111+R111+T111</f>
        <v>22742</v>
      </c>
      <c r="E111" s="9">
        <f>G111+I111+K111+M111+O111+Q111+S111+U111</f>
        <v>25146</v>
      </c>
      <c r="F111" s="10">
        <f>SUM(F112:F113)</f>
        <v>21543</v>
      </c>
      <c r="G111" s="10">
        <f t="shared" ref="G111:Q111" si="19">SUM(G112:G113)</f>
        <v>23507</v>
      </c>
      <c r="H111" s="10">
        <f t="shared" si="19"/>
        <v>0</v>
      </c>
      <c r="I111" s="52">
        <f t="shared" si="19"/>
        <v>0</v>
      </c>
      <c r="J111" s="52">
        <f t="shared" si="19"/>
        <v>0</v>
      </c>
      <c r="K111" s="52">
        <f t="shared" si="19"/>
        <v>0</v>
      </c>
      <c r="L111" s="52">
        <f t="shared" si="19"/>
        <v>0</v>
      </c>
      <c r="M111" s="80">
        <v>0</v>
      </c>
      <c r="N111" s="52">
        <f t="shared" si="19"/>
        <v>392</v>
      </c>
      <c r="O111" s="52">
        <f t="shared" si="19"/>
        <v>463</v>
      </c>
      <c r="P111" s="52">
        <f t="shared" si="19"/>
        <v>167</v>
      </c>
      <c r="Q111" s="52">
        <f t="shared" si="19"/>
        <v>115</v>
      </c>
      <c r="R111" s="52">
        <f t="shared" ref="R111" si="20">SUM(R112:R113)</f>
        <v>0</v>
      </c>
      <c r="S111" s="65">
        <v>0</v>
      </c>
      <c r="T111" s="52">
        <f>SUM(T112:T113)</f>
        <v>640</v>
      </c>
      <c r="U111" s="52">
        <f>SUM(U112:U113)</f>
        <v>1061</v>
      </c>
    </row>
    <row r="112" spans="1:21" ht="14.1" customHeight="1" x14ac:dyDescent="0.25">
      <c r="A112" s="24"/>
      <c r="B112" s="24"/>
      <c r="C112" s="25" t="s">
        <v>162</v>
      </c>
      <c r="D112" s="26"/>
      <c r="E112" s="26"/>
      <c r="F112" s="26"/>
      <c r="G112" s="26"/>
      <c r="H112" s="26"/>
      <c r="I112" s="58"/>
      <c r="J112" s="63"/>
      <c r="K112" s="78"/>
      <c r="L112" s="63"/>
      <c r="M112" s="78"/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 x14ac:dyDescent="0.25">
      <c r="A113" s="24"/>
      <c r="B113" s="24"/>
      <c r="C113" s="25" t="s">
        <v>163</v>
      </c>
      <c r="D113" s="26"/>
      <c r="E113" s="26"/>
      <c r="F113" s="26">
        <v>21543</v>
      </c>
      <c r="G113" s="26">
        <f>ROUND((G72+G83+G105+G109)*0.27,0)</f>
        <v>23507</v>
      </c>
      <c r="H113" s="26"/>
      <c r="I113" s="58"/>
      <c r="J113" s="63"/>
      <c r="K113" s="58"/>
      <c r="L113" s="63"/>
      <c r="M113" s="58"/>
      <c r="N113" s="63">
        <v>392</v>
      </c>
      <c r="O113" s="26">
        <f>ROUND((O72+O83+O105+O109)*0.27,0)</f>
        <v>463</v>
      </c>
      <c r="P113" s="63">
        <v>167</v>
      </c>
      <c r="Q113" s="26">
        <f>ROUND((Q72+Q83+Q105+Q109)*0.27,0)</f>
        <v>115</v>
      </c>
      <c r="R113" s="63"/>
      <c r="S113" s="63"/>
      <c r="T113" s="63">
        <v>640</v>
      </c>
      <c r="U113" s="26">
        <f>ROUND((U72+U83+U105+U109)*0.27,0)</f>
        <v>1061</v>
      </c>
    </row>
    <row r="114" spans="1:21" s="3" customFormat="1" ht="14.1" customHeight="1" x14ac:dyDescent="0.25">
      <c r="A114" s="7" t="s">
        <v>164</v>
      </c>
      <c r="B114" s="7" t="s">
        <v>165</v>
      </c>
      <c r="C114" s="8" t="s">
        <v>166</v>
      </c>
      <c r="D114" s="9">
        <f>F114+H114+J114+L114+N114+P114+R114+T114</f>
        <v>0</v>
      </c>
      <c r="E114" s="9">
        <f>G114+I114+K114+M114+O114+Q114+S114+U114</f>
        <v>400</v>
      </c>
      <c r="F114" s="10">
        <f>SUM(F115:F117)</f>
        <v>0</v>
      </c>
      <c r="G114" s="10">
        <f>SUM(G115:G117)</f>
        <v>400</v>
      </c>
      <c r="H114" s="10">
        <v>0</v>
      </c>
      <c r="I114" s="52"/>
      <c r="J114" s="52">
        <v>0</v>
      </c>
      <c r="K114" s="52"/>
      <c r="L114" s="52">
        <v>0</v>
      </c>
      <c r="M114" s="52">
        <v>0</v>
      </c>
      <c r="N114" s="52">
        <v>0</v>
      </c>
      <c r="O114" s="52">
        <v>0</v>
      </c>
      <c r="P114" s="52">
        <f>SUM(P115:P117)</f>
        <v>0</v>
      </c>
      <c r="Q114" s="52">
        <f>SUM(Q115:Q117)</f>
        <v>0</v>
      </c>
      <c r="R114" s="52">
        <v>0</v>
      </c>
      <c r="S114" s="65">
        <v>0</v>
      </c>
      <c r="T114" s="52">
        <f>SUM(T115:T117)</f>
        <v>0</v>
      </c>
      <c r="U114" s="52">
        <f>SUM(U115:U117)</f>
        <v>0</v>
      </c>
    </row>
    <row r="115" spans="1:21" ht="14.1" customHeight="1" x14ac:dyDescent="0.25">
      <c r="A115" s="24"/>
      <c r="B115" s="24"/>
      <c r="C115" s="25" t="s">
        <v>167</v>
      </c>
      <c r="D115" s="26"/>
      <c r="E115" s="26"/>
      <c r="F115" s="26"/>
      <c r="G115" s="26">
        <v>400</v>
      </c>
      <c r="H115" s="26"/>
      <c r="I115" s="58"/>
      <c r="J115" s="63"/>
      <c r="K115" s="78"/>
      <c r="L115" s="63"/>
      <c r="M115" s="78"/>
      <c r="N115" s="63"/>
      <c r="O115" s="63"/>
      <c r="P115" s="63"/>
      <c r="Q115" s="63"/>
      <c r="R115" s="63"/>
      <c r="S115" s="63"/>
      <c r="T115" s="63"/>
      <c r="U115" s="63"/>
    </row>
    <row r="116" spans="1:21" ht="14.1" customHeight="1" x14ac:dyDescent="0.25">
      <c r="A116" s="24"/>
      <c r="B116" s="24"/>
      <c r="C116" s="25" t="s">
        <v>168</v>
      </c>
      <c r="D116" s="26"/>
      <c r="E116" s="26"/>
      <c r="F116" s="26"/>
      <c r="G116" s="26"/>
      <c r="H116" s="26"/>
      <c r="I116" s="58"/>
      <c r="J116" s="63"/>
      <c r="K116" s="78"/>
      <c r="L116" s="63"/>
      <c r="M116" s="78"/>
      <c r="N116" s="63"/>
      <c r="O116" s="63"/>
      <c r="P116" s="63"/>
      <c r="Q116" s="63"/>
      <c r="R116" s="63"/>
      <c r="S116" s="63"/>
      <c r="T116" s="63"/>
      <c r="U116" s="63"/>
    </row>
    <row r="117" spans="1:21" ht="14.1" customHeight="1" x14ac:dyDescent="0.25">
      <c r="A117" s="24"/>
      <c r="B117" s="24"/>
      <c r="C117" s="25" t="s">
        <v>169</v>
      </c>
      <c r="D117" s="26"/>
      <c r="E117" s="26"/>
      <c r="F117" s="26"/>
      <c r="G117" s="26"/>
      <c r="H117" s="26"/>
      <c r="I117" s="58"/>
      <c r="J117" s="63"/>
      <c r="K117" s="78"/>
      <c r="L117" s="63"/>
      <c r="M117" s="78"/>
      <c r="N117" s="63"/>
      <c r="O117" s="63"/>
      <c r="P117" s="63"/>
      <c r="Q117" s="63"/>
      <c r="R117" s="63"/>
      <c r="S117" s="63"/>
      <c r="T117" s="63"/>
      <c r="U117" s="63"/>
    </row>
    <row r="118" spans="1:21" s="3" customFormat="1" ht="14.1" customHeight="1" x14ac:dyDescent="0.25">
      <c r="A118" s="7" t="s">
        <v>170</v>
      </c>
      <c r="B118" s="7" t="s">
        <v>171</v>
      </c>
      <c r="C118" s="8" t="s">
        <v>172</v>
      </c>
      <c r="D118" s="9">
        <f>F118+H118+J118+L118+N118+P118+R118+T118</f>
        <v>0</v>
      </c>
      <c r="E118" s="9">
        <f>G118+I118+K118+M118+O118+Q118+S118+U118</f>
        <v>0</v>
      </c>
      <c r="F118" s="10">
        <f>SUM(F119:F122)</f>
        <v>0</v>
      </c>
      <c r="G118" s="10">
        <f>SUM(G119:G122)</f>
        <v>0</v>
      </c>
      <c r="H118" s="10">
        <v>0</v>
      </c>
      <c r="I118" s="52"/>
      <c r="J118" s="52">
        <v>0</v>
      </c>
      <c r="K118" s="52"/>
      <c r="L118" s="52">
        <v>0</v>
      </c>
      <c r="M118" s="52">
        <v>0</v>
      </c>
      <c r="N118" s="52">
        <v>0</v>
      </c>
      <c r="O118" s="52">
        <v>0</v>
      </c>
      <c r="P118" s="52">
        <f>SUM(P119:P122)</f>
        <v>0</v>
      </c>
      <c r="Q118" s="52">
        <f>SUM(Q119:Q122)</f>
        <v>0</v>
      </c>
      <c r="R118" s="52">
        <v>0</v>
      </c>
      <c r="S118" s="65">
        <v>0</v>
      </c>
      <c r="T118" s="52">
        <f>SUM(T119:T122)</f>
        <v>0</v>
      </c>
      <c r="U118" s="52">
        <f>SUM(U119:U122)</f>
        <v>0</v>
      </c>
    </row>
    <row r="119" spans="1:21" ht="14.1" customHeight="1" x14ac:dyDescent="0.25">
      <c r="A119" s="24"/>
      <c r="B119" s="24"/>
      <c r="C119" s="25" t="s">
        <v>173</v>
      </c>
      <c r="D119" s="26"/>
      <c r="E119" s="26"/>
      <c r="F119" s="26"/>
      <c r="G119" s="26"/>
      <c r="H119" s="26"/>
      <c r="I119" s="58"/>
      <c r="J119" s="63"/>
      <c r="K119" s="78"/>
      <c r="L119" s="63"/>
      <c r="M119" s="78"/>
      <c r="N119" s="63"/>
      <c r="O119" s="63"/>
      <c r="P119" s="63"/>
      <c r="Q119" s="63"/>
      <c r="R119" s="63"/>
      <c r="S119" s="63"/>
      <c r="T119" s="63"/>
      <c r="U119" s="63"/>
    </row>
    <row r="120" spans="1:21" ht="14.1" customHeight="1" x14ac:dyDescent="0.25">
      <c r="A120" s="24"/>
      <c r="B120" s="24"/>
      <c r="C120" s="25" t="s">
        <v>174</v>
      </c>
      <c r="D120" s="26"/>
      <c r="E120" s="26"/>
      <c r="F120" s="26"/>
      <c r="G120" s="26"/>
      <c r="H120" s="26"/>
      <c r="I120" s="58"/>
      <c r="J120" s="63"/>
      <c r="K120" s="78"/>
      <c r="L120" s="63"/>
      <c r="M120" s="78"/>
      <c r="N120" s="63"/>
      <c r="O120" s="63"/>
      <c r="P120" s="63"/>
      <c r="Q120" s="63"/>
      <c r="R120" s="63"/>
      <c r="S120" s="63"/>
      <c r="T120" s="63"/>
      <c r="U120" s="63"/>
    </row>
    <row r="121" spans="1:21" ht="14.1" customHeight="1" x14ac:dyDescent="0.25">
      <c r="A121" s="24"/>
      <c r="B121" s="24"/>
      <c r="C121" s="25" t="s">
        <v>175</v>
      </c>
      <c r="D121" s="26"/>
      <c r="E121" s="26"/>
      <c r="F121" s="26"/>
      <c r="G121" s="26"/>
      <c r="H121" s="26"/>
      <c r="I121" s="58"/>
      <c r="J121" s="63"/>
      <c r="K121" s="78"/>
      <c r="L121" s="63"/>
      <c r="M121" s="78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 x14ac:dyDescent="0.25">
      <c r="A122" s="24"/>
      <c r="B122" s="24"/>
      <c r="C122" s="25" t="s">
        <v>176</v>
      </c>
      <c r="D122" s="26"/>
      <c r="E122" s="26"/>
      <c r="F122" s="26"/>
      <c r="G122" s="26"/>
      <c r="H122" s="26"/>
      <c r="I122" s="58"/>
      <c r="J122" s="63"/>
      <c r="K122" s="78"/>
      <c r="L122" s="63"/>
      <c r="M122" s="78"/>
      <c r="N122" s="63"/>
      <c r="O122" s="63"/>
      <c r="P122" s="63"/>
      <c r="Q122" s="63"/>
      <c r="R122" s="63"/>
      <c r="S122" s="63"/>
      <c r="T122" s="63"/>
      <c r="U122" s="63"/>
    </row>
    <row r="123" spans="1:21" s="3" customFormat="1" ht="14.1" customHeight="1" x14ac:dyDescent="0.25">
      <c r="A123" s="7" t="s">
        <v>177</v>
      </c>
      <c r="B123" s="7" t="s">
        <v>178</v>
      </c>
      <c r="C123" s="8" t="s">
        <v>179</v>
      </c>
      <c r="D123" s="9">
        <f>F123+H123+J123+L123+N123+P123+R123+T123</f>
        <v>0</v>
      </c>
      <c r="E123" s="9">
        <f>G123+I123+K123+M123+O123+Q123+S123+U123</f>
        <v>0</v>
      </c>
      <c r="F123" s="10">
        <f>SUM(F124:F125)</f>
        <v>0</v>
      </c>
      <c r="G123" s="10">
        <f>SUM(G124:G125)</f>
        <v>0</v>
      </c>
      <c r="H123" s="10">
        <v>0</v>
      </c>
      <c r="I123" s="52"/>
      <c r="J123" s="52">
        <v>0</v>
      </c>
      <c r="K123" s="52"/>
      <c r="L123" s="52">
        <v>0</v>
      </c>
      <c r="M123" s="52">
        <v>0</v>
      </c>
      <c r="N123" s="52">
        <v>0</v>
      </c>
      <c r="O123" s="52">
        <v>0</v>
      </c>
      <c r="P123" s="52">
        <f>SUM(P124:P125)</f>
        <v>0</v>
      </c>
      <c r="Q123" s="52">
        <f>SUM(Q124:Q125)</f>
        <v>0</v>
      </c>
      <c r="R123" s="52">
        <v>0</v>
      </c>
      <c r="S123" s="65">
        <v>0</v>
      </c>
      <c r="T123" s="52">
        <f>SUM(T124:T125)</f>
        <v>0</v>
      </c>
      <c r="U123" s="52">
        <f>SUM(U124:U125)</f>
        <v>0</v>
      </c>
    </row>
    <row r="124" spans="1:21" ht="14.1" customHeight="1" x14ac:dyDescent="0.25">
      <c r="A124" s="24"/>
      <c r="B124" s="24"/>
      <c r="C124" s="25" t="s">
        <v>180</v>
      </c>
      <c r="D124" s="26"/>
      <c r="E124" s="26"/>
      <c r="F124" s="26"/>
      <c r="G124" s="26"/>
      <c r="H124" s="26"/>
      <c r="I124" s="58"/>
      <c r="J124" s="63"/>
      <c r="K124" s="78"/>
      <c r="L124" s="63"/>
      <c r="M124" s="78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 x14ac:dyDescent="0.25">
      <c r="A125" s="24"/>
      <c r="B125" s="24"/>
      <c r="C125" s="25" t="s">
        <v>181</v>
      </c>
      <c r="D125" s="26"/>
      <c r="E125" s="26"/>
      <c r="F125" s="26"/>
      <c r="G125" s="26"/>
      <c r="H125" s="26"/>
      <c r="I125" s="58"/>
      <c r="J125" s="63"/>
      <c r="K125" s="78"/>
      <c r="L125" s="63"/>
      <c r="M125" s="78"/>
      <c r="N125" s="63"/>
      <c r="O125" s="63"/>
      <c r="P125" s="63"/>
      <c r="Q125" s="63"/>
      <c r="R125" s="63"/>
      <c r="S125" s="63"/>
      <c r="T125" s="63"/>
      <c r="U125" s="63"/>
    </row>
    <row r="126" spans="1:21" s="3" customFormat="1" ht="14.1" customHeight="1" x14ac:dyDescent="0.25">
      <c r="A126" s="7" t="s">
        <v>182</v>
      </c>
      <c r="B126" s="7" t="s">
        <v>183</v>
      </c>
      <c r="C126" s="8" t="s">
        <v>184</v>
      </c>
      <c r="D126" s="9">
        <f>F126+H126+J126+L126+N126+P126+R126+T126</f>
        <v>1140</v>
      </c>
      <c r="E126" s="9">
        <f>G126+I126+K126+M126+O126+Q126+S126+U126</f>
        <v>2600</v>
      </c>
      <c r="F126" s="10">
        <f>SUM(F127:F130)</f>
        <v>1110</v>
      </c>
      <c r="G126" s="10">
        <f>SUM(G127:G130)</f>
        <v>2530</v>
      </c>
      <c r="H126" s="10">
        <v>0</v>
      </c>
      <c r="I126" s="52"/>
      <c r="J126" s="52">
        <v>0</v>
      </c>
      <c r="K126" s="52"/>
      <c r="L126" s="52">
        <v>0</v>
      </c>
      <c r="M126" s="52">
        <v>0</v>
      </c>
      <c r="N126" s="52">
        <f>SUM(N127:N130)</f>
        <v>20</v>
      </c>
      <c r="O126" s="52">
        <f>SUM(O127:O130)</f>
        <v>70</v>
      </c>
      <c r="P126" s="52">
        <f>SUM(P127:P130)</f>
        <v>10</v>
      </c>
      <c r="Q126" s="52">
        <f>SUM(Q127:Q130)</f>
        <v>0</v>
      </c>
      <c r="R126" s="52">
        <v>0</v>
      </c>
      <c r="S126" s="65">
        <v>0</v>
      </c>
      <c r="T126" s="52">
        <f>SUM(T127:T130)</f>
        <v>0</v>
      </c>
      <c r="U126" s="52">
        <f>SUM(U127:U130)</f>
        <v>0</v>
      </c>
    </row>
    <row r="127" spans="1:21" ht="14.1" customHeight="1" x14ac:dyDescent="0.25">
      <c r="A127" s="24"/>
      <c r="B127" s="24"/>
      <c r="C127" s="25" t="s">
        <v>185</v>
      </c>
      <c r="D127" s="26"/>
      <c r="E127" s="26"/>
      <c r="F127" s="26">
        <v>450</v>
      </c>
      <c r="G127" s="26">
        <v>530</v>
      </c>
      <c r="H127" s="26"/>
      <c r="I127" s="58"/>
      <c r="J127" s="63"/>
      <c r="K127" s="78"/>
      <c r="L127" s="63"/>
      <c r="M127" s="78"/>
      <c r="N127" s="63"/>
      <c r="O127" s="63"/>
      <c r="P127" s="63"/>
      <c r="Q127" s="63"/>
      <c r="R127" s="63"/>
      <c r="S127" s="63"/>
      <c r="T127" s="63"/>
      <c r="U127" s="63"/>
    </row>
    <row r="128" spans="1:21" ht="14.1" customHeight="1" x14ac:dyDescent="0.25">
      <c r="A128" s="24"/>
      <c r="B128" s="24"/>
      <c r="C128" s="25" t="s">
        <v>186</v>
      </c>
      <c r="D128" s="26"/>
      <c r="E128" s="26"/>
      <c r="F128" s="26">
        <v>560</v>
      </c>
      <c r="G128" s="26">
        <v>1500</v>
      </c>
      <c r="H128" s="26"/>
      <c r="I128" s="58"/>
      <c r="J128" s="63"/>
      <c r="K128" s="78"/>
      <c r="L128" s="63"/>
      <c r="M128" s="78"/>
      <c r="N128" s="63">
        <v>20</v>
      </c>
      <c r="O128" s="63">
        <v>20</v>
      </c>
      <c r="P128" s="63"/>
      <c r="Q128" s="63"/>
      <c r="R128" s="63"/>
      <c r="S128" s="63"/>
      <c r="T128" s="63"/>
      <c r="U128" s="63"/>
    </row>
    <row r="129" spans="1:264" ht="14.1" customHeight="1" x14ac:dyDescent="0.25">
      <c r="A129" s="24"/>
      <c r="B129" s="24"/>
      <c r="C129" s="25" t="s">
        <v>187</v>
      </c>
      <c r="D129" s="26"/>
      <c r="E129" s="26"/>
      <c r="F129" s="26"/>
      <c r="G129" s="26"/>
      <c r="H129" s="26"/>
      <c r="I129" s="58"/>
      <c r="J129" s="63"/>
      <c r="K129" s="78"/>
      <c r="L129" s="63"/>
      <c r="M129" s="78"/>
      <c r="N129" s="63"/>
      <c r="O129" s="63"/>
      <c r="P129" s="63"/>
      <c r="Q129" s="63"/>
      <c r="R129" s="63"/>
      <c r="S129" s="63"/>
      <c r="T129" s="63"/>
      <c r="U129" s="63"/>
    </row>
    <row r="130" spans="1:264" ht="14.1" customHeight="1" x14ac:dyDescent="0.25">
      <c r="A130" s="24"/>
      <c r="B130" s="24"/>
      <c r="C130" s="25" t="s">
        <v>188</v>
      </c>
      <c r="D130" s="26"/>
      <c r="E130" s="26"/>
      <c r="F130" s="26">
        <v>100</v>
      </c>
      <c r="G130" s="26">
        <v>500</v>
      </c>
      <c r="H130" s="26"/>
      <c r="I130" s="58"/>
      <c r="J130" s="63"/>
      <c r="K130" s="78"/>
      <c r="L130" s="63"/>
      <c r="M130" s="78"/>
      <c r="N130" s="63"/>
      <c r="O130" s="63">
        <v>50</v>
      </c>
      <c r="P130" s="63">
        <v>10</v>
      </c>
      <c r="Q130" s="63"/>
      <c r="R130" s="63"/>
      <c r="S130" s="63"/>
      <c r="T130" s="63"/>
      <c r="U130" s="63"/>
    </row>
    <row r="131" spans="1:264" s="3" customFormat="1" ht="14.1" customHeight="1" x14ac:dyDescent="0.25">
      <c r="A131" s="16" t="s">
        <v>189</v>
      </c>
      <c r="B131" s="16" t="s">
        <v>190</v>
      </c>
      <c r="C131" s="17" t="s">
        <v>191</v>
      </c>
      <c r="D131" s="19">
        <f>D111+D114+D118+D123+D126</f>
        <v>23882</v>
      </c>
      <c r="E131" s="19">
        <f>E111+E114+E118+E123+E126</f>
        <v>28146</v>
      </c>
      <c r="F131" s="19">
        <f>F111+F114+F118+F123+F126</f>
        <v>22653</v>
      </c>
      <c r="G131" s="19">
        <f t="shared" ref="G131:U131" si="21">G111+G114+G118+G123+G126</f>
        <v>26437</v>
      </c>
      <c r="H131" s="19">
        <f t="shared" si="21"/>
        <v>0</v>
      </c>
      <c r="I131" s="19">
        <f t="shared" si="21"/>
        <v>0</v>
      </c>
      <c r="J131" s="19">
        <f t="shared" si="21"/>
        <v>0</v>
      </c>
      <c r="K131" s="19">
        <f t="shared" si="21"/>
        <v>0</v>
      </c>
      <c r="L131" s="19">
        <f t="shared" si="21"/>
        <v>0</v>
      </c>
      <c r="M131" s="19">
        <f t="shared" si="21"/>
        <v>0</v>
      </c>
      <c r="N131" s="19">
        <f t="shared" si="21"/>
        <v>412</v>
      </c>
      <c r="O131" s="19">
        <f t="shared" si="21"/>
        <v>533</v>
      </c>
      <c r="P131" s="19">
        <f t="shared" si="21"/>
        <v>177</v>
      </c>
      <c r="Q131" s="19">
        <f t="shared" si="21"/>
        <v>115</v>
      </c>
      <c r="R131" s="19">
        <f t="shared" si="21"/>
        <v>0</v>
      </c>
      <c r="S131" s="19">
        <f t="shared" si="21"/>
        <v>0</v>
      </c>
      <c r="T131" s="19">
        <f t="shared" si="21"/>
        <v>640</v>
      </c>
      <c r="U131" s="19">
        <f t="shared" si="21"/>
        <v>1061</v>
      </c>
    </row>
    <row r="132" spans="1:264" s="3" customFormat="1" ht="14.1" customHeight="1" x14ac:dyDescent="0.25">
      <c r="A132" s="20" t="s">
        <v>192</v>
      </c>
      <c r="B132" s="20" t="s">
        <v>193</v>
      </c>
      <c r="C132" s="21" t="s">
        <v>292</v>
      </c>
      <c r="D132" s="23">
        <f>D72+D83+D105+D110+D131</f>
        <v>110572</v>
      </c>
      <c r="E132" s="23">
        <f>E72+E83+E105+E110+E131</f>
        <v>121630</v>
      </c>
      <c r="F132" s="23">
        <f>F72+F83+F105+F110+F131</f>
        <v>103243</v>
      </c>
      <c r="G132" s="23">
        <f t="shared" ref="G132:U132" si="22">G72+G83+G105+G110+G131</f>
        <v>113801</v>
      </c>
      <c r="H132" s="23">
        <f t="shared" si="22"/>
        <v>0</v>
      </c>
      <c r="I132" s="23">
        <f t="shared" si="22"/>
        <v>0</v>
      </c>
      <c r="J132" s="23">
        <f t="shared" si="22"/>
        <v>0</v>
      </c>
      <c r="K132" s="23">
        <f t="shared" si="22"/>
        <v>0</v>
      </c>
      <c r="L132" s="23">
        <f t="shared" si="22"/>
        <v>0</v>
      </c>
      <c r="M132" s="23">
        <f t="shared" si="22"/>
        <v>0</v>
      </c>
      <c r="N132" s="23">
        <f t="shared" si="22"/>
        <v>1922</v>
      </c>
      <c r="O132" s="23">
        <f t="shared" si="22"/>
        <v>2298</v>
      </c>
      <c r="P132" s="23">
        <f t="shared" si="22"/>
        <v>797</v>
      </c>
      <c r="Q132" s="23">
        <f t="shared" si="22"/>
        <v>540</v>
      </c>
      <c r="R132" s="23">
        <f t="shared" si="22"/>
        <v>0</v>
      </c>
      <c r="S132" s="23">
        <f t="shared" si="22"/>
        <v>0</v>
      </c>
      <c r="T132" s="23">
        <f t="shared" si="22"/>
        <v>4610</v>
      </c>
      <c r="U132" s="23">
        <f t="shared" si="22"/>
        <v>4991</v>
      </c>
    </row>
    <row r="133" spans="1:264" ht="14.1" customHeight="1" x14ac:dyDescent="0.25">
      <c r="A133" s="24" t="s">
        <v>625</v>
      </c>
      <c r="B133" s="24" t="s">
        <v>633</v>
      </c>
      <c r="C133" s="25" t="s">
        <v>641</v>
      </c>
      <c r="D133" s="26">
        <f>F133+H133+J133+L133+N133+P133+R133+T133</f>
        <v>0</v>
      </c>
      <c r="E133" s="26">
        <f>G133+I133+K133+M133+O133+Q133+S133+U133</f>
        <v>0</v>
      </c>
      <c r="F133" s="26"/>
      <c r="G133" s="26"/>
      <c r="H133" s="26"/>
      <c r="I133" s="58"/>
      <c r="J133" s="63"/>
      <c r="K133" s="78"/>
      <c r="L133" s="63"/>
      <c r="M133" s="78"/>
      <c r="N133" s="63"/>
      <c r="O133" s="63"/>
      <c r="P133" s="63"/>
      <c r="Q133" s="63"/>
      <c r="R133" s="63"/>
      <c r="S133" s="63"/>
      <c r="T133" s="63"/>
      <c r="U133" s="63"/>
    </row>
    <row r="134" spans="1:264" ht="14.1" customHeight="1" x14ac:dyDescent="0.25">
      <c r="A134" s="24" t="s">
        <v>626</v>
      </c>
      <c r="B134" s="24" t="s">
        <v>634</v>
      </c>
      <c r="C134" s="25" t="s">
        <v>642</v>
      </c>
      <c r="D134" s="26">
        <f t="shared" ref="D134:E140" si="23">F134+H134+J134+L134+N134+P134+R134+T134</f>
        <v>20</v>
      </c>
      <c r="E134" s="26">
        <f t="shared" si="23"/>
        <v>0</v>
      </c>
      <c r="F134" s="26"/>
      <c r="G134" s="26"/>
      <c r="H134" s="26"/>
      <c r="I134" s="58"/>
      <c r="J134" s="63"/>
      <c r="K134" s="78"/>
      <c r="L134" s="63"/>
      <c r="M134" s="78"/>
      <c r="N134" s="63"/>
      <c r="O134" s="63"/>
      <c r="P134" s="63"/>
      <c r="Q134" s="63"/>
      <c r="R134" s="63">
        <v>20</v>
      </c>
      <c r="S134" s="63"/>
      <c r="T134" s="63"/>
      <c r="U134" s="63"/>
    </row>
    <row r="135" spans="1:264" ht="14.1" customHeight="1" x14ac:dyDescent="0.25">
      <c r="A135" s="24" t="s">
        <v>627</v>
      </c>
      <c r="B135" s="24" t="s">
        <v>635</v>
      </c>
      <c r="C135" s="25" t="s">
        <v>643</v>
      </c>
      <c r="D135" s="26">
        <f t="shared" si="23"/>
        <v>0</v>
      </c>
      <c r="E135" s="26">
        <f t="shared" si="23"/>
        <v>0</v>
      </c>
      <c r="F135" s="26"/>
      <c r="G135" s="26"/>
      <c r="H135" s="26"/>
      <c r="I135" s="58"/>
      <c r="J135" s="63"/>
      <c r="K135" s="78"/>
      <c r="L135" s="63"/>
      <c r="M135" s="78"/>
      <c r="N135" s="63"/>
      <c r="O135" s="63"/>
      <c r="P135" s="63"/>
      <c r="Q135" s="63"/>
      <c r="R135" s="63"/>
      <c r="S135" s="63"/>
      <c r="T135" s="63"/>
      <c r="U135" s="63"/>
    </row>
    <row r="136" spans="1:264" ht="14.1" customHeight="1" x14ac:dyDescent="0.25">
      <c r="A136" s="24" t="s">
        <v>628</v>
      </c>
      <c r="B136" s="24" t="s">
        <v>636</v>
      </c>
      <c r="C136" s="25" t="s">
        <v>644</v>
      </c>
      <c r="D136" s="26">
        <f t="shared" si="23"/>
        <v>0</v>
      </c>
      <c r="E136" s="26">
        <f t="shared" si="23"/>
        <v>0</v>
      </c>
      <c r="F136" s="26"/>
      <c r="G136" s="26"/>
      <c r="H136" s="26"/>
      <c r="I136" s="58"/>
      <c r="J136" s="63"/>
      <c r="K136" s="78"/>
      <c r="L136" s="63"/>
      <c r="M136" s="78"/>
      <c r="N136" s="63"/>
      <c r="O136" s="63"/>
      <c r="P136" s="63"/>
      <c r="Q136" s="63"/>
      <c r="R136" s="63"/>
      <c r="S136" s="63"/>
      <c r="T136" s="63"/>
      <c r="U136" s="63"/>
    </row>
    <row r="137" spans="1:264" ht="14.1" customHeight="1" x14ac:dyDescent="0.25">
      <c r="A137" s="24" t="s">
        <v>629</v>
      </c>
      <c r="B137" s="24" t="s">
        <v>637</v>
      </c>
      <c r="C137" s="25" t="s">
        <v>645</v>
      </c>
      <c r="D137" s="26">
        <f t="shared" si="23"/>
        <v>2000</v>
      </c>
      <c r="E137" s="26">
        <f t="shared" si="23"/>
        <v>0</v>
      </c>
      <c r="F137" s="26"/>
      <c r="G137" s="26"/>
      <c r="H137" s="26"/>
      <c r="I137" s="58"/>
      <c r="J137" s="63"/>
      <c r="K137" s="78"/>
      <c r="L137" s="63"/>
      <c r="M137" s="78"/>
      <c r="N137" s="63"/>
      <c r="O137" s="63"/>
      <c r="P137" s="63"/>
      <c r="Q137" s="63"/>
      <c r="R137" s="63">
        <v>2000</v>
      </c>
      <c r="S137" s="63"/>
      <c r="T137" s="63"/>
      <c r="U137" s="63"/>
    </row>
    <row r="138" spans="1:264" ht="14.1" customHeight="1" x14ac:dyDescent="0.25">
      <c r="A138" s="24" t="s">
        <v>630</v>
      </c>
      <c r="B138" s="24" t="s">
        <v>638</v>
      </c>
      <c r="C138" s="25" t="s">
        <v>646</v>
      </c>
      <c r="D138" s="26">
        <f t="shared" si="23"/>
        <v>0</v>
      </c>
      <c r="E138" s="26">
        <f t="shared" si="23"/>
        <v>0</v>
      </c>
      <c r="F138" s="26"/>
      <c r="G138" s="26"/>
      <c r="H138" s="26"/>
      <c r="I138" s="58"/>
      <c r="J138" s="63"/>
      <c r="K138" s="78"/>
      <c r="L138" s="63"/>
      <c r="M138" s="78"/>
      <c r="N138" s="63"/>
      <c r="O138" s="63"/>
      <c r="P138" s="63"/>
      <c r="Q138" s="63"/>
      <c r="R138" s="63"/>
      <c r="S138" s="63"/>
      <c r="T138" s="63"/>
      <c r="U138" s="63"/>
    </row>
    <row r="139" spans="1:264" ht="14.1" customHeight="1" x14ac:dyDescent="0.25">
      <c r="A139" s="24" t="s">
        <v>631</v>
      </c>
      <c r="B139" s="24" t="s">
        <v>639</v>
      </c>
      <c r="C139" s="25" t="s">
        <v>647</v>
      </c>
      <c r="D139" s="26">
        <f t="shared" si="23"/>
        <v>0</v>
      </c>
      <c r="E139" s="26">
        <f t="shared" si="23"/>
        <v>0</v>
      </c>
      <c r="F139" s="26"/>
      <c r="G139" s="26"/>
      <c r="H139" s="26"/>
      <c r="I139" s="58"/>
      <c r="J139" s="63"/>
      <c r="K139" s="78"/>
      <c r="L139" s="63"/>
      <c r="M139" s="78"/>
      <c r="N139" s="63"/>
      <c r="O139" s="63"/>
      <c r="P139" s="63"/>
      <c r="Q139" s="63"/>
      <c r="R139" s="63"/>
      <c r="S139" s="63"/>
      <c r="T139" s="63"/>
      <c r="U139" s="63"/>
    </row>
    <row r="140" spans="1:264" ht="14.1" customHeight="1" x14ac:dyDescent="0.25">
      <c r="A140" s="24" t="s">
        <v>632</v>
      </c>
      <c r="B140" s="24" t="s">
        <v>640</v>
      </c>
      <c r="C140" s="25" t="s">
        <v>648</v>
      </c>
      <c r="D140" s="26">
        <f t="shared" si="23"/>
        <v>2600</v>
      </c>
      <c r="E140" s="26">
        <f t="shared" si="23"/>
        <v>0</v>
      </c>
      <c r="F140" s="26"/>
      <c r="G140" s="26"/>
      <c r="H140" s="26"/>
      <c r="I140" s="58"/>
      <c r="J140" s="63"/>
      <c r="K140" s="78"/>
      <c r="L140" s="63"/>
      <c r="M140" s="78"/>
      <c r="N140" s="63"/>
      <c r="O140" s="63"/>
      <c r="P140" s="63"/>
      <c r="Q140" s="63"/>
      <c r="R140" s="63">
        <v>2600</v>
      </c>
      <c r="S140" s="63"/>
      <c r="T140" s="63"/>
      <c r="U140" s="63"/>
    </row>
    <row r="141" spans="1:264" s="3" customFormat="1" ht="14.1" customHeight="1" x14ac:dyDescent="0.25">
      <c r="A141" s="155" t="s">
        <v>623</v>
      </c>
      <c r="B141" s="156" t="s">
        <v>624</v>
      </c>
      <c r="C141" s="157" t="s">
        <v>337</v>
      </c>
      <c r="D141" s="23">
        <f>SUM(D133:D140)</f>
        <v>4620</v>
      </c>
      <c r="E141" s="23">
        <f t="shared" ref="E141:U141" si="24">SUM(E133:E140)</f>
        <v>0</v>
      </c>
      <c r="F141" s="23">
        <f t="shared" si="24"/>
        <v>0</v>
      </c>
      <c r="G141" s="23">
        <f t="shared" si="24"/>
        <v>0</v>
      </c>
      <c r="H141" s="23">
        <f t="shared" si="24"/>
        <v>0</v>
      </c>
      <c r="I141" s="23">
        <f t="shared" si="24"/>
        <v>0</v>
      </c>
      <c r="J141" s="23">
        <f t="shared" si="24"/>
        <v>0</v>
      </c>
      <c r="K141" s="23">
        <f t="shared" si="24"/>
        <v>0</v>
      </c>
      <c r="L141" s="23">
        <f t="shared" si="24"/>
        <v>0</v>
      </c>
      <c r="M141" s="23">
        <f t="shared" si="24"/>
        <v>0</v>
      </c>
      <c r="N141" s="23">
        <f t="shared" si="24"/>
        <v>0</v>
      </c>
      <c r="O141" s="23">
        <f t="shared" si="24"/>
        <v>0</v>
      </c>
      <c r="P141" s="23">
        <f t="shared" si="24"/>
        <v>0</v>
      </c>
      <c r="Q141" s="23">
        <f t="shared" si="24"/>
        <v>0</v>
      </c>
      <c r="R141" s="23">
        <f t="shared" si="24"/>
        <v>4620</v>
      </c>
      <c r="S141" s="23">
        <f t="shared" si="24"/>
        <v>0</v>
      </c>
      <c r="T141" s="23">
        <f t="shared" si="24"/>
        <v>0</v>
      </c>
      <c r="U141" s="23">
        <f t="shared" si="24"/>
        <v>0</v>
      </c>
    </row>
    <row r="142" spans="1:264" ht="14.1" customHeight="1" x14ac:dyDescent="0.2">
      <c r="A142" s="1025" t="s">
        <v>291</v>
      </c>
      <c r="B142" s="1026"/>
      <c r="C142" s="1027"/>
      <c r="D142" s="28">
        <f>D46+D132+D141</f>
        <v>564746</v>
      </c>
      <c r="E142" s="28">
        <f t="shared" ref="E142:U142" si="25">E46+E132+E141</f>
        <v>496090</v>
      </c>
      <c r="F142" s="28">
        <f t="shared" si="25"/>
        <v>490125</v>
      </c>
      <c r="G142" s="28">
        <f t="shared" si="25"/>
        <v>467138</v>
      </c>
      <c r="H142" s="28">
        <f t="shared" si="25"/>
        <v>8532</v>
      </c>
      <c r="I142" s="28">
        <f t="shared" si="25"/>
        <v>0</v>
      </c>
      <c r="J142" s="28">
        <f t="shared" si="25"/>
        <v>2028</v>
      </c>
      <c r="K142" s="28">
        <f t="shared" si="25"/>
        <v>0</v>
      </c>
      <c r="L142" s="28">
        <f t="shared" si="25"/>
        <v>28590</v>
      </c>
      <c r="M142" s="28">
        <f t="shared" si="25"/>
        <v>0</v>
      </c>
      <c r="N142" s="28">
        <f t="shared" si="25"/>
        <v>21337</v>
      </c>
      <c r="O142" s="28">
        <f t="shared" si="25"/>
        <v>19235</v>
      </c>
      <c r="P142" s="28">
        <f t="shared" si="25"/>
        <v>4904</v>
      </c>
      <c r="Q142" s="28">
        <f t="shared" si="25"/>
        <v>4665</v>
      </c>
      <c r="R142" s="28">
        <f t="shared" si="25"/>
        <v>4620</v>
      </c>
      <c r="S142" s="28">
        <f t="shared" si="25"/>
        <v>0</v>
      </c>
      <c r="T142" s="28">
        <f t="shared" si="25"/>
        <v>4610</v>
      </c>
      <c r="U142" s="28">
        <f t="shared" si="25"/>
        <v>5052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</row>
    <row r="143" spans="1:264" ht="12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</row>
    <row r="144" spans="1:264" ht="14.1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</row>
    <row r="145" spans="1:21" ht="14.1" customHeight="1" x14ac:dyDescent="0.25">
      <c r="J145" s="51"/>
      <c r="K145" s="51"/>
      <c r="L145" s="51"/>
      <c r="M145" s="51"/>
      <c r="N145" s="51"/>
      <c r="O145" s="51"/>
      <c r="P145" s="51"/>
      <c r="Q145" s="51"/>
      <c r="R145" s="51"/>
      <c r="S145" s="51"/>
    </row>
    <row r="146" spans="1:21" s="1" customFormat="1" ht="12.75" customHeight="1" x14ac:dyDescent="0.25">
      <c r="A146" s="1028" t="s">
        <v>609</v>
      </c>
      <c r="B146" s="1029"/>
      <c r="C146" s="1029"/>
      <c r="D146" s="1029"/>
      <c r="E146" s="1029"/>
      <c r="F146" s="1029"/>
      <c r="G146" s="1029"/>
      <c r="H146" s="1029"/>
      <c r="I146" s="1029"/>
      <c r="J146" s="1029"/>
      <c r="K146" s="1029"/>
      <c r="L146" s="1029"/>
      <c r="M146" s="1029"/>
      <c r="N146" s="1029" t="s">
        <v>609</v>
      </c>
      <c r="O146" s="1029"/>
      <c r="P146" s="1029"/>
      <c r="Q146" s="1029"/>
      <c r="R146" s="1029"/>
      <c r="S146" s="1029"/>
      <c r="T146" s="1029"/>
      <c r="U146" s="1030"/>
    </row>
    <row r="147" spans="1:21" s="1" customFormat="1" ht="14.1" customHeight="1" x14ac:dyDescent="0.25">
      <c r="A147" s="1065" t="s">
        <v>0</v>
      </c>
      <c r="B147" s="1064" t="s">
        <v>1</v>
      </c>
      <c r="C147" s="1065" t="s">
        <v>2</v>
      </c>
      <c r="D147" s="1015" t="s">
        <v>260</v>
      </c>
      <c r="E147" s="1066" t="s">
        <v>259</v>
      </c>
      <c r="F147" s="1062" t="s">
        <v>610</v>
      </c>
      <c r="G147" s="1067"/>
      <c r="H147" s="1062" t="s">
        <v>611</v>
      </c>
      <c r="I147" s="1063"/>
      <c r="J147" s="1076" t="s">
        <v>612</v>
      </c>
      <c r="K147" s="1070"/>
      <c r="L147" s="1079" t="s">
        <v>649</v>
      </c>
      <c r="M147" s="1079"/>
      <c r="N147" s="1068" t="s">
        <v>613</v>
      </c>
      <c r="O147" s="1069"/>
      <c r="P147" s="1068" t="s">
        <v>614</v>
      </c>
      <c r="Q147" s="1069"/>
      <c r="R147" s="1077" t="s">
        <v>615</v>
      </c>
      <c r="S147" s="1078"/>
      <c r="T147" s="1077" t="s">
        <v>616</v>
      </c>
      <c r="U147" s="1078"/>
    </row>
    <row r="148" spans="1:21" s="3" customFormat="1" ht="27" customHeight="1" x14ac:dyDescent="0.25">
      <c r="A148" s="1022"/>
      <c r="B148" s="1023"/>
      <c r="C148" s="1022"/>
      <c r="D148" s="1024"/>
      <c r="E148" s="1015"/>
      <c r="F148" s="98" t="s">
        <v>263</v>
      </c>
      <c r="G148" s="98" t="s">
        <v>259</v>
      </c>
      <c r="H148" s="98" t="s">
        <v>260</v>
      </c>
      <c r="I148" s="97" t="s">
        <v>259</v>
      </c>
      <c r="J148" s="62" t="s">
        <v>260</v>
      </c>
      <c r="K148" s="77" t="s">
        <v>259</v>
      </c>
      <c r="L148" s="159" t="s">
        <v>260</v>
      </c>
      <c r="M148" s="159" t="s">
        <v>259</v>
      </c>
      <c r="N148" s="84" t="s">
        <v>260</v>
      </c>
      <c r="O148" s="85" t="s">
        <v>259</v>
      </c>
      <c r="P148" s="84" t="s">
        <v>260</v>
      </c>
      <c r="Q148" s="85" t="s">
        <v>259</v>
      </c>
      <c r="R148" s="153" t="s">
        <v>260</v>
      </c>
      <c r="S148" s="154" t="s">
        <v>259</v>
      </c>
      <c r="T148" s="153" t="s">
        <v>260</v>
      </c>
      <c r="U148" s="154" t="s">
        <v>259</v>
      </c>
    </row>
    <row r="149" spans="1:21" ht="5.65" customHeight="1" x14ac:dyDescent="0.25">
      <c r="J149" s="63"/>
      <c r="K149" s="78"/>
      <c r="L149" s="63"/>
      <c r="M149" s="78"/>
      <c r="N149" s="63"/>
      <c r="O149" s="63"/>
      <c r="P149" s="63"/>
      <c r="Q149" s="63"/>
      <c r="R149" s="63"/>
      <c r="S149" s="63"/>
      <c r="T149" s="63"/>
      <c r="U149" s="63"/>
    </row>
    <row r="150" spans="1:21" ht="14.1" customHeight="1" x14ac:dyDescent="0.25">
      <c r="A150" s="1021" t="s">
        <v>194</v>
      </c>
      <c r="B150" s="1021"/>
      <c r="C150" s="1021"/>
      <c r="D150" s="1021"/>
      <c r="E150" s="1021"/>
      <c r="F150" s="1021"/>
      <c r="G150" s="1021"/>
      <c r="H150" s="1021"/>
      <c r="I150" s="1021"/>
      <c r="J150" s="64"/>
      <c r="K150" s="79"/>
      <c r="L150" s="64"/>
      <c r="M150" s="79"/>
      <c r="N150" s="64"/>
      <c r="O150" s="64"/>
      <c r="P150" s="64"/>
      <c r="Q150" s="64"/>
      <c r="R150" s="64"/>
      <c r="S150" s="64"/>
      <c r="T150" s="64"/>
      <c r="U150" s="64"/>
    </row>
    <row r="151" spans="1:21" ht="14.1" customHeight="1" x14ac:dyDescent="0.25">
      <c r="A151" s="24" t="s">
        <v>195</v>
      </c>
      <c r="B151" s="24" t="s">
        <v>196</v>
      </c>
      <c r="C151" s="25" t="s">
        <v>197</v>
      </c>
      <c r="D151" s="26">
        <f>F151+H151+J151+L151+N151+P151+R151+T151</f>
        <v>0</v>
      </c>
      <c r="E151" s="26">
        <f>G151+I151+K151+M151+O151+Q151+S151+U151</f>
        <v>2083</v>
      </c>
      <c r="F151" s="26"/>
      <c r="G151" s="26">
        <v>2083</v>
      </c>
      <c r="H151" s="26"/>
      <c r="I151" s="58"/>
      <c r="J151" s="63"/>
      <c r="K151" s="78"/>
      <c r="L151" s="63"/>
      <c r="M151" s="78"/>
      <c r="N151" s="63"/>
      <c r="O151" s="63"/>
      <c r="P151" s="63"/>
      <c r="Q151" s="63"/>
      <c r="R151" s="63"/>
      <c r="S151" s="63"/>
      <c r="T151" s="63"/>
      <c r="U151" s="63"/>
    </row>
    <row r="152" spans="1:21" ht="14.1" customHeight="1" x14ac:dyDescent="0.25">
      <c r="A152" s="24" t="s">
        <v>198</v>
      </c>
      <c r="B152" s="24" t="s">
        <v>199</v>
      </c>
      <c r="C152" s="25" t="s">
        <v>200</v>
      </c>
      <c r="D152" s="26">
        <f t="shared" ref="D152:E158" si="26">F152+H152+J152+L152+N152+P152+R152+T152</f>
        <v>0</v>
      </c>
      <c r="E152" s="26">
        <f t="shared" si="26"/>
        <v>0</v>
      </c>
      <c r="F152" s="26"/>
      <c r="G152" s="26"/>
      <c r="H152" s="26"/>
      <c r="I152" s="58"/>
      <c r="J152" s="63"/>
      <c r="K152" s="78"/>
      <c r="L152" s="63"/>
      <c r="M152" s="78"/>
      <c r="N152" s="63"/>
      <c r="O152" s="63"/>
      <c r="P152" s="63"/>
      <c r="Q152" s="63"/>
      <c r="R152" s="63"/>
      <c r="S152" s="63"/>
      <c r="T152" s="63"/>
      <c r="U152" s="63"/>
    </row>
    <row r="153" spans="1:21" ht="14.1" customHeight="1" x14ac:dyDescent="0.25">
      <c r="A153" s="24" t="s">
        <v>201</v>
      </c>
      <c r="B153" s="24" t="s">
        <v>202</v>
      </c>
      <c r="C153" s="25" t="s">
        <v>203</v>
      </c>
      <c r="D153" s="26">
        <f t="shared" si="26"/>
        <v>1000</v>
      </c>
      <c r="E153" s="26">
        <f t="shared" si="26"/>
        <v>1000</v>
      </c>
      <c r="F153" s="26">
        <v>1000</v>
      </c>
      <c r="G153" s="26">
        <v>1000</v>
      </c>
      <c r="H153" s="26"/>
      <c r="I153" s="58"/>
      <c r="J153" s="63"/>
      <c r="K153" s="78"/>
      <c r="L153" s="63"/>
      <c r="M153" s="78"/>
      <c r="N153" s="63"/>
      <c r="O153" s="63"/>
      <c r="P153" s="63"/>
      <c r="Q153" s="63"/>
      <c r="R153" s="63"/>
      <c r="S153" s="63"/>
      <c r="T153" s="63"/>
      <c r="U153" s="63"/>
    </row>
    <row r="154" spans="1:21" ht="14.1" customHeight="1" x14ac:dyDescent="0.25">
      <c r="A154" s="24" t="s">
        <v>204</v>
      </c>
      <c r="B154" s="24" t="s">
        <v>205</v>
      </c>
      <c r="C154" s="25" t="s">
        <v>206</v>
      </c>
      <c r="D154" s="26">
        <f t="shared" si="26"/>
        <v>900</v>
      </c>
      <c r="E154" s="26">
        <f t="shared" si="26"/>
        <v>4220</v>
      </c>
      <c r="F154" s="26">
        <v>800</v>
      </c>
      <c r="G154" s="26">
        <f>1000+3150</f>
        <v>4150</v>
      </c>
      <c r="H154" s="26"/>
      <c r="I154" s="58"/>
      <c r="J154" s="63"/>
      <c r="K154" s="78"/>
      <c r="L154" s="63"/>
      <c r="M154" s="78"/>
      <c r="N154" s="63">
        <v>100</v>
      </c>
      <c r="O154" s="63">
        <v>40</v>
      </c>
      <c r="P154" s="63"/>
      <c r="Q154" s="63"/>
      <c r="R154" s="63"/>
      <c r="S154" s="63"/>
      <c r="T154" s="63"/>
      <c r="U154" s="63">
        <v>30</v>
      </c>
    </row>
    <row r="155" spans="1:21" ht="14.1" customHeight="1" x14ac:dyDescent="0.25">
      <c r="A155" s="24"/>
      <c r="B155" s="24" t="s">
        <v>207</v>
      </c>
      <c r="C155" s="25" t="s">
        <v>208</v>
      </c>
      <c r="D155" s="26">
        <f t="shared" si="26"/>
        <v>5000</v>
      </c>
      <c r="E155" s="26">
        <f t="shared" si="26"/>
        <v>0</v>
      </c>
      <c r="F155" s="26">
        <v>5000</v>
      </c>
      <c r="G155" s="26"/>
      <c r="H155" s="26"/>
      <c r="I155" s="58"/>
      <c r="J155" s="63"/>
      <c r="K155" s="78"/>
      <c r="L155" s="63"/>
      <c r="M155" s="78"/>
      <c r="N155" s="63"/>
      <c r="O155" s="63"/>
      <c r="P155" s="63"/>
      <c r="Q155" s="63"/>
      <c r="R155" s="63"/>
      <c r="S155" s="63"/>
      <c r="T155" s="63"/>
      <c r="U155" s="63"/>
    </row>
    <row r="156" spans="1:21" ht="14.1" customHeight="1" x14ac:dyDescent="0.25">
      <c r="A156" s="24" t="s">
        <v>209</v>
      </c>
      <c r="B156" s="24" t="s">
        <v>210</v>
      </c>
      <c r="C156" s="25" t="s">
        <v>211</v>
      </c>
      <c r="D156" s="26">
        <f t="shared" si="26"/>
        <v>0</v>
      </c>
      <c r="E156" s="26">
        <f t="shared" si="26"/>
        <v>0</v>
      </c>
      <c r="F156" s="26"/>
      <c r="G156" s="26"/>
      <c r="H156" s="26"/>
      <c r="I156" s="58"/>
      <c r="J156" s="63"/>
      <c r="K156" s="78"/>
      <c r="L156" s="63"/>
      <c r="M156" s="78"/>
      <c r="N156" s="63"/>
      <c r="O156" s="63"/>
      <c r="P156" s="63"/>
      <c r="Q156" s="63"/>
      <c r="R156" s="63"/>
      <c r="S156" s="63"/>
      <c r="T156" s="63"/>
      <c r="U156" s="63"/>
    </row>
    <row r="157" spans="1:21" ht="14.1" customHeight="1" x14ac:dyDescent="0.25">
      <c r="A157" s="24" t="s">
        <v>212</v>
      </c>
      <c r="B157" s="24" t="s">
        <v>213</v>
      </c>
      <c r="C157" s="25" t="s">
        <v>214</v>
      </c>
      <c r="D157" s="26">
        <f t="shared" si="26"/>
        <v>0</v>
      </c>
      <c r="E157" s="26">
        <f t="shared" si="26"/>
        <v>0</v>
      </c>
      <c r="F157" s="26"/>
      <c r="G157" s="26"/>
      <c r="H157" s="26"/>
      <c r="I157" s="58"/>
      <c r="J157" s="63"/>
      <c r="K157" s="78"/>
      <c r="L157" s="63"/>
      <c r="M157" s="78"/>
      <c r="N157" s="63"/>
      <c r="O157" s="63"/>
      <c r="P157" s="63"/>
      <c r="Q157" s="63"/>
      <c r="R157" s="63"/>
      <c r="S157" s="63"/>
      <c r="T157" s="63"/>
      <c r="U157" s="63"/>
    </row>
    <row r="158" spans="1:21" ht="14.1" customHeight="1" x14ac:dyDescent="0.25">
      <c r="A158" s="24" t="s">
        <v>215</v>
      </c>
      <c r="B158" s="24" t="s">
        <v>216</v>
      </c>
      <c r="C158" s="25" t="s">
        <v>217</v>
      </c>
      <c r="D158" s="26">
        <f t="shared" si="26"/>
        <v>1863</v>
      </c>
      <c r="E158" s="26">
        <f t="shared" si="26"/>
        <v>1972</v>
      </c>
      <c r="F158" s="26">
        <v>1836</v>
      </c>
      <c r="G158" s="26">
        <f>ROUND((G151+G152+G153+G154+G155)*0.27,0)</f>
        <v>1953</v>
      </c>
      <c r="H158" s="26"/>
      <c r="I158" s="58"/>
      <c r="J158" s="63"/>
      <c r="K158" s="78"/>
      <c r="L158" s="63"/>
      <c r="M158" s="58"/>
      <c r="N158" s="63">
        <v>27</v>
      </c>
      <c r="O158" s="26">
        <f>ROUND((O151+O152+O153+O154+O155)*0.27,0)</f>
        <v>11</v>
      </c>
      <c r="P158" s="63"/>
      <c r="Q158" s="63"/>
      <c r="R158" s="63"/>
      <c r="S158" s="63"/>
      <c r="T158" s="63"/>
      <c r="U158" s="26">
        <f>ROUND((U151+U152+U153+U154+U155)*0.27,0)</f>
        <v>8</v>
      </c>
    </row>
    <row r="159" spans="1:21" s="3" customFormat="1" ht="14.1" customHeight="1" x14ac:dyDescent="0.25">
      <c r="A159" s="20" t="s">
        <v>218</v>
      </c>
      <c r="B159" s="20" t="s">
        <v>219</v>
      </c>
      <c r="C159" s="21" t="s">
        <v>220</v>
      </c>
      <c r="D159" s="22">
        <f>SUM(D151:D158)</f>
        <v>8763</v>
      </c>
      <c r="E159" s="22">
        <f>SUM(E151:E158)</f>
        <v>9275</v>
      </c>
      <c r="F159" s="22">
        <f t="shared" ref="F159:U159" si="27">SUM(F151:F158)</f>
        <v>8636</v>
      </c>
      <c r="G159" s="22">
        <f t="shared" si="27"/>
        <v>9186</v>
      </c>
      <c r="H159" s="22">
        <f t="shared" si="27"/>
        <v>0</v>
      </c>
      <c r="I159" s="22">
        <f t="shared" si="27"/>
        <v>0</v>
      </c>
      <c r="J159" s="22">
        <f t="shared" si="27"/>
        <v>0</v>
      </c>
      <c r="K159" s="22">
        <f t="shared" si="27"/>
        <v>0</v>
      </c>
      <c r="L159" s="22">
        <f t="shared" si="27"/>
        <v>0</v>
      </c>
      <c r="M159" s="22">
        <f t="shared" si="27"/>
        <v>0</v>
      </c>
      <c r="N159" s="22">
        <f t="shared" si="27"/>
        <v>127</v>
      </c>
      <c r="O159" s="22">
        <f t="shared" si="27"/>
        <v>51</v>
      </c>
      <c r="P159" s="22">
        <f t="shared" si="27"/>
        <v>0</v>
      </c>
      <c r="Q159" s="22">
        <f t="shared" si="27"/>
        <v>0</v>
      </c>
      <c r="R159" s="22">
        <f t="shared" si="27"/>
        <v>0</v>
      </c>
      <c r="S159" s="22">
        <f t="shared" si="27"/>
        <v>0</v>
      </c>
      <c r="T159" s="22">
        <f t="shared" si="27"/>
        <v>0</v>
      </c>
      <c r="U159" s="22">
        <f t="shared" si="27"/>
        <v>38</v>
      </c>
    </row>
    <row r="160" spans="1:21" ht="14.1" customHeight="1" x14ac:dyDescent="0.25">
      <c r="A160" s="24" t="s">
        <v>221</v>
      </c>
      <c r="B160" s="24" t="s">
        <v>222</v>
      </c>
      <c r="C160" s="25" t="s">
        <v>223</v>
      </c>
      <c r="D160" s="26">
        <f>F160+H160+J160+L160+N160+P160+R160+T160</f>
        <v>0</v>
      </c>
      <c r="E160" s="26">
        <f>G160+I160+K160+M160+O160+Q160+S160+U160</f>
        <v>0</v>
      </c>
      <c r="F160" s="26"/>
      <c r="G160" s="26"/>
      <c r="H160" s="26"/>
      <c r="I160" s="58"/>
      <c r="J160" s="63"/>
      <c r="K160" s="78"/>
      <c r="L160" s="63"/>
      <c r="M160" s="78"/>
      <c r="N160" s="63"/>
      <c r="O160" s="63"/>
      <c r="P160" s="63"/>
      <c r="Q160" s="63"/>
      <c r="R160" s="63"/>
      <c r="S160" s="63"/>
      <c r="T160" s="63"/>
      <c r="U160" s="63"/>
    </row>
    <row r="161" spans="1:21" ht="14.1" customHeight="1" x14ac:dyDescent="0.25">
      <c r="A161" s="24" t="s">
        <v>224</v>
      </c>
      <c r="B161" s="24" t="s">
        <v>225</v>
      </c>
      <c r="C161" s="25" t="s">
        <v>226</v>
      </c>
      <c r="D161" s="26">
        <f t="shared" ref="D161:E164" si="28">F161+H161+J161+L161+N161+P161+R161+T161</f>
        <v>0</v>
      </c>
      <c r="E161" s="26">
        <f t="shared" si="28"/>
        <v>0</v>
      </c>
      <c r="F161" s="26"/>
      <c r="G161" s="26"/>
      <c r="H161" s="26"/>
      <c r="I161" s="58"/>
      <c r="J161" s="63"/>
      <c r="K161" s="78"/>
      <c r="L161" s="63"/>
      <c r="M161" s="78"/>
      <c r="N161" s="63"/>
      <c r="O161" s="63"/>
      <c r="P161" s="63"/>
      <c r="Q161" s="63"/>
      <c r="R161" s="63"/>
      <c r="S161" s="63"/>
      <c r="T161" s="63"/>
      <c r="U161" s="63"/>
    </row>
    <row r="162" spans="1:21" ht="14.1" customHeight="1" x14ac:dyDescent="0.25">
      <c r="A162" s="24" t="s">
        <v>227</v>
      </c>
      <c r="B162" s="24" t="s">
        <v>228</v>
      </c>
      <c r="C162" s="25" t="s">
        <v>229</v>
      </c>
      <c r="D162" s="26">
        <f t="shared" si="28"/>
        <v>0</v>
      </c>
      <c r="E162" s="26">
        <f t="shared" si="28"/>
        <v>0</v>
      </c>
      <c r="F162" s="26"/>
      <c r="G162" s="26"/>
      <c r="H162" s="26"/>
      <c r="I162" s="58"/>
      <c r="J162" s="63"/>
      <c r="K162" s="78"/>
      <c r="L162" s="63"/>
      <c r="M162" s="78"/>
      <c r="N162" s="63"/>
      <c r="O162" s="63"/>
      <c r="P162" s="63"/>
      <c r="Q162" s="63"/>
      <c r="R162" s="63"/>
      <c r="S162" s="63"/>
      <c r="T162" s="63"/>
      <c r="U162" s="63"/>
    </row>
    <row r="163" spans="1:21" ht="14.1" customHeight="1" x14ac:dyDescent="0.25">
      <c r="A163" s="24"/>
      <c r="B163" s="24" t="s">
        <v>230</v>
      </c>
      <c r="C163" s="25" t="s">
        <v>231</v>
      </c>
      <c r="D163" s="26">
        <f t="shared" si="28"/>
        <v>0</v>
      </c>
      <c r="E163" s="26">
        <f t="shared" si="28"/>
        <v>0</v>
      </c>
      <c r="F163" s="26"/>
      <c r="G163" s="26"/>
      <c r="H163" s="26"/>
      <c r="I163" s="58"/>
      <c r="J163" s="63"/>
      <c r="K163" s="78"/>
      <c r="L163" s="63"/>
      <c r="M163" s="78"/>
      <c r="N163" s="63"/>
      <c r="O163" s="63"/>
      <c r="P163" s="63"/>
      <c r="Q163" s="63"/>
      <c r="R163" s="63"/>
      <c r="S163" s="63"/>
      <c r="T163" s="63"/>
      <c r="U163" s="63"/>
    </row>
    <row r="164" spans="1:21" ht="14.1" customHeight="1" x14ac:dyDescent="0.25">
      <c r="A164" s="24" t="s">
        <v>232</v>
      </c>
      <c r="B164" s="24" t="s">
        <v>233</v>
      </c>
      <c r="C164" s="25" t="s">
        <v>234</v>
      </c>
      <c r="D164" s="26">
        <f t="shared" si="28"/>
        <v>0</v>
      </c>
      <c r="E164" s="26">
        <f t="shared" si="28"/>
        <v>0</v>
      </c>
      <c r="F164" s="26"/>
      <c r="G164" s="26">
        <f>ROUND((G160+G161+G162+G163)*0.27,0)</f>
        <v>0</v>
      </c>
      <c r="H164" s="26"/>
      <c r="I164" s="58"/>
      <c r="J164" s="63"/>
      <c r="K164" s="78"/>
      <c r="L164" s="63"/>
      <c r="M164" s="78"/>
      <c r="N164" s="63"/>
      <c r="O164" s="63"/>
      <c r="P164" s="63"/>
      <c r="Q164" s="63"/>
      <c r="R164" s="63"/>
      <c r="S164" s="63"/>
      <c r="T164" s="63"/>
      <c r="U164" s="63"/>
    </row>
    <row r="165" spans="1:21" s="3" customFormat="1" ht="14.1" customHeight="1" x14ac:dyDescent="0.25">
      <c r="A165" s="20" t="s">
        <v>235</v>
      </c>
      <c r="B165" s="20" t="s">
        <v>236</v>
      </c>
      <c r="C165" s="21" t="s">
        <v>237</v>
      </c>
      <c r="D165" s="22">
        <f>SUM(D160:D164)</f>
        <v>0</v>
      </c>
      <c r="E165" s="22">
        <f>SUM(E160:E164)</f>
        <v>0</v>
      </c>
      <c r="F165" s="22">
        <f t="shared" ref="F165:U165" si="29">SUM(F160:F164)</f>
        <v>0</v>
      </c>
      <c r="G165" s="22">
        <f t="shared" si="29"/>
        <v>0</v>
      </c>
      <c r="H165" s="22">
        <f t="shared" si="29"/>
        <v>0</v>
      </c>
      <c r="I165" s="22">
        <f t="shared" si="29"/>
        <v>0</v>
      </c>
      <c r="J165" s="22">
        <f t="shared" si="29"/>
        <v>0</v>
      </c>
      <c r="K165" s="22">
        <f t="shared" si="29"/>
        <v>0</v>
      </c>
      <c r="L165" s="22">
        <f t="shared" si="29"/>
        <v>0</v>
      </c>
      <c r="M165" s="22">
        <f t="shared" si="29"/>
        <v>0</v>
      </c>
      <c r="N165" s="22">
        <f t="shared" si="29"/>
        <v>0</v>
      </c>
      <c r="O165" s="22">
        <f t="shared" si="29"/>
        <v>0</v>
      </c>
      <c r="P165" s="22">
        <f t="shared" si="29"/>
        <v>0</v>
      </c>
      <c r="Q165" s="22">
        <f t="shared" si="29"/>
        <v>0</v>
      </c>
      <c r="R165" s="22">
        <f t="shared" si="29"/>
        <v>0</v>
      </c>
      <c r="S165" s="22">
        <f t="shared" si="29"/>
        <v>0</v>
      </c>
      <c r="T165" s="22">
        <f t="shared" si="29"/>
        <v>0</v>
      </c>
      <c r="U165" s="22">
        <f t="shared" si="29"/>
        <v>0</v>
      </c>
    </row>
    <row r="166" spans="1:21" s="3" customFormat="1" ht="14.1" customHeight="1" x14ac:dyDescent="0.25">
      <c r="A166" s="1025" t="s">
        <v>293</v>
      </c>
      <c r="B166" s="1026"/>
      <c r="C166" s="1027" t="s">
        <v>238</v>
      </c>
      <c r="D166" s="28">
        <f>D159+D165</f>
        <v>8763</v>
      </c>
      <c r="E166" s="28">
        <f>E159+E165</f>
        <v>9275</v>
      </c>
      <c r="F166" s="28">
        <f t="shared" ref="F166:U166" si="30">F159+F165</f>
        <v>8636</v>
      </c>
      <c r="G166" s="28">
        <f t="shared" si="30"/>
        <v>9186</v>
      </c>
      <c r="H166" s="28">
        <f t="shared" si="30"/>
        <v>0</v>
      </c>
      <c r="I166" s="28">
        <f t="shared" si="30"/>
        <v>0</v>
      </c>
      <c r="J166" s="28">
        <f t="shared" si="30"/>
        <v>0</v>
      </c>
      <c r="K166" s="28">
        <f t="shared" si="30"/>
        <v>0</v>
      </c>
      <c r="L166" s="28">
        <f t="shared" si="30"/>
        <v>0</v>
      </c>
      <c r="M166" s="28">
        <f t="shared" si="30"/>
        <v>0</v>
      </c>
      <c r="N166" s="28">
        <f t="shared" si="30"/>
        <v>127</v>
      </c>
      <c r="O166" s="28">
        <f t="shared" si="30"/>
        <v>51</v>
      </c>
      <c r="P166" s="28">
        <f t="shared" si="30"/>
        <v>0</v>
      </c>
      <c r="Q166" s="28">
        <f t="shared" si="30"/>
        <v>0</v>
      </c>
      <c r="R166" s="28">
        <f t="shared" si="30"/>
        <v>0</v>
      </c>
      <c r="S166" s="28">
        <f t="shared" si="30"/>
        <v>0</v>
      </c>
      <c r="T166" s="28">
        <f t="shared" si="30"/>
        <v>0</v>
      </c>
      <c r="U166" s="28">
        <f t="shared" si="30"/>
        <v>38</v>
      </c>
    </row>
    <row r="167" spans="1:21" ht="6.75" customHeight="1" x14ac:dyDescent="0.25">
      <c r="J167" s="63"/>
      <c r="K167" s="78"/>
      <c r="L167" s="63"/>
      <c r="M167" s="78"/>
      <c r="N167" s="63"/>
      <c r="O167" s="63"/>
      <c r="P167" s="63"/>
      <c r="Q167" s="63"/>
      <c r="R167" s="63"/>
      <c r="S167" s="63"/>
      <c r="T167" s="63"/>
      <c r="U167" s="63"/>
    </row>
    <row r="168" spans="1:21" ht="14.1" customHeight="1" x14ac:dyDescent="0.25">
      <c r="A168" s="1018" t="s">
        <v>294</v>
      </c>
      <c r="B168" s="1019"/>
      <c r="C168" s="1020"/>
      <c r="D168" s="30">
        <f>D166+D142</f>
        <v>573509</v>
      </c>
      <c r="E168" s="30">
        <f>E166+E142</f>
        <v>505365</v>
      </c>
      <c r="F168" s="30">
        <f t="shared" ref="F168:U168" si="31">F166+F142</f>
        <v>498761</v>
      </c>
      <c r="G168" s="30">
        <f t="shared" si="31"/>
        <v>476324</v>
      </c>
      <c r="H168" s="30">
        <f t="shared" si="31"/>
        <v>8532</v>
      </c>
      <c r="I168" s="30">
        <f t="shared" si="31"/>
        <v>0</v>
      </c>
      <c r="J168" s="30">
        <f t="shared" si="31"/>
        <v>2028</v>
      </c>
      <c r="K168" s="30">
        <f t="shared" si="31"/>
        <v>0</v>
      </c>
      <c r="L168" s="30">
        <f t="shared" si="31"/>
        <v>28590</v>
      </c>
      <c r="M168" s="30">
        <f t="shared" si="31"/>
        <v>0</v>
      </c>
      <c r="N168" s="30">
        <f t="shared" si="31"/>
        <v>21464</v>
      </c>
      <c r="O168" s="30">
        <f t="shared" si="31"/>
        <v>19286</v>
      </c>
      <c r="P168" s="30">
        <f t="shared" si="31"/>
        <v>4904</v>
      </c>
      <c r="Q168" s="30">
        <f t="shared" si="31"/>
        <v>4665</v>
      </c>
      <c r="R168" s="30">
        <f t="shared" si="31"/>
        <v>4620</v>
      </c>
      <c r="S168" s="30">
        <f t="shared" si="31"/>
        <v>0</v>
      </c>
      <c r="T168" s="30">
        <f t="shared" si="31"/>
        <v>4610</v>
      </c>
      <c r="U168" s="30">
        <f t="shared" si="31"/>
        <v>5090</v>
      </c>
    </row>
    <row r="169" spans="1:21" ht="14.1" customHeight="1" x14ac:dyDescent="0.25">
      <c r="J169" s="76"/>
      <c r="K169" s="76"/>
      <c r="L169" s="76"/>
      <c r="M169" s="76"/>
      <c r="N169" s="76"/>
      <c r="O169" s="76"/>
      <c r="P169" s="76"/>
      <c r="Q169" s="76"/>
      <c r="R169" s="76"/>
      <c r="S169" s="76"/>
    </row>
    <row r="170" spans="1:21" ht="14.1" customHeight="1" x14ac:dyDescent="0.25">
      <c r="J170" s="51"/>
      <c r="K170" s="51"/>
      <c r="L170" s="51"/>
      <c r="M170" s="51"/>
      <c r="N170" s="51"/>
      <c r="O170" s="51"/>
      <c r="P170" s="51"/>
      <c r="Q170" s="51"/>
      <c r="R170" s="51"/>
      <c r="S170" s="51"/>
    </row>
    <row r="171" spans="1:21" ht="14.1" customHeight="1" x14ac:dyDescent="0.25">
      <c r="J171" s="51"/>
      <c r="K171" s="51"/>
      <c r="L171" s="51"/>
      <c r="M171" s="51"/>
      <c r="N171" s="51"/>
      <c r="O171" s="51"/>
      <c r="P171" s="51"/>
      <c r="Q171" s="51"/>
      <c r="R171" s="51"/>
      <c r="S171" s="51"/>
    </row>
    <row r="172" spans="1:21" ht="14.1" customHeight="1" x14ac:dyDescent="0.25">
      <c r="J172" s="51"/>
      <c r="K172" s="51"/>
      <c r="L172" s="51"/>
      <c r="M172" s="51"/>
      <c r="N172" s="51"/>
      <c r="O172" s="51"/>
      <c r="P172" s="51"/>
      <c r="Q172" s="51"/>
      <c r="R172" s="51"/>
      <c r="S172" s="51"/>
    </row>
    <row r="173" spans="1:21" s="1" customFormat="1" ht="12.75" customHeight="1" x14ac:dyDescent="0.25">
      <c r="A173" s="1028" t="s">
        <v>609</v>
      </c>
      <c r="B173" s="1029"/>
      <c r="C173" s="1029"/>
      <c r="D173" s="1029"/>
      <c r="E173" s="1029"/>
      <c r="F173" s="1029"/>
      <c r="G173" s="1029"/>
      <c r="H173" s="1029"/>
      <c r="I173" s="1029"/>
      <c r="J173" s="1029"/>
      <c r="K173" s="1029"/>
      <c r="L173" s="1029"/>
      <c r="M173" s="1029"/>
      <c r="N173" s="1029" t="s">
        <v>609</v>
      </c>
      <c r="O173" s="1029"/>
      <c r="P173" s="1029"/>
      <c r="Q173" s="1029"/>
      <c r="R173" s="1029"/>
      <c r="S173" s="1029"/>
      <c r="T173" s="1029"/>
      <c r="U173" s="1030"/>
    </row>
    <row r="174" spans="1:21" s="1" customFormat="1" ht="14.1" customHeight="1" x14ac:dyDescent="0.25">
      <c r="A174" s="1065" t="s">
        <v>0</v>
      </c>
      <c r="B174" s="1064" t="s">
        <v>1</v>
      </c>
      <c r="C174" s="1065" t="s">
        <v>2</v>
      </c>
      <c r="D174" s="1015" t="s">
        <v>260</v>
      </c>
      <c r="E174" s="1066" t="s">
        <v>259</v>
      </c>
      <c r="F174" s="1062" t="s">
        <v>610</v>
      </c>
      <c r="G174" s="1067"/>
      <c r="H174" s="1062" t="s">
        <v>611</v>
      </c>
      <c r="I174" s="1063"/>
      <c r="J174" s="1076" t="s">
        <v>612</v>
      </c>
      <c r="K174" s="1070"/>
      <c r="L174" s="1079" t="s">
        <v>649</v>
      </c>
      <c r="M174" s="1079"/>
      <c r="N174" s="1068" t="s">
        <v>613</v>
      </c>
      <c r="O174" s="1069"/>
      <c r="P174" s="1068" t="s">
        <v>614</v>
      </c>
      <c r="Q174" s="1069"/>
      <c r="R174" s="1077" t="s">
        <v>615</v>
      </c>
      <c r="S174" s="1078"/>
      <c r="T174" s="1077" t="s">
        <v>616</v>
      </c>
      <c r="U174" s="1078"/>
    </row>
    <row r="175" spans="1:21" s="3" customFormat="1" ht="23.25" customHeight="1" x14ac:dyDescent="0.25">
      <c r="A175" s="1022"/>
      <c r="B175" s="1023"/>
      <c r="C175" s="1022"/>
      <c r="D175" s="1024"/>
      <c r="E175" s="1015"/>
      <c r="F175" s="98" t="s">
        <v>263</v>
      </c>
      <c r="G175" s="98" t="s">
        <v>259</v>
      </c>
      <c r="H175" s="98" t="s">
        <v>260</v>
      </c>
      <c r="I175" s="97" t="s">
        <v>259</v>
      </c>
      <c r="J175" s="62" t="s">
        <v>260</v>
      </c>
      <c r="K175" s="77" t="s">
        <v>259</v>
      </c>
      <c r="L175" s="159" t="s">
        <v>260</v>
      </c>
      <c r="M175" s="159" t="s">
        <v>259</v>
      </c>
      <c r="N175" s="84" t="s">
        <v>260</v>
      </c>
      <c r="O175" s="85" t="s">
        <v>259</v>
      </c>
      <c r="P175" s="84" t="s">
        <v>260</v>
      </c>
      <c r="Q175" s="85" t="s">
        <v>259</v>
      </c>
      <c r="R175" s="153" t="s">
        <v>260</v>
      </c>
      <c r="S175" s="154" t="s">
        <v>259</v>
      </c>
      <c r="T175" s="153" t="s">
        <v>260</v>
      </c>
      <c r="U175" s="154" t="s">
        <v>259</v>
      </c>
    </row>
    <row r="176" spans="1:21" ht="5.65" customHeight="1" x14ac:dyDescent="0.25">
      <c r="J176" s="63"/>
      <c r="K176" s="78"/>
      <c r="L176" s="63"/>
      <c r="M176" s="78"/>
      <c r="N176" s="63"/>
      <c r="O176" s="63"/>
      <c r="P176" s="63"/>
      <c r="Q176" s="63"/>
      <c r="R176" s="63"/>
      <c r="S176" s="63"/>
      <c r="T176" s="63"/>
      <c r="U176" s="63"/>
    </row>
    <row r="177" spans="1:21" ht="14.1" customHeight="1" x14ac:dyDescent="0.25">
      <c r="A177" s="1021" t="s">
        <v>239</v>
      </c>
      <c r="B177" s="1021"/>
      <c r="C177" s="1021"/>
      <c r="D177" s="1021"/>
      <c r="E177" s="1021"/>
      <c r="F177" s="1021"/>
      <c r="G177" s="1021"/>
      <c r="H177" s="1021"/>
      <c r="I177" s="1021"/>
      <c r="J177" s="64"/>
      <c r="K177" s="79"/>
      <c r="L177" s="64"/>
      <c r="M177" s="79"/>
      <c r="N177" s="64"/>
      <c r="O177" s="64"/>
      <c r="P177" s="64"/>
      <c r="Q177" s="64"/>
      <c r="R177" s="64"/>
      <c r="S177" s="64"/>
      <c r="T177" s="64"/>
      <c r="U177" s="64"/>
    </row>
    <row r="178" spans="1:21" s="3" customFormat="1" ht="14.1" customHeight="1" x14ac:dyDescent="0.25">
      <c r="A178" s="20" t="s">
        <v>621</v>
      </c>
      <c r="B178" s="20"/>
      <c r="C178" s="21" t="s">
        <v>488</v>
      </c>
      <c r="D178" s="23">
        <f>D179</f>
        <v>1000</v>
      </c>
      <c r="E178" s="23">
        <f t="shared" ref="E178:U178" si="32">E179</f>
        <v>1000</v>
      </c>
      <c r="F178" s="23">
        <f t="shared" si="32"/>
        <v>1000</v>
      </c>
      <c r="G178" s="23">
        <f t="shared" si="32"/>
        <v>1000</v>
      </c>
      <c r="H178" s="23">
        <f t="shared" si="32"/>
        <v>0</v>
      </c>
      <c r="I178" s="23">
        <f t="shared" si="32"/>
        <v>0</v>
      </c>
      <c r="J178" s="23">
        <f t="shared" si="32"/>
        <v>0</v>
      </c>
      <c r="K178" s="23">
        <f t="shared" si="32"/>
        <v>0</v>
      </c>
      <c r="L178" s="23">
        <f t="shared" si="32"/>
        <v>0</v>
      </c>
      <c r="M178" s="23">
        <f t="shared" si="32"/>
        <v>0</v>
      </c>
      <c r="N178" s="23">
        <f t="shared" si="32"/>
        <v>0</v>
      </c>
      <c r="O178" s="23">
        <f t="shared" si="32"/>
        <v>0</v>
      </c>
      <c r="P178" s="23">
        <f t="shared" si="32"/>
        <v>0</v>
      </c>
      <c r="Q178" s="23">
        <f t="shared" si="32"/>
        <v>0</v>
      </c>
      <c r="R178" s="23">
        <f t="shared" si="32"/>
        <v>0</v>
      </c>
      <c r="S178" s="23">
        <f t="shared" si="32"/>
        <v>0</v>
      </c>
      <c r="T178" s="23">
        <f t="shared" si="32"/>
        <v>0</v>
      </c>
      <c r="U178" s="23">
        <f t="shared" si="32"/>
        <v>0</v>
      </c>
    </row>
    <row r="179" spans="1:21" ht="14.1" customHeight="1" x14ac:dyDescent="0.25">
      <c r="A179" s="24"/>
      <c r="B179" s="24"/>
      <c r="C179" s="25" t="s">
        <v>500</v>
      </c>
      <c r="D179" s="26">
        <f>F179+H179+J179+L179+N179+P179+R179+T179</f>
        <v>1000</v>
      </c>
      <c r="E179" s="26">
        <f t="shared" ref="E179:E190" si="33">G179+I179+K179+M179+O179+Q179+S179</f>
        <v>1000</v>
      </c>
      <c r="F179" s="26">
        <v>1000</v>
      </c>
      <c r="G179" s="26">
        <v>1000</v>
      </c>
      <c r="H179" s="26"/>
      <c r="I179" s="58"/>
      <c r="J179" s="63"/>
      <c r="K179" s="78"/>
      <c r="L179" s="63"/>
      <c r="M179" s="78"/>
      <c r="N179" s="63"/>
      <c r="O179" s="63"/>
      <c r="P179" s="63"/>
      <c r="Q179" s="63"/>
      <c r="R179" s="63"/>
      <c r="S179" s="63"/>
      <c r="T179" s="63"/>
      <c r="U179" s="63"/>
    </row>
    <row r="180" spans="1:21" s="3" customFormat="1" ht="14.1" customHeight="1" x14ac:dyDescent="0.25">
      <c r="A180" s="20" t="s">
        <v>240</v>
      </c>
      <c r="B180" s="20"/>
      <c r="C180" s="21" t="s">
        <v>241</v>
      </c>
      <c r="D180" s="23">
        <f>SUM(D181:D190)</f>
        <v>1473</v>
      </c>
      <c r="E180" s="23">
        <f t="shared" ref="E180:U180" si="34">SUM(E181:E190)</f>
        <v>1270</v>
      </c>
      <c r="F180" s="23">
        <f t="shared" si="34"/>
        <v>1270</v>
      </c>
      <c r="G180" s="23">
        <f t="shared" si="34"/>
        <v>1270</v>
      </c>
      <c r="H180" s="23">
        <f t="shared" si="34"/>
        <v>0</v>
      </c>
      <c r="I180" s="23">
        <f t="shared" si="34"/>
        <v>0</v>
      </c>
      <c r="J180" s="23">
        <f t="shared" si="34"/>
        <v>0</v>
      </c>
      <c r="K180" s="23">
        <f t="shared" si="34"/>
        <v>0</v>
      </c>
      <c r="L180" s="23">
        <f t="shared" si="34"/>
        <v>0</v>
      </c>
      <c r="M180" s="23">
        <f t="shared" si="34"/>
        <v>0</v>
      </c>
      <c r="N180" s="23">
        <f t="shared" si="34"/>
        <v>0</v>
      </c>
      <c r="O180" s="23">
        <f t="shared" si="34"/>
        <v>0</v>
      </c>
      <c r="P180" s="23">
        <f t="shared" si="34"/>
        <v>0</v>
      </c>
      <c r="Q180" s="23">
        <f t="shared" si="34"/>
        <v>0</v>
      </c>
      <c r="R180" s="23">
        <f t="shared" si="34"/>
        <v>0</v>
      </c>
      <c r="S180" s="23">
        <f t="shared" si="34"/>
        <v>0</v>
      </c>
      <c r="T180" s="23">
        <f t="shared" si="34"/>
        <v>203</v>
      </c>
      <c r="U180" s="23">
        <f t="shared" si="34"/>
        <v>0</v>
      </c>
    </row>
    <row r="181" spans="1:21" ht="14.1" customHeight="1" x14ac:dyDescent="0.25">
      <c r="A181" s="24" t="s">
        <v>242</v>
      </c>
      <c r="B181" s="24"/>
      <c r="C181" s="25" t="s">
        <v>243</v>
      </c>
      <c r="D181" s="26">
        <f>F181+H181+J181+L181+N181+P181+R181+T181</f>
        <v>0</v>
      </c>
      <c r="E181" s="26">
        <f t="shared" si="33"/>
        <v>0</v>
      </c>
      <c r="F181" s="26"/>
      <c r="G181" s="26"/>
      <c r="H181" s="26"/>
      <c r="I181" s="58"/>
      <c r="J181" s="63"/>
      <c r="K181" s="78"/>
      <c r="L181" s="63"/>
      <c r="M181" s="78"/>
      <c r="N181" s="63"/>
      <c r="O181" s="63"/>
      <c r="P181" s="63"/>
      <c r="Q181" s="63"/>
      <c r="R181" s="63"/>
      <c r="S181" s="63"/>
      <c r="T181" s="63"/>
      <c r="U181" s="63"/>
    </row>
    <row r="182" spans="1:21" ht="14.1" customHeight="1" x14ac:dyDescent="0.25">
      <c r="A182" s="24" t="s">
        <v>244</v>
      </c>
      <c r="B182" s="24"/>
      <c r="C182" s="25" t="s">
        <v>245</v>
      </c>
      <c r="D182" s="26">
        <f t="shared" ref="D182:D190" si="35">F182+H182+J182+L182+N182+P182+R182+T182</f>
        <v>0</v>
      </c>
      <c r="E182" s="26">
        <f t="shared" si="33"/>
        <v>0</v>
      </c>
      <c r="F182" s="26"/>
      <c r="G182" s="26"/>
      <c r="H182" s="26"/>
      <c r="I182" s="58"/>
      <c r="J182" s="63"/>
      <c r="K182" s="78"/>
      <c r="L182" s="63"/>
      <c r="M182" s="78"/>
      <c r="N182" s="63"/>
      <c r="O182" s="63"/>
      <c r="P182" s="63"/>
      <c r="Q182" s="63"/>
      <c r="R182" s="63"/>
      <c r="S182" s="63"/>
      <c r="T182" s="63"/>
      <c r="U182" s="63"/>
    </row>
    <row r="183" spans="1:21" ht="14.1" customHeight="1" x14ac:dyDescent="0.25">
      <c r="A183" s="24" t="s">
        <v>246</v>
      </c>
      <c r="B183" s="24"/>
      <c r="C183" s="25" t="s">
        <v>247</v>
      </c>
      <c r="D183" s="26">
        <f>F183+H183+J183+L183+N183+P183+R183+T183</f>
        <v>1160</v>
      </c>
      <c r="E183" s="26">
        <f t="shared" si="33"/>
        <v>1000</v>
      </c>
      <c r="F183" s="26">
        <v>1000</v>
      </c>
      <c r="G183" s="26">
        <v>1000</v>
      </c>
      <c r="H183" s="26"/>
      <c r="I183" s="58"/>
      <c r="J183" s="63"/>
      <c r="K183" s="78"/>
      <c r="L183" s="63"/>
      <c r="M183" s="78"/>
      <c r="N183" s="63"/>
      <c r="O183" s="63"/>
      <c r="P183" s="63"/>
      <c r="Q183" s="63"/>
      <c r="R183" s="63"/>
      <c r="S183" s="63"/>
      <c r="T183" s="63">
        <v>160</v>
      </c>
      <c r="U183" s="63"/>
    </row>
    <row r="184" spans="1:21" ht="14.1" customHeight="1" x14ac:dyDescent="0.25">
      <c r="A184" s="24" t="s">
        <v>248</v>
      </c>
      <c r="B184" s="24"/>
      <c r="C184" s="25" t="s">
        <v>249</v>
      </c>
      <c r="D184" s="26">
        <f t="shared" si="35"/>
        <v>0</v>
      </c>
      <c r="E184" s="26">
        <f t="shared" si="33"/>
        <v>0</v>
      </c>
      <c r="F184" s="26"/>
      <c r="G184" s="26"/>
      <c r="H184" s="26"/>
      <c r="I184" s="58"/>
      <c r="J184" s="63"/>
      <c r="K184" s="78"/>
      <c r="L184" s="63"/>
      <c r="M184" s="78"/>
      <c r="N184" s="63"/>
      <c r="O184" s="63"/>
      <c r="P184" s="63"/>
      <c r="Q184" s="63"/>
      <c r="R184" s="63"/>
      <c r="S184" s="63"/>
      <c r="T184" s="63"/>
      <c r="U184" s="63"/>
    </row>
    <row r="185" spans="1:21" ht="14.1" customHeight="1" x14ac:dyDescent="0.25">
      <c r="A185" s="24" t="s">
        <v>296</v>
      </c>
      <c r="B185" s="24"/>
      <c r="C185" s="25" t="s">
        <v>297</v>
      </c>
      <c r="D185" s="26">
        <f t="shared" si="35"/>
        <v>0</v>
      </c>
      <c r="E185" s="26">
        <f t="shared" si="33"/>
        <v>0</v>
      </c>
      <c r="F185" s="26"/>
      <c r="G185" s="26"/>
      <c r="H185" s="26"/>
      <c r="I185" s="58"/>
      <c r="J185" s="63"/>
      <c r="K185" s="78"/>
      <c r="L185" s="63"/>
      <c r="M185" s="78"/>
      <c r="N185" s="63"/>
      <c r="O185" s="63"/>
      <c r="P185" s="63"/>
      <c r="Q185" s="63"/>
      <c r="R185" s="63"/>
      <c r="S185" s="63"/>
      <c r="T185" s="63"/>
      <c r="U185" s="63"/>
    </row>
    <row r="186" spans="1:21" ht="14.1" customHeight="1" x14ac:dyDescent="0.25">
      <c r="A186" s="24" t="s">
        <v>250</v>
      </c>
      <c r="B186" s="24"/>
      <c r="C186" s="25" t="s">
        <v>251</v>
      </c>
      <c r="D186" s="26">
        <f t="shared" si="35"/>
        <v>313</v>
      </c>
      <c r="E186" s="26">
        <f t="shared" si="33"/>
        <v>270</v>
      </c>
      <c r="F186" s="26">
        <v>270</v>
      </c>
      <c r="G186" s="26">
        <f>ROUND((G181+G182+G183+G184+G185)*0.27,0)</f>
        <v>270</v>
      </c>
      <c r="H186" s="26"/>
      <c r="I186" s="58"/>
      <c r="J186" s="63"/>
      <c r="K186" s="58"/>
      <c r="L186" s="63"/>
      <c r="M186" s="58"/>
      <c r="N186" s="63"/>
      <c r="O186" s="58"/>
      <c r="P186" s="63"/>
      <c r="Q186" s="63"/>
      <c r="R186" s="63"/>
      <c r="S186" s="63"/>
      <c r="T186" s="63">
        <v>43</v>
      </c>
      <c r="U186" s="63"/>
    </row>
    <row r="187" spans="1:21" ht="14.1" customHeight="1" x14ac:dyDescent="0.25">
      <c r="A187" s="24" t="s">
        <v>298</v>
      </c>
      <c r="B187" s="24"/>
      <c r="C187" s="25" t="s">
        <v>299</v>
      </c>
      <c r="D187" s="26">
        <f t="shared" si="35"/>
        <v>0</v>
      </c>
      <c r="E187" s="26">
        <f t="shared" si="33"/>
        <v>0</v>
      </c>
      <c r="F187" s="26"/>
      <c r="G187" s="26"/>
      <c r="H187" s="26"/>
      <c r="I187" s="58"/>
      <c r="J187" s="63"/>
      <c r="K187" s="78"/>
      <c r="L187" s="63"/>
      <c r="M187" s="78"/>
      <c r="N187" s="63"/>
      <c r="O187" s="63"/>
      <c r="P187" s="63"/>
      <c r="Q187" s="63"/>
      <c r="R187" s="63"/>
      <c r="S187" s="63"/>
      <c r="T187" s="63"/>
      <c r="U187" s="63"/>
    </row>
    <row r="188" spans="1:21" ht="14.1" customHeight="1" x14ac:dyDescent="0.25">
      <c r="A188" s="24" t="s">
        <v>252</v>
      </c>
      <c r="B188" s="24"/>
      <c r="C188" s="25" t="s">
        <v>253</v>
      </c>
      <c r="D188" s="26">
        <f t="shared" si="35"/>
        <v>0</v>
      </c>
      <c r="E188" s="26">
        <f t="shared" si="33"/>
        <v>0</v>
      </c>
      <c r="F188" s="26"/>
      <c r="G188" s="26"/>
      <c r="H188" s="26"/>
      <c r="I188" s="58"/>
      <c r="J188" s="63"/>
      <c r="K188" s="78"/>
      <c r="L188" s="63"/>
      <c r="M188" s="78"/>
      <c r="N188" s="63"/>
      <c r="O188" s="63"/>
      <c r="P188" s="63"/>
      <c r="Q188" s="63"/>
      <c r="R188" s="63"/>
      <c r="S188" s="63"/>
      <c r="T188" s="63"/>
      <c r="U188" s="63"/>
    </row>
    <row r="189" spans="1:21" ht="14.1" customHeight="1" x14ac:dyDescent="0.25">
      <c r="A189" s="24" t="s">
        <v>300</v>
      </c>
      <c r="B189" s="24"/>
      <c r="C189" s="25" t="s">
        <v>301</v>
      </c>
      <c r="D189" s="26">
        <f t="shared" si="35"/>
        <v>0</v>
      </c>
      <c r="E189" s="26">
        <f t="shared" si="33"/>
        <v>0</v>
      </c>
      <c r="F189" s="26"/>
      <c r="G189" s="26"/>
      <c r="H189" s="26"/>
      <c r="I189" s="58"/>
      <c r="J189" s="63"/>
      <c r="K189" s="78"/>
      <c r="L189" s="63"/>
      <c r="M189" s="78"/>
      <c r="N189" s="63"/>
      <c r="O189" s="63"/>
      <c r="P189" s="63"/>
      <c r="Q189" s="63"/>
      <c r="R189" s="63"/>
      <c r="S189" s="63"/>
      <c r="T189" s="63"/>
      <c r="U189" s="63"/>
    </row>
    <row r="190" spans="1:21" ht="14.1" customHeight="1" x14ac:dyDescent="0.25">
      <c r="A190" s="24" t="s">
        <v>254</v>
      </c>
      <c r="B190" s="24"/>
      <c r="C190" s="25" t="s">
        <v>255</v>
      </c>
      <c r="D190" s="26">
        <f t="shared" si="35"/>
        <v>0</v>
      </c>
      <c r="E190" s="26">
        <f t="shared" si="33"/>
        <v>0</v>
      </c>
      <c r="F190" s="26"/>
      <c r="G190" s="26"/>
      <c r="H190" s="26"/>
      <c r="I190" s="58"/>
      <c r="J190" s="63"/>
      <c r="K190" s="78"/>
      <c r="L190" s="63"/>
      <c r="M190" s="78"/>
      <c r="N190" s="63"/>
      <c r="O190" s="63"/>
      <c r="P190" s="63"/>
      <c r="Q190" s="63"/>
      <c r="R190" s="63"/>
      <c r="S190" s="63"/>
      <c r="T190" s="63"/>
      <c r="U190" s="63"/>
    </row>
    <row r="191" spans="1:21" s="3" customFormat="1" ht="14.1" customHeight="1" x14ac:dyDescent="0.25">
      <c r="A191" s="20" t="s">
        <v>256</v>
      </c>
      <c r="B191" s="20"/>
      <c r="C191" s="21" t="s">
        <v>257</v>
      </c>
      <c r="D191" s="23">
        <f>F191+H191+J191+L191+N191+P191+R191</f>
        <v>0</v>
      </c>
      <c r="E191" s="23">
        <f>G191+I191</f>
        <v>0</v>
      </c>
      <c r="F191" s="23">
        <v>0</v>
      </c>
      <c r="G191" s="23">
        <v>0</v>
      </c>
      <c r="H191" s="23">
        <v>0</v>
      </c>
      <c r="I191" s="60">
        <v>0</v>
      </c>
      <c r="J191" s="72">
        <v>0</v>
      </c>
      <c r="K191" s="82">
        <v>0</v>
      </c>
      <c r="L191" s="72">
        <v>0</v>
      </c>
      <c r="M191" s="82">
        <v>0</v>
      </c>
      <c r="N191" s="72">
        <v>0</v>
      </c>
      <c r="O191" s="72">
        <v>0</v>
      </c>
      <c r="P191" s="72">
        <v>0</v>
      </c>
      <c r="Q191" s="72">
        <v>0</v>
      </c>
      <c r="R191" s="72">
        <v>0</v>
      </c>
      <c r="S191" s="72">
        <v>0</v>
      </c>
      <c r="T191" s="72">
        <v>0</v>
      </c>
      <c r="U191" s="72">
        <v>0</v>
      </c>
    </row>
    <row r="192" spans="1:21" s="3" customFormat="1" ht="14.1" customHeight="1" x14ac:dyDescent="0.25">
      <c r="A192" s="1018" t="s">
        <v>295</v>
      </c>
      <c r="B192" s="1019"/>
      <c r="C192" s="1020"/>
      <c r="D192" s="30">
        <f>D180+D191+D178</f>
        <v>2473</v>
      </c>
      <c r="E192" s="30">
        <f t="shared" ref="E192:U192" si="36">E180+E191+E178</f>
        <v>2270</v>
      </c>
      <c r="F192" s="30">
        <f t="shared" si="36"/>
        <v>2270</v>
      </c>
      <c r="G192" s="30">
        <f t="shared" si="36"/>
        <v>2270</v>
      </c>
      <c r="H192" s="30">
        <f t="shared" si="36"/>
        <v>0</v>
      </c>
      <c r="I192" s="30">
        <f t="shared" si="36"/>
        <v>0</v>
      </c>
      <c r="J192" s="30">
        <f t="shared" si="36"/>
        <v>0</v>
      </c>
      <c r="K192" s="30">
        <f t="shared" si="36"/>
        <v>0</v>
      </c>
      <c r="L192" s="30">
        <f t="shared" si="36"/>
        <v>0</v>
      </c>
      <c r="M192" s="30">
        <f t="shared" si="36"/>
        <v>0</v>
      </c>
      <c r="N192" s="30">
        <f t="shared" si="36"/>
        <v>0</v>
      </c>
      <c r="O192" s="30">
        <f t="shared" si="36"/>
        <v>0</v>
      </c>
      <c r="P192" s="30">
        <f t="shared" si="36"/>
        <v>0</v>
      </c>
      <c r="Q192" s="30">
        <f t="shared" si="36"/>
        <v>0</v>
      </c>
      <c r="R192" s="30">
        <f t="shared" si="36"/>
        <v>0</v>
      </c>
      <c r="S192" s="30">
        <f t="shared" si="36"/>
        <v>0</v>
      </c>
      <c r="T192" s="30">
        <f t="shared" si="36"/>
        <v>203</v>
      </c>
      <c r="U192" s="30">
        <f t="shared" si="36"/>
        <v>0</v>
      </c>
    </row>
  </sheetData>
  <sheetProtection selectLockedCells="1" selectUnlockedCells="1"/>
  <mergeCells count="69">
    <mergeCell ref="R174:S174"/>
    <mergeCell ref="E174:E175"/>
    <mergeCell ref="T174:U174"/>
    <mergeCell ref="A177:I177"/>
    <mergeCell ref="A192:C192"/>
    <mergeCell ref="P174:Q174"/>
    <mergeCell ref="A174:A175"/>
    <mergeCell ref="B174:B175"/>
    <mergeCell ref="C174:C175"/>
    <mergeCell ref="D174:D175"/>
    <mergeCell ref="H174:I174"/>
    <mergeCell ref="J174:K174"/>
    <mergeCell ref="L174:M174"/>
    <mergeCell ref="N174:O174"/>
    <mergeCell ref="F174:G174"/>
    <mergeCell ref="N1:U1"/>
    <mergeCell ref="A50:M50"/>
    <mergeCell ref="N50:U50"/>
    <mergeCell ref="A146:M146"/>
    <mergeCell ref="N146:U146"/>
    <mergeCell ref="A54:I54"/>
    <mergeCell ref="A142:C142"/>
    <mergeCell ref="L2:M2"/>
    <mergeCell ref="N2:O2"/>
    <mergeCell ref="P2:Q2"/>
    <mergeCell ref="R2:S2"/>
    <mergeCell ref="T2:U2"/>
    <mergeCell ref="J2:K2"/>
    <mergeCell ref="A5:I5"/>
    <mergeCell ref="A2:A3"/>
    <mergeCell ref="A1:M1"/>
    <mergeCell ref="A150:I150"/>
    <mergeCell ref="A166:C166"/>
    <mergeCell ref="A168:C168"/>
    <mergeCell ref="N173:U173"/>
    <mergeCell ref="H147:I147"/>
    <mergeCell ref="J147:K147"/>
    <mergeCell ref="L147:M147"/>
    <mergeCell ref="N147:O147"/>
    <mergeCell ref="P147:Q147"/>
    <mergeCell ref="R147:S147"/>
    <mergeCell ref="A147:A148"/>
    <mergeCell ref="B147:B148"/>
    <mergeCell ref="C147:C148"/>
    <mergeCell ref="D147:D148"/>
    <mergeCell ref="E147:E148"/>
    <mergeCell ref="A173:M173"/>
    <mergeCell ref="F147:G147"/>
    <mergeCell ref="T51:U51"/>
    <mergeCell ref="A46:C46"/>
    <mergeCell ref="A51:A52"/>
    <mergeCell ref="B51:B52"/>
    <mergeCell ref="C51:C52"/>
    <mergeCell ref="D51:D52"/>
    <mergeCell ref="E51:E52"/>
    <mergeCell ref="F51:G51"/>
    <mergeCell ref="H51:I51"/>
    <mergeCell ref="J51:K51"/>
    <mergeCell ref="L51:M51"/>
    <mergeCell ref="N51:O51"/>
    <mergeCell ref="P51:Q51"/>
    <mergeCell ref="R51:S51"/>
    <mergeCell ref="T147:U147"/>
    <mergeCell ref="H2:I2"/>
    <mergeCell ref="B2:B3"/>
    <mergeCell ref="C2:C3"/>
    <mergeCell ref="D2:D3"/>
    <mergeCell ref="E2:E3"/>
    <mergeCell ref="F2:G2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46" max="16383" man="1"/>
    <brk id="110" max="16383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38</vt:i4>
      </vt:variant>
      <vt:variant>
        <vt:lpstr>Névvel ellátott tartományok</vt:lpstr>
      </vt:variant>
      <vt:variant>
        <vt:i4>52</vt:i4>
      </vt:variant>
    </vt:vector>
  </HeadingPairs>
  <TitlesOfParts>
    <vt:vector size="90" baseType="lpstr">
      <vt:lpstr>Egyenlegmutató</vt:lpstr>
      <vt:lpstr>0.Mérleg</vt:lpstr>
      <vt:lpstr>1A. Fő bev</vt:lpstr>
      <vt:lpstr>1B. Fő kiad</vt:lpstr>
      <vt:lpstr>1C Bev kiad fel</vt:lpstr>
      <vt:lpstr>2A Önk bev</vt:lpstr>
      <vt:lpstr>2B Önk kiad</vt:lpstr>
      <vt:lpstr>2C Önk bev kiad fel</vt:lpstr>
      <vt:lpstr>2D Céltartalék</vt:lpstr>
      <vt:lpstr>2E VÉA</vt:lpstr>
      <vt:lpstr>2F KVA</vt:lpstr>
      <vt:lpstr>3A PH</vt:lpstr>
      <vt:lpstr>3B PH fel</vt:lpstr>
      <vt:lpstr>4A Walla</vt:lpstr>
      <vt:lpstr>4B Nyitnikék</vt:lpstr>
      <vt:lpstr>4C Bóbita</vt:lpstr>
      <vt:lpstr>4D MMMH</vt:lpstr>
      <vt:lpstr>4E Könyvtár</vt:lpstr>
      <vt:lpstr>4F Segítő Kéz</vt:lpstr>
      <vt:lpstr>4G Szérüskert</vt:lpstr>
      <vt:lpstr>Walla</vt:lpstr>
      <vt:lpstr>4H VG bev kiad</vt:lpstr>
      <vt:lpstr>Könyvtár</vt:lpstr>
      <vt:lpstr>5 GSZNR fel</vt:lpstr>
      <vt:lpstr>6. létszámkeret</vt:lpstr>
      <vt:lpstr>Beruházás</vt:lpstr>
      <vt:lpstr>Felújítás</vt:lpstr>
      <vt:lpstr>7. projektek</vt:lpstr>
      <vt:lpstr>7. </vt:lpstr>
      <vt:lpstr>8. stab tv</vt:lpstr>
      <vt:lpstr>9. Uniós tám</vt:lpstr>
      <vt:lpstr>10. címrend</vt:lpstr>
      <vt:lpstr>ÖK kiad</vt:lpstr>
      <vt:lpstr>MMMH</vt:lpstr>
      <vt:lpstr>Nyitnikék</vt:lpstr>
      <vt:lpstr>Bóbita</vt:lpstr>
      <vt:lpstr>SKSZ</vt:lpstr>
      <vt:lpstr>PH</vt:lpstr>
      <vt:lpstr>'1A. Fő bev'!Nyomtatási_cím</vt:lpstr>
      <vt:lpstr>'1B. Fő kiad'!Nyomtatási_cím</vt:lpstr>
      <vt:lpstr>'1C Bev kiad fel'!Nyomtatási_cím</vt:lpstr>
      <vt:lpstr>'2A Önk bev'!Nyomtatási_cím</vt:lpstr>
      <vt:lpstr>'2B Önk kiad'!Nyomtatási_cím</vt:lpstr>
      <vt:lpstr>'2C Önk bev kiad fel'!Nyomtatási_cím</vt:lpstr>
      <vt:lpstr>'3A PH'!Nyomtatási_cím</vt:lpstr>
      <vt:lpstr>'3B PH fel'!Nyomtatási_cím</vt:lpstr>
      <vt:lpstr>'4A Walla'!Nyomtatási_cím</vt:lpstr>
      <vt:lpstr>'4B Nyitnikék'!Nyomtatási_cím</vt:lpstr>
      <vt:lpstr>'4C Bóbita'!Nyomtatási_cím</vt:lpstr>
      <vt:lpstr>'4D MMMH'!Nyomtatási_cím</vt:lpstr>
      <vt:lpstr>'4E Könyvtár'!Nyomtatási_cím</vt:lpstr>
      <vt:lpstr>'4F Segítő Kéz'!Nyomtatási_cím</vt:lpstr>
      <vt:lpstr>'4G Szérüskert'!Nyomtatási_cím</vt:lpstr>
      <vt:lpstr>'4H VG bev kiad'!Nyomtatási_cím</vt:lpstr>
      <vt:lpstr>'5 GSZNR fel'!Nyomtatási_cím</vt:lpstr>
      <vt:lpstr>Beruházás!Nyomtatási_cím</vt:lpstr>
      <vt:lpstr>Könyvtár!Nyomtatási_cím</vt:lpstr>
      <vt:lpstr>MMMH!Nyomtatási_cím</vt:lpstr>
      <vt:lpstr>'ÖK kiad'!Nyomtatási_cím</vt:lpstr>
      <vt:lpstr>PH!Nyomtatási_cím</vt:lpstr>
      <vt:lpstr>SKSZ!Nyomtatási_cím</vt:lpstr>
      <vt:lpstr>Walla!Nyomtatási_cím</vt:lpstr>
      <vt:lpstr>'0.Mérleg'!Nyomtatási_terület</vt:lpstr>
      <vt:lpstr>'10. címrend'!Nyomtatási_terület</vt:lpstr>
      <vt:lpstr>'1A. Fő bev'!Nyomtatási_terület</vt:lpstr>
      <vt:lpstr>'1B. Fő kiad'!Nyomtatási_terület</vt:lpstr>
      <vt:lpstr>'1C Bev kiad fel'!Nyomtatási_terület</vt:lpstr>
      <vt:lpstr>'2A Önk bev'!Nyomtatási_terület</vt:lpstr>
      <vt:lpstr>'2B Önk kiad'!Nyomtatási_terület</vt:lpstr>
      <vt:lpstr>'2C Önk bev kiad fel'!Nyomtatási_terület</vt:lpstr>
      <vt:lpstr>'2D Céltartalék'!Nyomtatási_terület</vt:lpstr>
      <vt:lpstr>'2E VÉA'!Nyomtatási_terület</vt:lpstr>
      <vt:lpstr>'2F KVA'!Nyomtatási_terület</vt:lpstr>
      <vt:lpstr>'3A PH'!Nyomtatási_terület</vt:lpstr>
      <vt:lpstr>'3B PH fel'!Nyomtatási_terület</vt:lpstr>
      <vt:lpstr>'4A Walla'!Nyomtatási_terület</vt:lpstr>
      <vt:lpstr>'4B Nyitnikék'!Nyomtatási_terület</vt:lpstr>
      <vt:lpstr>'4C Bóbita'!Nyomtatási_terület</vt:lpstr>
      <vt:lpstr>'4D MMMH'!Nyomtatási_terület</vt:lpstr>
      <vt:lpstr>'4E Könyvtár'!Nyomtatási_terület</vt:lpstr>
      <vt:lpstr>'4F Segítő Kéz'!Nyomtatási_terület</vt:lpstr>
      <vt:lpstr>'4G Szérüskert'!Nyomtatási_terület</vt:lpstr>
      <vt:lpstr>'4H VG bev kiad'!Nyomtatási_terület</vt:lpstr>
      <vt:lpstr>'5 GSZNR fel'!Nyomtatási_terület</vt:lpstr>
      <vt:lpstr>'6. létszámkeret'!Nyomtatási_terület</vt:lpstr>
      <vt:lpstr>'7. '!Nyomtatási_terület</vt:lpstr>
      <vt:lpstr>'7. projektek'!Nyomtatási_terület</vt:lpstr>
      <vt:lpstr>'8. stab tv'!Nyomtatási_terület</vt:lpstr>
      <vt:lpstr>Beruházás!Nyomtatási_terület</vt:lpstr>
      <vt:lpstr>Felújítás!Nyomtatási_terület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Volosin</dc:creator>
  <cp:lastModifiedBy>Nagy Eszter</cp:lastModifiedBy>
  <cp:lastPrinted>2020-02-07T21:48:22Z</cp:lastPrinted>
  <dcterms:created xsi:type="dcterms:W3CDTF">2015-10-26T12:21:43Z</dcterms:created>
  <dcterms:modified xsi:type="dcterms:W3CDTF">2020-02-24T14:18:08Z</dcterms:modified>
</cp:coreProperties>
</file>