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475" activeTab="1"/>
  </bookViews>
  <sheets>
    <sheet name="kiadás" sheetId="1" r:id="rId1"/>
    <sheet name="bevétel" sheetId="2" r:id="rId2"/>
  </sheets>
  <definedNames>
    <definedName name="_xlnm.Print_Area" localSheetId="1">'bevétel'!$A$1:$P$37</definedName>
    <definedName name="_xlnm.Print_Area" localSheetId="0">'kiadás'!$A$7:$P$47</definedName>
  </definedNames>
  <calcPr fullCalcOnLoad="1"/>
</workbook>
</file>

<file path=xl/sharedStrings.xml><?xml version="1.0" encoding="utf-8"?>
<sst xmlns="http://schemas.openxmlformats.org/spreadsheetml/2006/main" count="126" uniqueCount="103">
  <si>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</si>
  <si>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</si>
  <si>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</si>
  <si>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</si>
  <si>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</si>
  <si>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</si>
  <si>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</si>
  <si>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</si>
  <si>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</si>
  <si>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</si>
  <si>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</si>
  <si>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</si>
  <si>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</si>
  <si>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</si>
  <si>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</si>
  <si>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</si>
  <si>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</si>
  <si>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</si>
  <si>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</si>
  <si>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</si>
  <si>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</si>
  <si>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</si>
  <si>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</si>
  <si>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</si>
  <si>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</si>
  <si>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</si>
  <si>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</si>
  <si>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</si>
  <si>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</si>
  <si>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</si>
  <si>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</si>
  <si>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</si>
  <si>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</si>
  <si>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</si>
  <si>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</si>
  <si>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</si>
  <si>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</si>
  <si>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</si>
  <si>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</si>
  <si>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</si>
  <si>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</si>
  <si>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</si>
  <si>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</si>
  <si>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</si>
  <si>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</si>
  <si>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</si>
  <si>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</si>
  <si>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</si>
  <si>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</si>
  <si>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</si>
  <si>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</si>
  <si>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</si>
  <si>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</si>
  <si>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</si>
  <si>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2014.évi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</si>
  <si>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</si>
  <si>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</si>
  <si>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</si>
  <si>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</si>
  <si>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</si>
  <si>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</si>
  <si>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</si>
  <si>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</si>
  <si>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</si>
  <si>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</si>
  <si>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</si>
  <si>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</si>
  <si>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</si>
  <si>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</si>
  <si>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</si>
  <si>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</si>
  <si>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</si>
  <si>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</si>
  <si>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</si>
  <si>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</si>
  <si>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</si>
  <si>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</si>
  <si>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</si>
  <si>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</si>
  <si>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</si>
  <si>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</si>
  <si>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</si>
  <si>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</si>
  <si>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</si>
  <si>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</si>
  <si>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</si>
  <si>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</si>
  <si>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Belváros-Lipótváros Önkormányzata 2014.évi kiadásainak előirányzat-felhasználási ütemterve</t>
  </si>
  <si>
    <t>mód.ei.</t>
  </si>
  <si>
    <t>2014. évi mód.ei.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</si>
  <si>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</si>
  <si>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</si>
  <si>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</si>
  <si>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</si>
  <si>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</si>
  <si>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Betétlekötés megszüntetése</t>
  </si>
  <si>
    <t>Finanszírozási bevételek összesen</t>
  </si>
  <si>
    <t>11/a.számú melléklet</t>
  </si>
  <si>
    <r>
      <t xml:space="preserve"> </t>
    </r>
    <r>
      <rPr>
        <b/>
        <sz val="12"/>
        <rFont val="Arial CE"/>
        <family val="2"/>
      </rPr>
      <t>Belváros-Lipótváros Önkormányzata 2014. évi bevételeinek előirányzatainak teljesülése</t>
    </r>
    <r>
      <rPr>
        <b/>
        <sz val="11"/>
        <rFont val="Arial CE"/>
        <family val="2"/>
      </rPr>
      <t xml:space="preserve">                                                  </t>
    </r>
  </si>
  <si>
    <t>Áht-n belüli megelőlegezések</t>
  </si>
  <si>
    <t xml:space="preserve">   T  e  l  j  e  s  í  t  é  s</t>
  </si>
  <si>
    <t xml:space="preserve">                                     </t>
  </si>
  <si>
    <t>11/a.sz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</si>
</sst>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8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3" fontId="7" fillId="0" borderId="2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2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3" xfId="0" applyNumberFormat="1" applyFont="1" applyFill="1" applyBorder="1" applyAlignment="1">
      <alignment vertical="center" shrinkToFit="1"/>
    </xf>
    <xf numFmtId="3" fontId="5" fillId="0" borderId="2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7" fillId="0" borderId="27" xfId="0" applyNumberFormat="1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3" fontId="7" fillId="0" borderId="36" xfId="0" applyNumberFormat="1" applyFont="1" applyFill="1" applyBorder="1" applyAlignment="1">
      <alignment vertical="center" shrinkToFit="1"/>
    </xf>
    <xf numFmtId="3" fontId="5" fillId="0" borderId="37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3" fontId="5" fillId="0" borderId="39" xfId="0" applyNumberFormat="1" applyFont="1" applyFill="1" applyBorder="1" applyAlignment="1">
      <alignment vertical="center" shrinkToFit="1"/>
    </xf>
    <xf numFmtId="3" fontId="5" fillId="0" borderId="36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5" fillId="0" borderId="43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3" fontId="7" fillId="0" borderId="24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7" fillId="0" borderId="41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7" fillId="0" borderId="37" xfId="0" applyNumberFormat="1" applyFont="1" applyFill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left" vertical="center" indent="1"/>
    </xf>
    <xf numFmtId="3" fontId="0" fillId="0" borderId="19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3" fontId="5" fillId="0" borderId="54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7" fillId="0" borderId="57" xfId="0" applyNumberFormat="1" applyFont="1" applyFill="1" applyBorder="1" applyAlignment="1">
      <alignment vertical="center" shrinkToFit="1"/>
    </xf>
    <xf numFmtId="3" fontId="7" fillId="0" borderId="54" xfId="0" applyNumberFormat="1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47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vertical="center" shrinkToFit="1"/>
    </xf>
    <xf numFmtId="0" fontId="7" fillId="0" borderId="69" xfId="0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4" fillId="0" borderId="43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vertical="center" shrinkToFit="1"/>
    </xf>
    <xf numFmtId="3" fontId="4" fillId="0" borderId="24" xfId="0" applyNumberFormat="1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29" xfId="0" applyNumberFormat="1" applyFont="1" applyFill="1" applyBorder="1" applyAlignment="1">
      <alignment vertical="center" shrinkToFit="1"/>
    </xf>
    <xf numFmtId="3" fontId="7" fillId="0" borderId="52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21" xfId="0" applyNumberFormat="1" applyFont="1" applyFill="1" applyBorder="1" applyAlignment="1">
      <alignment vertical="center" shrinkToFit="1"/>
    </xf>
    <xf numFmtId="3" fontId="7" fillId="0" borderId="22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3" xfId="0" applyNumberFormat="1" applyFont="1" applyFill="1" applyBorder="1" applyAlignment="1">
      <alignment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84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1" fontId="3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80" zoomScaleNormal="80" zoomScalePageLayoutView="0" workbookViewId="0" topLeftCell="A7">
      <pane ySplit="7" topLeftCell="A14" activePane="bottomLeft" state="frozen"/>
      <selection pane="topLeft" activeCell="A7" sqref="A7"/>
      <selection pane="bottomLeft" activeCell="P14" sqref="P14"/>
    </sheetView>
  </sheetViews>
  <sheetFormatPr defaultColWidth="9.00390625" defaultRowHeight="12.75"/>
  <cols>
    <col min="1" max="1" width="3.125" style="31" customWidth="1"/>
    <col min="2" max="2" width="36.625" style="14" customWidth="1"/>
    <col min="3" max="3" width="11.125" style="18" customWidth="1"/>
    <col min="4" max="4" width="10.625" style="18" customWidth="1"/>
    <col min="5" max="5" width="10.00390625" style="18" customWidth="1"/>
    <col min="6" max="6" width="10.625" style="18" customWidth="1"/>
    <col min="7" max="7" width="10.00390625" style="18" customWidth="1"/>
    <col min="8" max="8" width="10.625" style="18" customWidth="1"/>
    <col min="9" max="9" width="11.125" style="18" customWidth="1"/>
    <col min="10" max="15" width="10.00390625" style="18" customWidth="1"/>
    <col min="16" max="16" width="11.125" style="18" customWidth="1"/>
    <col min="17" max="21" width="9.125" style="151" customWidth="1"/>
    <col min="22" max="16384" width="9.125" style="18" customWidth="1"/>
  </cols>
  <sheetData>
    <row r="1" spans="1:16" ht="12">
      <c r="A1" s="16"/>
      <c r="B1" s="3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">
      <c r="A2" s="16"/>
      <c r="B2" s="3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4" t="s">
        <v>39</v>
      </c>
      <c r="P2" s="184"/>
    </row>
    <row r="3" spans="1:16" ht="12">
      <c r="A3" s="16"/>
      <c r="B3" s="3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">
      <c r="A4" s="16"/>
      <c r="B4" s="3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">
      <c r="A5" s="16"/>
      <c r="B5" s="3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">
      <c r="A6" s="16"/>
      <c r="B6" s="3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6"/>
      <c r="B7" s="3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5" t="s">
        <v>102</v>
      </c>
      <c r="P7" s="185"/>
    </row>
    <row r="8" spans="1:16" ht="21" customHeight="1">
      <c r="A8" s="188" t="s">
        <v>87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ht="15" customHeight="1">
      <c r="A9" s="19"/>
      <c r="B9" s="37"/>
      <c r="C9" s="40"/>
      <c r="D9" s="39"/>
      <c r="E9" s="4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thickBot="1">
      <c r="A10" s="16"/>
      <c r="B10" s="3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3" t="s">
        <v>0</v>
      </c>
    </row>
    <row r="11" spans="1:16" ht="19.5" customHeight="1" thickBot="1">
      <c r="A11" s="189" t="s">
        <v>1</v>
      </c>
      <c r="B11" s="189"/>
      <c r="C11" s="190" t="s">
        <v>89</v>
      </c>
      <c r="D11" s="180" t="s">
        <v>2</v>
      </c>
      <c r="E11" s="180" t="s">
        <v>3</v>
      </c>
      <c r="F11" s="180" t="s">
        <v>4</v>
      </c>
      <c r="G11" s="180" t="s">
        <v>5</v>
      </c>
      <c r="H11" s="180" t="s">
        <v>6</v>
      </c>
      <c r="I11" s="180" t="s">
        <v>7</v>
      </c>
      <c r="J11" s="180" t="s">
        <v>8</v>
      </c>
      <c r="K11" s="180" t="s">
        <v>9</v>
      </c>
      <c r="L11" s="180" t="s">
        <v>10</v>
      </c>
      <c r="M11" s="180" t="s">
        <v>11</v>
      </c>
      <c r="N11" s="180" t="s">
        <v>12</v>
      </c>
      <c r="O11" s="180" t="s">
        <v>13</v>
      </c>
      <c r="P11" s="180" t="s">
        <v>14</v>
      </c>
    </row>
    <row r="12" spans="1:16" ht="12.75" thickBot="1">
      <c r="A12" s="189"/>
      <c r="B12" s="189"/>
      <c r="C12" s="19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6" ht="15" customHeight="1" thickBot="1">
      <c r="A13" s="192">
        <v>1</v>
      </c>
      <c r="B13" s="193"/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  <c r="N13" s="20">
        <v>13</v>
      </c>
      <c r="O13" s="20">
        <v>14</v>
      </c>
      <c r="P13" s="20">
        <v>15</v>
      </c>
    </row>
    <row r="14" spans="1:16" ht="15" customHeight="1">
      <c r="A14" s="21" t="s">
        <v>15</v>
      </c>
      <c r="B14" s="22" t="s">
        <v>78</v>
      </c>
      <c r="C14" s="23">
        <f>SUM(C15:C19)</f>
        <v>15691088</v>
      </c>
      <c r="D14" s="23">
        <f aca="true" t="shared" si="0" ref="D14:N14">SUM(D15:D19)</f>
        <v>730516</v>
      </c>
      <c r="E14" s="23">
        <f t="shared" si="0"/>
        <v>1312491</v>
      </c>
      <c r="F14" s="23">
        <f t="shared" si="0"/>
        <v>1259885</v>
      </c>
      <c r="G14" s="23">
        <f t="shared" si="0"/>
        <v>1237984</v>
      </c>
      <c r="H14" s="23">
        <f t="shared" si="0"/>
        <v>1126232</v>
      </c>
      <c r="I14" s="23">
        <f t="shared" si="0"/>
        <v>1123680</v>
      </c>
      <c r="J14" s="23">
        <f t="shared" si="0"/>
        <v>1101991</v>
      </c>
      <c r="K14" s="23">
        <f t="shared" si="0"/>
        <v>1092775</v>
      </c>
      <c r="L14" s="23">
        <f t="shared" si="0"/>
        <v>1034371</v>
      </c>
      <c r="M14" s="23">
        <f t="shared" si="0"/>
        <v>1092867</v>
      </c>
      <c r="N14" s="23">
        <f t="shared" si="0"/>
        <v>1034686</v>
      </c>
      <c r="O14" s="23">
        <f>SUM(O15:O19)</f>
        <v>2193869</v>
      </c>
      <c r="P14" s="98">
        <f>SUM(D14:O14)</f>
        <v>14341347</v>
      </c>
    </row>
    <row r="15" spans="1:16" ht="15" customHeight="1">
      <c r="A15" s="25"/>
      <c r="B15" s="38" t="s">
        <v>16</v>
      </c>
      <c r="C15" s="15">
        <v>2914202</v>
      </c>
      <c r="D15" s="26">
        <f>159265+74735</f>
        <v>234000</v>
      </c>
      <c r="E15" s="26">
        <f>128432+74735</f>
        <v>203167</v>
      </c>
      <c r="F15" s="26">
        <f>135388+74735</f>
        <v>210123</v>
      </c>
      <c r="G15" s="26">
        <f>120483+74735</f>
        <v>195218</v>
      </c>
      <c r="H15" s="26">
        <f>212231+74735</f>
        <v>286966</v>
      </c>
      <c r="I15" s="26">
        <f>119180+74735</f>
        <v>193915</v>
      </c>
      <c r="J15" s="26">
        <f>161345+74735</f>
        <v>236080</v>
      </c>
      <c r="K15" s="26">
        <f>150842+74735</f>
        <v>225577</v>
      </c>
      <c r="L15" s="26">
        <f>124221+74735</f>
        <v>198956</v>
      </c>
      <c r="M15" s="26">
        <f>119899+74735</f>
        <v>194634</v>
      </c>
      <c r="N15" s="26">
        <f>157701+74735</f>
        <v>232436</v>
      </c>
      <c r="O15" s="26">
        <f>258291+74730</f>
        <v>333021</v>
      </c>
      <c r="P15" s="15">
        <f aca="true" t="shared" si="1" ref="P15:P45">SUM(D15:O15)</f>
        <v>2744093</v>
      </c>
    </row>
    <row r="16" spans="1:16" ht="15" customHeight="1">
      <c r="A16" s="25"/>
      <c r="B16" s="38" t="s">
        <v>68</v>
      </c>
      <c r="C16" s="15">
        <v>842829</v>
      </c>
      <c r="D16" s="26">
        <f>42611+20532</f>
        <v>63143</v>
      </c>
      <c r="E16" s="26">
        <f>40397+20532</f>
        <v>60929</v>
      </c>
      <c r="F16" s="26">
        <f>40727+20532</f>
        <v>61259</v>
      </c>
      <c r="G16" s="26">
        <f>38035+20532</f>
        <v>58567</v>
      </c>
      <c r="H16" s="26">
        <f>61367+20532</f>
        <v>81899</v>
      </c>
      <c r="I16" s="26">
        <f>33580+20532</f>
        <v>54112</v>
      </c>
      <c r="J16" s="26">
        <f>50181+20532</f>
        <v>70713</v>
      </c>
      <c r="K16" s="26">
        <f>42368+20532</f>
        <v>62900</v>
      </c>
      <c r="L16" s="26">
        <f>35361+20532</f>
        <v>55893</v>
      </c>
      <c r="M16" s="26">
        <f>36661+20532</f>
        <v>57193</v>
      </c>
      <c r="N16" s="26">
        <f>42615+20532</f>
        <v>63147</v>
      </c>
      <c r="O16" s="26">
        <f>51174+20532</f>
        <v>71706</v>
      </c>
      <c r="P16" s="15">
        <f t="shared" si="1"/>
        <v>761461</v>
      </c>
    </row>
    <row r="17" spans="1:16" ht="15" customHeight="1">
      <c r="A17" s="25"/>
      <c r="B17" s="38" t="s">
        <v>37</v>
      </c>
      <c r="C17" s="15">
        <v>9279194</v>
      </c>
      <c r="D17" s="26">
        <f>233923+73116</f>
        <v>307039</v>
      </c>
      <c r="E17" s="26">
        <f>871488+73116-11102</f>
        <v>933502</v>
      </c>
      <c r="F17" s="26">
        <f>872988+73116</f>
        <v>946104</v>
      </c>
      <c r="G17" s="26">
        <f>675722+73116</f>
        <v>748838</v>
      </c>
      <c r="H17" s="26">
        <f>572748+73116</f>
        <v>645864</v>
      </c>
      <c r="I17" s="26">
        <f>690635+73116</f>
        <v>763751</v>
      </c>
      <c r="J17" s="26">
        <f>613047+73116</f>
        <v>686163</v>
      </c>
      <c r="K17" s="26">
        <f>588021+73116</f>
        <v>661137</v>
      </c>
      <c r="L17" s="26">
        <f>620539+73116</f>
        <v>693655</v>
      </c>
      <c r="M17" s="26">
        <f>614381+73116</f>
        <v>687497</v>
      </c>
      <c r="N17" s="26">
        <f>522328+73116</f>
        <v>595444</v>
      </c>
      <c r="O17" s="26">
        <f>867329+73121</f>
        <v>940450</v>
      </c>
      <c r="P17" s="15">
        <f t="shared" si="1"/>
        <v>8609444</v>
      </c>
    </row>
    <row r="18" spans="1:16" ht="15" customHeight="1">
      <c r="A18" s="25"/>
      <c r="B18" s="38" t="s">
        <v>38</v>
      </c>
      <c r="C18" s="15">
        <v>711564</v>
      </c>
      <c r="D18" s="26">
        <v>125863</v>
      </c>
      <c r="E18" s="26">
        <v>75117</v>
      </c>
      <c r="F18" s="26">
        <v>20779</v>
      </c>
      <c r="G18" s="26">
        <v>94703</v>
      </c>
      <c r="H18" s="26">
        <v>46464</v>
      </c>
      <c r="I18" s="26">
        <v>20548</v>
      </c>
      <c r="J18" s="26">
        <v>64970</v>
      </c>
      <c r="K18" s="26">
        <v>31781</v>
      </c>
      <c r="L18" s="26">
        <v>26394</v>
      </c>
      <c r="M18" s="26">
        <v>24499</v>
      </c>
      <c r="N18" s="26">
        <v>27403</v>
      </c>
      <c r="O18" s="26">
        <v>134978</v>
      </c>
      <c r="P18" s="15">
        <f t="shared" si="1"/>
        <v>693499</v>
      </c>
    </row>
    <row r="19" spans="1:16" ht="15" customHeight="1">
      <c r="A19" s="25"/>
      <c r="B19" s="38" t="s">
        <v>51</v>
      </c>
      <c r="C19" s="15">
        <v>1943299</v>
      </c>
      <c r="D19" s="15">
        <f aca="true" t="shared" si="2" ref="D19:N19">SUM(D22:D26)</f>
        <v>471</v>
      </c>
      <c r="E19" s="15">
        <f t="shared" si="2"/>
        <v>39776</v>
      </c>
      <c r="F19" s="15">
        <f t="shared" si="2"/>
        <v>21620</v>
      </c>
      <c r="G19" s="15">
        <f>SUM(G21:G26)</f>
        <v>140658</v>
      </c>
      <c r="H19" s="15">
        <f aca="true" t="shared" si="3" ref="H19:O19">SUM(H21:H26)</f>
        <v>65039</v>
      </c>
      <c r="I19" s="15">
        <f t="shared" si="3"/>
        <v>91354</v>
      </c>
      <c r="J19" s="15">
        <f t="shared" si="3"/>
        <v>44065</v>
      </c>
      <c r="K19" s="15">
        <f t="shared" si="3"/>
        <v>111380</v>
      </c>
      <c r="L19" s="15">
        <f t="shared" si="3"/>
        <v>59473</v>
      </c>
      <c r="M19" s="15">
        <f t="shared" si="3"/>
        <v>129044</v>
      </c>
      <c r="N19" s="15">
        <f t="shared" si="3"/>
        <v>116256</v>
      </c>
      <c r="O19" s="15">
        <f t="shared" si="3"/>
        <v>713714</v>
      </c>
      <c r="P19" s="15">
        <f t="shared" si="1"/>
        <v>1532850</v>
      </c>
    </row>
    <row r="20" spans="1:16" ht="12.75" customHeight="1" hidden="1">
      <c r="A20" s="115"/>
      <c r="B20" s="116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15">
        <f t="shared" si="1"/>
        <v>0</v>
      </c>
    </row>
    <row r="21" spans="1:16" ht="12.75" customHeight="1">
      <c r="A21" s="94"/>
      <c r="B21" s="116" t="s">
        <v>86</v>
      </c>
      <c r="C21" s="27">
        <v>629251</v>
      </c>
      <c r="D21" s="28"/>
      <c r="E21" s="28"/>
      <c r="F21" s="28"/>
      <c r="G21" s="28">
        <v>1279</v>
      </c>
      <c r="H21" s="28"/>
      <c r="I21" s="28"/>
      <c r="J21" s="28"/>
      <c r="K21" s="28"/>
      <c r="L21" s="28"/>
      <c r="M21" s="28"/>
      <c r="N21" s="28"/>
      <c r="O21" s="27">
        <v>627972</v>
      </c>
      <c r="P21" s="15">
        <f t="shared" si="1"/>
        <v>629251</v>
      </c>
    </row>
    <row r="22" spans="1:16" ht="12.75" customHeight="1">
      <c r="A22" s="94"/>
      <c r="B22" s="116" t="s">
        <v>71</v>
      </c>
      <c r="C22" s="27">
        <v>378903</v>
      </c>
      <c r="D22" s="28"/>
      <c r="E22" s="28">
        <v>5396</v>
      </c>
      <c r="F22" s="28">
        <v>2292</v>
      </c>
      <c r="G22" s="28">
        <f>105991+11472</f>
        <v>117463</v>
      </c>
      <c r="H22" s="28">
        <f>20200+9873</f>
        <v>30073</v>
      </c>
      <c r="I22" s="28">
        <f>1367+32682+6645</f>
        <v>40694</v>
      </c>
      <c r="J22" s="28">
        <f>170+2362</f>
        <v>2532</v>
      </c>
      <c r="K22" s="28">
        <f>20000+48752+2292</f>
        <v>71044</v>
      </c>
      <c r="L22" s="28">
        <f>1600+3172+2539</f>
        <v>7311</v>
      </c>
      <c r="M22" s="28">
        <f>32500+37954+2164</f>
        <v>72618</v>
      </c>
      <c r="N22" s="28">
        <f>52603+2083</f>
        <v>54686</v>
      </c>
      <c r="O22" s="96">
        <f>55894+2952+2906</f>
        <v>61752</v>
      </c>
      <c r="P22" s="15">
        <f t="shared" si="1"/>
        <v>465861</v>
      </c>
    </row>
    <row r="23" spans="1:16" ht="12.75" customHeight="1">
      <c r="A23" s="94"/>
      <c r="B23" s="116" t="s">
        <v>90</v>
      </c>
      <c r="C23" s="27">
        <v>5550</v>
      </c>
      <c r="D23" s="28"/>
      <c r="E23" s="28"/>
      <c r="F23" s="28"/>
      <c r="G23" s="28">
        <v>1741</v>
      </c>
      <c r="H23" s="28"/>
      <c r="I23" s="28"/>
      <c r="J23" s="28"/>
      <c r="K23" s="28"/>
      <c r="L23" s="28"/>
      <c r="M23" s="28"/>
      <c r="N23" s="28"/>
      <c r="O23" s="96"/>
      <c r="P23" s="15">
        <f t="shared" si="1"/>
        <v>1741</v>
      </c>
    </row>
    <row r="24" spans="1:19" ht="12.75" customHeight="1">
      <c r="A24" s="94"/>
      <c r="B24" s="116" t="s">
        <v>72</v>
      </c>
      <c r="C24" s="27">
        <v>585924</v>
      </c>
      <c r="D24" s="28">
        <v>471</v>
      </c>
      <c r="E24" s="28">
        <f>208+33215+485+472</f>
        <v>34380</v>
      </c>
      <c r="F24" s="28">
        <f>21620-2292</f>
        <v>19328</v>
      </c>
      <c r="G24" s="28">
        <f>140658-117463-1279-1741</f>
        <v>20175</v>
      </c>
      <c r="H24" s="28">
        <f>65039-30073</f>
        <v>34966</v>
      </c>
      <c r="I24" s="28">
        <f>91354-40694</f>
        <v>50660</v>
      </c>
      <c r="J24" s="28">
        <f>44065-2532</f>
        <v>41533</v>
      </c>
      <c r="K24" s="28">
        <f>111380-71044</f>
        <v>40336</v>
      </c>
      <c r="L24" s="28">
        <f>59473-7311</f>
        <v>52162</v>
      </c>
      <c r="M24" s="28">
        <f>129044-72618</f>
        <v>56426</v>
      </c>
      <c r="N24" s="28">
        <f>116256-54686</f>
        <v>61570</v>
      </c>
      <c r="O24" s="96">
        <v>23990</v>
      </c>
      <c r="P24" s="15">
        <f t="shared" si="1"/>
        <v>435997</v>
      </c>
      <c r="R24" s="214"/>
      <c r="S24" s="214"/>
    </row>
    <row r="25" spans="1:16" ht="12.75" customHeight="1">
      <c r="A25" s="94"/>
      <c r="B25" s="116" t="s">
        <v>73</v>
      </c>
      <c r="C25" s="27">
        <v>35980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96"/>
      <c r="P25" s="15">
        <f t="shared" si="1"/>
        <v>0</v>
      </c>
    </row>
    <row r="26" spans="1:16" ht="12.75" customHeight="1">
      <c r="A26" s="94"/>
      <c r="B26" s="116" t="s">
        <v>74</v>
      </c>
      <c r="C26" s="27">
        <v>307691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96"/>
      <c r="P26" s="15">
        <f t="shared" si="1"/>
        <v>0</v>
      </c>
    </row>
    <row r="27" spans="1:16" ht="15" customHeight="1">
      <c r="A27" s="29" t="s">
        <v>17</v>
      </c>
      <c r="B27" s="30" t="s">
        <v>79</v>
      </c>
      <c r="C27" s="15">
        <f aca="true" t="shared" si="4" ref="C27:O27">SUM(C28:C30)</f>
        <v>12014096</v>
      </c>
      <c r="D27" s="15">
        <f t="shared" si="4"/>
        <v>657957</v>
      </c>
      <c r="E27" s="15">
        <f t="shared" si="4"/>
        <v>349028</v>
      </c>
      <c r="F27" s="15">
        <f t="shared" si="4"/>
        <v>865441</v>
      </c>
      <c r="G27" s="15">
        <f t="shared" si="4"/>
        <v>921571</v>
      </c>
      <c r="H27" s="15">
        <f t="shared" si="4"/>
        <v>627436</v>
      </c>
      <c r="I27" s="15">
        <f t="shared" si="4"/>
        <v>364472</v>
      </c>
      <c r="J27" s="15">
        <f t="shared" si="4"/>
        <v>131512</v>
      </c>
      <c r="K27" s="15">
        <f t="shared" si="4"/>
        <v>560753</v>
      </c>
      <c r="L27" s="15">
        <f t="shared" si="4"/>
        <v>709436</v>
      </c>
      <c r="M27" s="15">
        <f t="shared" si="4"/>
        <v>2321318</v>
      </c>
      <c r="N27" s="15">
        <f t="shared" si="4"/>
        <v>567436</v>
      </c>
      <c r="O27" s="15">
        <f t="shared" si="4"/>
        <v>834724</v>
      </c>
      <c r="P27" s="15">
        <f t="shared" si="1"/>
        <v>8911084</v>
      </c>
    </row>
    <row r="28" spans="1:16" ht="15" customHeight="1">
      <c r="A28" s="25"/>
      <c r="B28" s="38" t="s">
        <v>69</v>
      </c>
      <c r="C28" s="15">
        <v>8683569</v>
      </c>
      <c r="D28" s="26">
        <v>607516</v>
      </c>
      <c r="E28" s="26">
        <v>265587</v>
      </c>
      <c r="F28" s="26">
        <v>827594</v>
      </c>
      <c r="G28" s="26">
        <v>883386</v>
      </c>
      <c r="H28" s="26">
        <v>590335</v>
      </c>
      <c r="I28" s="26">
        <v>337286</v>
      </c>
      <c r="J28" s="26">
        <v>71472</v>
      </c>
      <c r="K28" s="26">
        <v>504129</v>
      </c>
      <c r="L28" s="26">
        <f>420488+3086</f>
        <v>423574</v>
      </c>
      <c r="M28" s="26">
        <v>2044782</v>
      </c>
      <c r="N28" s="26">
        <v>376239</v>
      </c>
      <c r="O28" s="26">
        <v>572014</v>
      </c>
      <c r="P28" s="15">
        <f t="shared" si="1"/>
        <v>7503914</v>
      </c>
    </row>
    <row r="29" spans="1:16" ht="15" customHeight="1">
      <c r="A29" s="25"/>
      <c r="B29" s="38" t="s">
        <v>70</v>
      </c>
      <c r="C29" s="15">
        <v>1099350</v>
      </c>
      <c r="D29" s="26">
        <v>49191</v>
      </c>
      <c r="E29" s="26">
        <v>57843</v>
      </c>
      <c r="F29" s="26">
        <v>23461</v>
      </c>
      <c r="G29" s="26">
        <v>16298</v>
      </c>
      <c r="H29" s="26">
        <v>22522</v>
      </c>
      <c r="I29" s="26">
        <v>22849</v>
      </c>
      <c r="J29" s="26">
        <v>38886</v>
      </c>
      <c r="K29" s="26">
        <v>35270</v>
      </c>
      <c r="L29" s="26">
        <v>48009</v>
      </c>
      <c r="M29" s="26">
        <v>230375</v>
      </c>
      <c r="N29" s="26">
        <v>142256</v>
      </c>
      <c r="O29" s="26">
        <v>166099</v>
      </c>
      <c r="P29" s="15">
        <f t="shared" si="1"/>
        <v>853059</v>
      </c>
    </row>
    <row r="30" spans="1:16" ht="15" customHeight="1">
      <c r="A30" s="25"/>
      <c r="B30" s="38" t="s">
        <v>52</v>
      </c>
      <c r="C30" s="15">
        <f>SUM(C31:C34)</f>
        <v>2231177</v>
      </c>
      <c r="D30" s="15">
        <f aca="true" t="shared" si="5" ref="D30:N30">SUM(D31:D34)</f>
        <v>1250</v>
      </c>
      <c r="E30" s="15">
        <f t="shared" si="5"/>
        <v>25598</v>
      </c>
      <c r="F30" s="15">
        <f t="shared" si="5"/>
        <v>14386</v>
      </c>
      <c r="G30" s="15">
        <f t="shared" si="5"/>
        <v>21887</v>
      </c>
      <c r="H30" s="15">
        <f t="shared" si="5"/>
        <v>14579</v>
      </c>
      <c r="I30" s="15">
        <f t="shared" si="5"/>
        <v>4337</v>
      </c>
      <c r="J30" s="15">
        <f t="shared" si="5"/>
        <v>21154</v>
      </c>
      <c r="K30" s="15">
        <f t="shared" si="5"/>
        <v>21354</v>
      </c>
      <c r="L30" s="15">
        <f t="shared" si="5"/>
        <v>237853</v>
      </c>
      <c r="M30" s="15">
        <f t="shared" si="5"/>
        <v>46161</v>
      </c>
      <c r="N30" s="15">
        <f t="shared" si="5"/>
        <v>48941</v>
      </c>
      <c r="O30" s="15">
        <v>96611</v>
      </c>
      <c r="P30" s="15">
        <f t="shared" si="1"/>
        <v>554111</v>
      </c>
    </row>
    <row r="31" spans="1:16" ht="15" customHeight="1">
      <c r="A31" s="29"/>
      <c r="B31" s="30" t="s">
        <v>75</v>
      </c>
      <c r="C31" s="15">
        <v>32250</v>
      </c>
      <c r="D31" s="15"/>
      <c r="E31" s="15"/>
      <c r="F31" s="97"/>
      <c r="G31" s="97"/>
      <c r="H31" s="97">
        <v>5550</v>
      </c>
      <c r="I31" s="97">
        <v>1250</v>
      </c>
      <c r="J31" s="97">
        <v>6200</v>
      </c>
      <c r="K31" s="97">
        <v>1250</v>
      </c>
      <c r="L31" s="97">
        <v>3500</v>
      </c>
      <c r="M31" s="97">
        <v>5200</v>
      </c>
      <c r="N31" s="97">
        <v>2500</v>
      </c>
      <c r="O31" s="97">
        <v>3750</v>
      </c>
      <c r="P31" s="15">
        <f t="shared" si="1"/>
        <v>29200</v>
      </c>
    </row>
    <row r="32" spans="1:16" ht="15" customHeight="1">
      <c r="A32" s="25"/>
      <c r="B32" s="38" t="s">
        <v>76</v>
      </c>
      <c r="C32" s="15">
        <v>1044063</v>
      </c>
      <c r="D32" s="26">
        <v>1250</v>
      </c>
      <c r="E32" s="26">
        <v>25598</v>
      </c>
      <c r="F32" s="26">
        <v>14386</v>
      </c>
      <c r="G32" s="26">
        <v>21887</v>
      </c>
      <c r="H32" s="26">
        <f>14579-5550</f>
        <v>9029</v>
      </c>
      <c r="I32" s="26">
        <v>3087</v>
      </c>
      <c r="J32" s="26">
        <v>14954</v>
      </c>
      <c r="K32" s="26">
        <v>20104</v>
      </c>
      <c r="L32" s="26">
        <f>240939-3086-3500</f>
        <v>234353</v>
      </c>
      <c r="M32" s="26">
        <f>46161-5200</f>
        <v>40961</v>
      </c>
      <c r="N32" s="26">
        <v>46441</v>
      </c>
      <c r="O32" s="26">
        <f>89773</f>
        <v>89773</v>
      </c>
      <c r="P32" s="15">
        <f t="shared" si="1"/>
        <v>521823</v>
      </c>
    </row>
    <row r="33" spans="1:16" ht="15" customHeight="1">
      <c r="A33" s="25"/>
      <c r="B33" s="38" t="s">
        <v>91</v>
      </c>
      <c r="C33" s="15">
        <v>3086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5">
        <f t="shared" si="1"/>
        <v>0</v>
      </c>
    </row>
    <row r="34" spans="1:16" ht="15" customHeight="1">
      <c r="A34" s="25"/>
      <c r="B34" s="38" t="s">
        <v>77</v>
      </c>
      <c r="C34" s="15">
        <v>1151778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5">
        <f>SUM(D34:O34)</f>
        <v>0</v>
      </c>
    </row>
    <row r="35" spans="1:16" ht="15" customHeight="1">
      <c r="A35" s="94"/>
      <c r="B35" s="95" t="s">
        <v>80</v>
      </c>
      <c r="C35" s="27">
        <f>SUM(C14,C27)</f>
        <v>27705184</v>
      </c>
      <c r="D35" s="27">
        <f aca="true" t="shared" si="6" ref="D35:O35">SUM(D14,D27)</f>
        <v>1388473</v>
      </c>
      <c r="E35" s="27">
        <f t="shared" si="6"/>
        <v>1661519</v>
      </c>
      <c r="F35" s="27">
        <f t="shared" si="6"/>
        <v>2125326</v>
      </c>
      <c r="G35" s="27">
        <f t="shared" si="6"/>
        <v>2159555</v>
      </c>
      <c r="H35" s="27">
        <f t="shared" si="6"/>
        <v>1753668</v>
      </c>
      <c r="I35" s="27">
        <f t="shared" si="6"/>
        <v>1488152</v>
      </c>
      <c r="J35" s="27">
        <f t="shared" si="6"/>
        <v>1233503</v>
      </c>
      <c r="K35" s="27">
        <f t="shared" si="6"/>
        <v>1653528</v>
      </c>
      <c r="L35" s="27">
        <f t="shared" si="6"/>
        <v>1743807</v>
      </c>
      <c r="M35" s="27">
        <f t="shared" si="6"/>
        <v>3414185</v>
      </c>
      <c r="N35" s="27">
        <f t="shared" si="6"/>
        <v>1602122</v>
      </c>
      <c r="O35" s="27">
        <f t="shared" si="6"/>
        <v>3028593</v>
      </c>
      <c r="P35" s="15">
        <f t="shared" si="1"/>
        <v>23252431</v>
      </c>
    </row>
    <row r="36" spans="1:16" ht="15" customHeight="1">
      <c r="A36" s="29"/>
      <c r="B36" s="30" t="s">
        <v>81</v>
      </c>
      <c r="C36" s="15">
        <v>4595658</v>
      </c>
      <c r="D36" s="150">
        <v>285549</v>
      </c>
      <c r="E36" s="150">
        <v>418377</v>
      </c>
      <c r="F36" s="150">
        <v>338184</v>
      </c>
      <c r="G36" s="150">
        <v>432510</v>
      </c>
      <c r="H36" s="150">
        <v>398923</v>
      </c>
      <c r="I36" s="150">
        <v>384912</v>
      </c>
      <c r="J36" s="150">
        <v>457449</v>
      </c>
      <c r="K36" s="150">
        <v>332644</v>
      </c>
      <c r="L36" s="150">
        <v>411689</v>
      </c>
      <c r="M36" s="150">
        <v>240169</v>
      </c>
      <c r="N36" s="150">
        <v>414706</v>
      </c>
      <c r="O36" s="150">
        <v>211110</v>
      </c>
      <c r="P36" s="15">
        <f t="shared" si="1"/>
        <v>4326222</v>
      </c>
    </row>
    <row r="37" spans="1:16" ht="15" customHeight="1">
      <c r="A37" s="29" t="s">
        <v>18</v>
      </c>
      <c r="B37" s="30" t="s">
        <v>82</v>
      </c>
      <c r="C37" s="15">
        <f>SUM(C36)</f>
        <v>4595658</v>
      </c>
      <c r="D37" s="15">
        <f aca="true" t="shared" si="7" ref="D37:N37">SUM(D36)</f>
        <v>285549</v>
      </c>
      <c r="E37" s="15">
        <f t="shared" si="7"/>
        <v>418377</v>
      </c>
      <c r="F37" s="15">
        <f t="shared" si="7"/>
        <v>338184</v>
      </c>
      <c r="G37" s="15">
        <f t="shared" si="7"/>
        <v>432510</v>
      </c>
      <c r="H37" s="15">
        <f t="shared" si="7"/>
        <v>398923</v>
      </c>
      <c r="I37" s="15">
        <f t="shared" si="7"/>
        <v>384912</v>
      </c>
      <c r="J37" s="15">
        <f t="shared" si="7"/>
        <v>457449</v>
      </c>
      <c r="K37" s="15">
        <f t="shared" si="7"/>
        <v>332644</v>
      </c>
      <c r="L37" s="15">
        <f t="shared" si="7"/>
        <v>411689</v>
      </c>
      <c r="M37" s="15">
        <f t="shared" si="7"/>
        <v>240169</v>
      </c>
      <c r="N37" s="15">
        <f t="shared" si="7"/>
        <v>414706</v>
      </c>
      <c r="O37" s="15">
        <f>SUM(O36)</f>
        <v>211110</v>
      </c>
      <c r="P37" s="15">
        <f t="shared" si="1"/>
        <v>4326222</v>
      </c>
    </row>
    <row r="38" spans="1:16" ht="15" customHeight="1">
      <c r="A38" s="29"/>
      <c r="B38" s="130" t="s">
        <v>83</v>
      </c>
      <c r="C38" s="15">
        <v>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5">
        <f t="shared" si="1"/>
        <v>0</v>
      </c>
    </row>
    <row r="39" spans="1:16" ht="15" customHeight="1">
      <c r="A39" s="132"/>
      <c r="B39" s="133" t="s">
        <v>84</v>
      </c>
      <c r="C39" s="27">
        <v>165995</v>
      </c>
      <c r="D39" s="153"/>
      <c r="E39" s="153"/>
      <c r="F39" s="153"/>
      <c r="G39" s="153">
        <v>2351</v>
      </c>
      <c r="H39" s="153">
        <v>34286</v>
      </c>
      <c r="I39" s="153">
        <v>8624</v>
      </c>
      <c r="J39" s="153">
        <v>9125</v>
      </c>
      <c r="K39" s="153">
        <v>11451</v>
      </c>
      <c r="L39" s="153">
        <v>12999</v>
      </c>
      <c r="M39" s="153">
        <v>25104</v>
      </c>
      <c r="N39" s="153">
        <v>14231</v>
      </c>
      <c r="O39" s="153"/>
      <c r="P39" s="15">
        <f t="shared" si="1"/>
        <v>118171</v>
      </c>
    </row>
    <row r="40" spans="1:16" ht="15" customHeight="1">
      <c r="A40" s="132" t="s">
        <v>19</v>
      </c>
      <c r="B40" s="134" t="s">
        <v>85</v>
      </c>
      <c r="C40" s="27">
        <f>SUM(C38:C39)</f>
        <v>165995</v>
      </c>
      <c r="D40" s="27">
        <f aca="true" t="shared" si="8" ref="D40:O40">SUM(D38:D39)</f>
        <v>0</v>
      </c>
      <c r="E40" s="27">
        <f t="shared" si="8"/>
        <v>0</v>
      </c>
      <c r="F40" s="27">
        <f t="shared" si="8"/>
        <v>0</v>
      </c>
      <c r="G40" s="27">
        <f t="shared" si="8"/>
        <v>2351</v>
      </c>
      <c r="H40" s="27">
        <f t="shared" si="8"/>
        <v>34286</v>
      </c>
      <c r="I40" s="27">
        <f t="shared" si="8"/>
        <v>8624</v>
      </c>
      <c r="J40" s="27">
        <f t="shared" si="8"/>
        <v>9125</v>
      </c>
      <c r="K40" s="27">
        <f t="shared" si="8"/>
        <v>11451</v>
      </c>
      <c r="L40" s="27">
        <f t="shared" si="8"/>
        <v>12999</v>
      </c>
      <c r="M40" s="27">
        <f t="shared" si="8"/>
        <v>25104</v>
      </c>
      <c r="N40" s="27">
        <f t="shared" si="8"/>
        <v>14231</v>
      </c>
      <c r="O40" s="27">
        <f t="shared" si="8"/>
        <v>0</v>
      </c>
      <c r="P40" s="15">
        <f>SUM(D40:O40)</f>
        <v>118171</v>
      </c>
    </row>
    <row r="41" spans="1:21" s="137" customFormat="1" ht="15" customHeight="1">
      <c r="A41" s="135"/>
      <c r="B41" s="130" t="s">
        <v>94</v>
      </c>
      <c r="C41" s="136">
        <v>2500000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5">
        <f>SUM(D41:O41)</f>
        <v>0</v>
      </c>
      <c r="Q41" s="151"/>
      <c r="R41" s="151"/>
      <c r="S41" s="151"/>
      <c r="T41" s="151"/>
      <c r="U41" s="151"/>
    </row>
    <row r="42" spans="1:16" ht="15" customHeight="1" thickBot="1">
      <c r="A42" s="138" t="s">
        <v>92</v>
      </c>
      <c r="B42" s="139" t="s">
        <v>93</v>
      </c>
      <c r="C42" s="140">
        <f>+C37+C40+C41</f>
        <v>7261653</v>
      </c>
      <c r="D42" s="140">
        <f>+D36+D39+D41</f>
        <v>285549</v>
      </c>
      <c r="E42" s="140">
        <f aca="true" t="shared" si="9" ref="E42:O42">+E36+E39+E41</f>
        <v>418377</v>
      </c>
      <c r="F42" s="140">
        <f t="shared" si="9"/>
        <v>338184</v>
      </c>
      <c r="G42" s="140">
        <f t="shared" si="9"/>
        <v>434861</v>
      </c>
      <c r="H42" s="140">
        <f t="shared" si="9"/>
        <v>433209</v>
      </c>
      <c r="I42" s="140">
        <f t="shared" si="9"/>
        <v>393536</v>
      </c>
      <c r="J42" s="140">
        <f t="shared" si="9"/>
        <v>466574</v>
      </c>
      <c r="K42" s="140">
        <f t="shared" si="9"/>
        <v>344095</v>
      </c>
      <c r="L42" s="140">
        <f t="shared" si="9"/>
        <v>424688</v>
      </c>
      <c r="M42" s="140">
        <f t="shared" si="9"/>
        <v>265273</v>
      </c>
      <c r="N42" s="140">
        <f t="shared" si="9"/>
        <v>428937</v>
      </c>
      <c r="O42" s="140">
        <f t="shared" si="9"/>
        <v>211110</v>
      </c>
      <c r="P42" s="140">
        <f>SUM(D42:O42)</f>
        <v>4444393</v>
      </c>
    </row>
    <row r="43" spans="1:16" ht="15" customHeight="1" thickBot="1">
      <c r="A43" s="182" t="s">
        <v>20</v>
      </c>
      <c r="B43" s="183"/>
      <c r="C43" s="141">
        <f>SUM(C35,C37,C40)+C41</f>
        <v>34966837</v>
      </c>
      <c r="D43" s="141">
        <f>SUM(D35,D37,D40)+D41</f>
        <v>1674022</v>
      </c>
      <c r="E43" s="141">
        <f>SUM(E35,E37,E40)+E41</f>
        <v>2079896</v>
      </c>
      <c r="F43" s="141">
        <f aca="true" t="shared" si="10" ref="F43:N43">SUM(F35,F37,F40)+F41</f>
        <v>2463510</v>
      </c>
      <c r="G43" s="141">
        <f t="shared" si="10"/>
        <v>2594416</v>
      </c>
      <c r="H43" s="141">
        <f t="shared" si="10"/>
        <v>2186877</v>
      </c>
      <c r="I43" s="141">
        <f t="shared" si="10"/>
        <v>1881688</v>
      </c>
      <c r="J43" s="141">
        <f t="shared" si="10"/>
        <v>1700077</v>
      </c>
      <c r="K43" s="141">
        <f t="shared" si="10"/>
        <v>1997623</v>
      </c>
      <c r="L43" s="141">
        <f t="shared" si="10"/>
        <v>2168495</v>
      </c>
      <c r="M43" s="141">
        <f t="shared" si="10"/>
        <v>3679458</v>
      </c>
      <c r="N43" s="141">
        <f t="shared" si="10"/>
        <v>2031059</v>
      </c>
      <c r="O43" s="141">
        <f>SUM(O35,O37,O40)+O41</f>
        <v>3239703</v>
      </c>
      <c r="P43" s="141">
        <f>SUM(P35,P37,P40)+P41</f>
        <v>27696824</v>
      </c>
    </row>
    <row r="44" spans="1:21" s="13" customFormat="1" ht="15" customHeight="1">
      <c r="A44" s="62"/>
      <c r="B44" s="142" t="s">
        <v>49</v>
      </c>
      <c r="C44" s="143">
        <f>-SUM(C36)</f>
        <v>-4595658</v>
      </c>
      <c r="D44" s="143">
        <f aca="true" t="shared" si="11" ref="D44:O44">-SUM(D36)</f>
        <v>-285549</v>
      </c>
      <c r="E44" s="143">
        <f t="shared" si="11"/>
        <v>-418377</v>
      </c>
      <c r="F44" s="143">
        <f t="shared" si="11"/>
        <v>-338184</v>
      </c>
      <c r="G44" s="143">
        <f t="shared" si="11"/>
        <v>-432510</v>
      </c>
      <c r="H44" s="143">
        <f t="shared" si="11"/>
        <v>-398923</v>
      </c>
      <c r="I44" s="143">
        <f t="shared" si="11"/>
        <v>-384912</v>
      </c>
      <c r="J44" s="143">
        <f t="shared" si="11"/>
        <v>-457449</v>
      </c>
      <c r="K44" s="143">
        <f t="shared" si="11"/>
        <v>-332644</v>
      </c>
      <c r="L44" s="143">
        <f t="shared" si="11"/>
        <v>-411689</v>
      </c>
      <c r="M44" s="143">
        <f t="shared" si="11"/>
        <v>-240169</v>
      </c>
      <c r="N44" s="143">
        <f t="shared" si="11"/>
        <v>-414706</v>
      </c>
      <c r="O44" s="143">
        <f t="shared" si="11"/>
        <v>-211110</v>
      </c>
      <c r="P44" s="144">
        <f t="shared" si="1"/>
        <v>-4326222</v>
      </c>
      <c r="Q44" s="152"/>
      <c r="R44" s="152"/>
      <c r="S44" s="152"/>
      <c r="T44" s="152"/>
      <c r="U44" s="152"/>
    </row>
    <row r="45" spans="1:21" s="13" customFormat="1" ht="15" customHeight="1">
      <c r="A45" s="63"/>
      <c r="B45" s="145" t="s">
        <v>50</v>
      </c>
      <c r="C45" s="44">
        <f>-SUM(C39)</f>
        <v>-165995</v>
      </c>
      <c r="D45" s="44">
        <f aca="true" t="shared" si="12" ref="D45:O45">-SUM(D39)</f>
        <v>0</v>
      </c>
      <c r="E45" s="44">
        <f t="shared" si="12"/>
        <v>0</v>
      </c>
      <c r="F45" s="44">
        <f t="shared" si="12"/>
        <v>0</v>
      </c>
      <c r="G45" s="44">
        <f t="shared" si="12"/>
        <v>-2351</v>
      </c>
      <c r="H45" s="44">
        <f t="shared" si="12"/>
        <v>-34286</v>
      </c>
      <c r="I45" s="44">
        <f t="shared" si="12"/>
        <v>-8624</v>
      </c>
      <c r="J45" s="44">
        <f t="shared" si="12"/>
        <v>-9125</v>
      </c>
      <c r="K45" s="44">
        <f t="shared" si="12"/>
        <v>-11451</v>
      </c>
      <c r="L45" s="44">
        <f t="shared" si="12"/>
        <v>-12999</v>
      </c>
      <c r="M45" s="44">
        <f t="shared" si="12"/>
        <v>-25104</v>
      </c>
      <c r="N45" s="44">
        <f>-SUM(N39)</f>
        <v>-14231</v>
      </c>
      <c r="O45" s="44">
        <f t="shared" si="12"/>
        <v>0</v>
      </c>
      <c r="P45" s="146">
        <f t="shared" si="1"/>
        <v>-118171</v>
      </c>
      <c r="Q45" s="152"/>
      <c r="R45" s="152"/>
      <c r="S45" s="152"/>
      <c r="T45" s="152"/>
      <c r="U45" s="152"/>
    </row>
    <row r="46" spans="1:21" s="13" customFormat="1" ht="15" customHeight="1" thickBot="1">
      <c r="A46" s="147"/>
      <c r="B46" s="148" t="s">
        <v>53</v>
      </c>
      <c r="C46" s="149">
        <v>-267751</v>
      </c>
      <c r="D46" s="92">
        <v>-16167</v>
      </c>
      <c r="E46" s="93">
        <v>-16167</v>
      </c>
      <c r="F46" s="93">
        <v>-16167</v>
      </c>
      <c r="G46" s="93">
        <v>-16167</v>
      </c>
      <c r="H46" s="93">
        <v>-16167</v>
      </c>
      <c r="I46" s="93">
        <v>-16167</v>
      </c>
      <c r="J46" s="93">
        <v>-16167</v>
      </c>
      <c r="K46" s="93">
        <v>-16167</v>
      </c>
      <c r="L46" s="93">
        <v>-16167</v>
      </c>
      <c r="M46" s="93">
        <v>-49918</v>
      </c>
      <c r="N46" s="93">
        <v>-36167</v>
      </c>
      <c r="O46" s="93">
        <v>-36163</v>
      </c>
      <c r="P46" s="99">
        <f>SUM(D46:O46)</f>
        <v>-267751</v>
      </c>
      <c r="Q46" s="152"/>
      <c r="R46" s="152"/>
      <c r="S46" s="152"/>
      <c r="T46" s="152"/>
      <c r="U46" s="152"/>
    </row>
    <row r="47" spans="1:16" ht="15" customHeight="1" thickBot="1">
      <c r="A47" s="186" t="s">
        <v>21</v>
      </c>
      <c r="B47" s="187"/>
      <c r="C47" s="141">
        <f>SUM(C43:C46)</f>
        <v>29937433</v>
      </c>
      <c r="D47" s="141">
        <f aca="true" t="shared" si="13" ref="D47:N47">SUM(D43:D46)</f>
        <v>1372306</v>
      </c>
      <c r="E47" s="141">
        <f t="shared" si="13"/>
        <v>1645352</v>
      </c>
      <c r="F47" s="141">
        <f t="shared" si="13"/>
        <v>2109159</v>
      </c>
      <c r="G47" s="141">
        <f t="shared" si="13"/>
        <v>2143388</v>
      </c>
      <c r="H47" s="141">
        <f t="shared" si="13"/>
        <v>1737501</v>
      </c>
      <c r="I47" s="141">
        <f t="shared" si="13"/>
        <v>1471985</v>
      </c>
      <c r="J47" s="141">
        <f t="shared" si="13"/>
        <v>1217336</v>
      </c>
      <c r="K47" s="141">
        <f t="shared" si="13"/>
        <v>1637361</v>
      </c>
      <c r="L47" s="141">
        <f t="shared" si="13"/>
        <v>1727640</v>
      </c>
      <c r="M47" s="141">
        <f t="shared" si="13"/>
        <v>3364267</v>
      </c>
      <c r="N47" s="141">
        <f t="shared" si="13"/>
        <v>1565955</v>
      </c>
      <c r="O47" s="141">
        <f>SUM(O43:O46)</f>
        <v>2992430</v>
      </c>
      <c r="P47" s="141">
        <f>SUM(D47:O47)</f>
        <v>22984680</v>
      </c>
    </row>
    <row r="48" ht="12">
      <c r="L48" s="24"/>
    </row>
  </sheetData>
  <sheetProtection/>
  <mergeCells count="21">
    <mergeCell ref="F11:F12"/>
    <mergeCell ref="O7:P7"/>
    <mergeCell ref="G11:G12"/>
    <mergeCell ref="I11:I12"/>
    <mergeCell ref="A47:B47"/>
    <mergeCell ref="A8:P8"/>
    <mergeCell ref="A11:B12"/>
    <mergeCell ref="C11:C12"/>
    <mergeCell ref="D11:D12"/>
    <mergeCell ref="A13:B13"/>
    <mergeCell ref="K11:K12"/>
    <mergeCell ref="L11:L12"/>
    <mergeCell ref="A43:B43"/>
    <mergeCell ref="E11:E12"/>
    <mergeCell ref="O2:P2"/>
    <mergeCell ref="H11:H12"/>
    <mergeCell ref="M11:M12"/>
    <mergeCell ref="O11:O12"/>
    <mergeCell ref="P11:P12"/>
    <mergeCell ref="N11:N12"/>
    <mergeCell ref="J11:J12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T30" sqref="T30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6384" width="9.125" style="2" customWidth="1"/>
  </cols>
  <sheetData>
    <row r="1" spans="1:16" ht="14.25" customHeight="1">
      <c r="A1" s="196" t="s">
        <v>98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7" t="s">
        <v>97</v>
      </c>
      <c r="O2" s="197"/>
      <c r="P2" s="197"/>
    </row>
    <row r="3" spans="14:16" ht="12.75" customHeight="1" thickBot="1">
      <c r="N3" s="198" t="s">
        <v>22</v>
      </c>
      <c r="O3" s="198"/>
      <c r="P3" s="198"/>
    </row>
    <row r="4" spans="2:16" ht="10.5" customHeight="1" thickBot="1">
      <c r="B4" s="2"/>
      <c r="D4" s="199" t="s">
        <v>100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7"/>
    </row>
    <row r="5" spans="1:16" s="8" customFormat="1" ht="8.25" customHeight="1" thickBot="1">
      <c r="A5" s="202" t="s">
        <v>1</v>
      </c>
      <c r="B5" s="203"/>
      <c r="C5" s="78" t="s">
        <v>54</v>
      </c>
      <c r="D5" s="206" t="s">
        <v>23</v>
      </c>
      <c r="E5" s="200" t="s">
        <v>24</v>
      </c>
      <c r="F5" s="200" t="s">
        <v>25</v>
      </c>
      <c r="G5" s="200" t="s">
        <v>26</v>
      </c>
      <c r="H5" s="200" t="s">
        <v>27</v>
      </c>
      <c r="I5" s="200" t="s">
        <v>28</v>
      </c>
      <c r="J5" s="200" t="s">
        <v>29</v>
      </c>
      <c r="K5" s="200" t="s">
        <v>67</v>
      </c>
      <c r="L5" s="200" t="s">
        <v>30</v>
      </c>
      <c r="M5" s="200" t="s">
        <v>31</v>
      </c>
      <c r="N5" s="200" t="s">
        <v>32</v>
      </c>
      <c r="O5" s="208" t="s">
        <v>33</v>
      </c>
      <c r="P5" s="210" t="s">
        <v>34</v>
      </c>
    </row>
    <row r="6" spans="1:16" s="8" customFormat="1" ht="8.25" customHeight="1">
      <c r="A6" s="204"/>
      <c r="B6" s="205"/>
      <c r="C6" s="79" t="s">
        <v>88</v>
      </c>
      <c r="D6" s="207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9"/>
      <c r="P6" s="211"/>
    </row>
    <row r="7" spans="1:16" s="12" customFormat="1" ht="12" thickBot="1">
      <c r="A7" s="212">
        <v>1</v>
      </c>
      <c r="B7" s="213"/>
      <c r="C7" s="80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4">
        <v>15</v>
      </c>
    </row>
    <row r="8" spans="1:16" s="160" customFormat="1" ht="12.75" customHeight="1">
      <c r="A8" s="154" t="s">
        <v>15</v>
      </c>
      <c r="B8" s="155" t="s">
        <v>42</v>
      </c>
      <c r="C8" s="156">
        <v>2145400</v>
      </c>
      <c r="D8" s="157">
        <v>249780</v>
      </c>
      <c r="E8" s="158">
        <v>173218</v>
      </c>
      <c r="F8" s="158">
        <v>172835</v>
      </c>
      <c r="G8" s="158">
        <v>175278</v>
      </c>
      <c r="H8" s="158">
        <v>171557</v>
      </c>
      <c r="I8" s="158">
        <v>170321</v>
      </c>
      <c r="J8" s="158">
        <v>177870</v>
      </c>
      <c r="K8" s="158">
        <v>164016</v>
      </c>
      <c r="L8" s="158">
        <v>171726</v>
      </c>
      <c r="M8" s="158">
        <v>175860</v>
      </c>
      <c r="N8" s="158">
        <v>172061</v>
      </c>
      <c r="O8" s="159">
        <v>170878</v>
      </c>
      <c r="P8" s="156">
        <f>SUM(D8:O8)</f>
        <v>2145400</v>
      </c>
    </row>
    <row r="9" spans="1:19" s="33" customFormat="1" ht="12.75" customHeight="1">
      <c r="A9" s="54" t="s">
        <v>17</v>
      </c>
      <c r="B9" s="66" t="s">
        <v>43</v>
      </c>
      <c r="C9" s="81">
        <v>1532432</v>
      </c>
      <c r="D9" s="32">
        <f>63+64462</f>
        <v>64525</v>
      </c>
      <c r="E9" s="35">
        <f>2067+64462</f>
        <v>66529</v>
      </c>
      <c r="F9" s="35">
        <f>31119+64462</f>
        <v>95581</v>
      </c>
      <c r="G9" s="35">
        <f>35552+64462</f>
        <v>100014</v>
      </c>
      <c r="H9" s="35">
        <f>121155+64462</f>
        <v>185617</v>
      </c>
      <c r="I9" s="35">
        <f>73059+64462</f>
        <v>137521</v>
      </c>
      <c r="J9" s="35">
        <f>86346+64462</f>
        <v>150808</v>
      </c>
      <c r="K9" s="35">
        <f>68647+64462+4463</f>
        <v>137572</v>
      </c>
      <c r="L9" s="35">
        <f>59867+64462</f>
        <v>124329</v>
      </c>
      <c r="M9" s="35">
        <f>67227+94462</f>
        <v>161689</v>
      </c>
      <c r="N9" s="35">
        <f>56690+94462</f>
        <v>151152</v>
      </c>
      <c r="O9" s="100">
        <f>616870+147168-627972+325330</f>
        <v>461396</v>
      </c>
      <c r="P9" s="81">
        <f>SUM(D9:O9)</f>
        <v>1836733</v>
      </c>
      <c r="S9" s="103"/>
    </row>
    <row r="10" spans="1:16" s="33" customFormat="1" ht="12.75" customHeight="1">
      <c r="A10" s="55" t="s">
        <v>23</v>
      </c>
      <c r="B10" s="67" t="s">
        <v>55</v>
      </c>
      <c r="C10" s="82">
        <f>SUM(C8:C9)</f>
        <v>3677832</v>
      </c>
      <c r="D10" s="47">
        <f aca="true" t="shared" si="0" ref="D10:P10">SUM(D8:D9)</f>
        <v>314305</v>
      </c>
      <c r="E10" s="47">
        <f t="shared" si="0"/>
        <v>239747</v>
      </c>
      <c r="F10" s="47">
        <f t="shared" si="0"/>
        <v>268416</v>
      </c>
      <c r="G10" s="47">
        <f t="shared" si="0"/>
        <v>275292</v>
      </c>
      <c r="H10" s="47">
        <f t="shared" si="0"/>
        <v>357174</v>
      </c>
      <c r="I10" s="47">
        <f t="shared" si="0"/>
        <v>307842</v>
      </c>
      <c r="J10" s="47">
        <f t="shared" si="0"/>
        <v>328678</v>
      </c>
      <c r="K10" s="47">
        <f t="shared" si="0"/>
        <v>301588</v>
      </c>
      <c r="L10" s="47">
        <f t="shared" si="0"/>
        <v>296055</v>
      </c>
      <c r="M10" s="47">
        <f t="shared" si="0"/>
        <v>337549</v>
      </c>
      <c r="N10" s="47">
        <f t="shared" si="0"/>
        <v>323213</v>
      </c>
      <c r="O10" s="101">
        <f t="shared" si="0"/>
        <v>632274</v>
      </c>
      <c r="P10" s="82">
        <f t="shared" si="0"/>
        <v>3982133</v>
      </c>
    </row>
    <row r="11" spans="1:16" s="13" customFormat="1" ht="12.75" customHeight="1">
      <c r="A11" s="54" t="s">
        <v>15</v>
      </c>
      <c r="B11" s="66" t="s">
        <v>35</v>
      </c>
      <c r="C11" s="81">
        <v>4730648</v>
      </c>
      <c r="D11" s="161">
        <f>18990-537+84584</f>
        <v>103037</v>
      </c>
      <c r="E11" s="162">
        <f>28485+66701</f>
        <v>95186</v>
      </c>
      <c r="F11" s="162">
        <f>934507+8856+136519+48088</f>
        <v>1127970</v>
      </c>
      <c r="G11" s="162">
        <f>59266+526455</f>
        <v>585721</v>
      </c>
      <c r="H11" s="162">
        <f>51093+138552</f>
        <v>189645</v>
      </c>
      <c r="I11" s="162">
        <f>32887+175433</f>
        <v>208320</v>
      </c>
      <c r="J11" s="162">
        <f>21992+118806</f>
        <v>140798</v>
      </c>
      <c r="K11" s="162">
        <f>28189+131408</f>
        <v>159597</v>
      </c>
      <c r="L11" s="162">
        <f>863342+207327</f>
        <v>1070669</v>
      </c>
      <c r="M11" s="162">
        <f>42190+629059</f>
        <v>671249</v>
      </c>
      <c r="N11" s="162">
        <f>63727+148306</f>
        <v>212033</v>
      </c>
      <c r="O11" s="163">
        <f>52457+296331</f>
        <v>348788</v>
      </c>
      <c r="P11" s="164">
        <f>SUM(D11:O11)</f>
        <v>4913013</v>
      </c>
    </row>
    <row r="12" spans="1:16" s="13" customFormat="1" ht="12.75" customHeight="1">
      <c r="A12" s="54" t="s">
        <v>17</v>
      </c>
      <c r="B12" s="66" t="s">
        <v>56</v>
      </c>
      <c r="C12" s="81">
        <v>237200</v>
      </c>
      <c r="D12" s="161">
        <f>950+21037+791+2236+5</f>
        <v>25019</v>
      </c>
      <c r="E12" s="162">
        <v>24753</v>
      </c>
      <c r="F12" s="162">
        <v>35773</v>
      </c>
      <c r="G12" s="162">
        <v>24706</v>
      </c>
      <c r="H12" s="162">
        <v>21374</v>
      </c>
      <c r="I12" s="162">
        <f>23844</f>
        <v>23844</v>
      </c>
      <c r="J12" s="162">
        <v>22075</v>
      </c>
      <c r="K12" s="162">
        <v>15208</v>
      </c>
      <c r="L12" s="162">
        <v>22251</v>
      </c>
      <c r="M12" s="162">
        <v>27246</v>
      </c>
      <c r="N12" s="162">
        <v>19071</v>
      </c>
      <c r="O12" s="163">
        <v>24520</v>
      </c>
      <c r="P12" s="164">
        <f>SUM(D12:O12)</f>
        <v>285840</v>
      </c>
    </row>
    <row r="13" spans="1:16" s="13" customFormat="1" ht="12.75" customHeight="1">
      <c r="A13" s="165" t="s">
        <v>24</v>
      </c>
      <c r="B13" s="67" t="s">
        <v>41</v>
      </c>
      <c r="C13" s="164">
        <f>SUM(C11:C12)</f>
        <v>4967848</v>
      </c>
      <c r="D13" s="166">
        <f>SUM(D11:D12)</f>
        <v>128056</v>
      </c>
      <c r="E13" s="166">
        <f aca="true" t="shared" si="1" ref="E13:P13">SUM(E11:E12)</f>
        <v>119939</v>
      </c>
      <c r="F13" s="166">
        <f t="shared" si="1"/>
        <v>1163743</v>
      </c>
      <c r="G13" s="166">
        <f t="shared" si="1"/>
        <v>610427</v>
      </c>
      <c r="H13" s="166">
        <f t="shared" si="1"/>
        <v>211019</v>
      </c>
      <c r="I13" s="166">
        <f t="shared" si="1"/>
        <v>232164</v>
      </c>
      <c r="J13" s="166">
        <f t="shared" si="1"/>
        <v>162873</v>
      </c>
      <c r="K13" s="166">
        <f t="shared" si="1"/>
        <v>174805</v>
      </c>
      <c r="L13" s="166">
        <f t="shared" si="1"/>
        <v>1092920</v>
      </c>
      <c r="M13" s="166">
        <f t="shared" si="1"/>
        <v>698495</v>
      </c>
      <c r="N13" s="166">
        <f t="shared" si="1"/>
        <v>231104</v>
      </c>
      <c r="O13" s="167">
        <f t="shared" si="1"/>
        <v>373308</v>
      </c>
      <c r="P13" s="164">
        <f t="shared" si="1"/>
        <v>5198853</v>
      </c>
    </row>
    <row r="14" spans="1:19" s="160" customFormat="1" ht="12.75" customHeight="1">
      <c r="A14" s="168" t="s">
        <v>25</v>
      </c>
      <c r="B14" s="169" t="s">
        <v>57</v>
      </c>
      <c r="C14" s="164">
        <v>6367328</v>
      </c>
      <c r="D14" s="32">
        <f>603350+42047</f>
        <v>645397</v>
      </c>
      <c r="E14" s="35">
        <f>409994+35300</f>
        <v>445294</v>
      </c>
      <c r="F14" s="35">
        <f>431082+63250</f>
        <v>494332</v>
      </c>
      <c r="G14" s="35">
        <f>378463+47531</f>
        <v>425994</v>
      </c>
      <c r="H14" s="35">
        <f>460697+39224</f>
        <v>499921</v>
      </c>
      <c r="I14" s="35">
        <f>394588+57893</f>
        <v>452481</v>
      </c>
      <c r="J14" s="35">
        <f>480705+37411</f>
        <v>518116</v>
      </c>
      <c r="K14" s="35">
        <f>299008+178319</f>
        <v>477327</v>
      </c>
      <c r="L14" s="35">
        <f>457686+18633</f>
        <v>476319</v>
      </c>
      <c r="M14" s="35">
        <f>1266714+32080</f>
        <v>1298794</v>
      </c>
      <c r="N14" s="35">
        <f>292828+124407+67751</f>
        <v>484986</v>
      </c>
      <c r="O14" s="100">
        <f>611653+28473+34891</f>
        <v>675017</v>
      </c>
      <c r="P14" s="164">
        <f>SUM(D14:O14)</f>
        <v>6893978</v>
      </c>
      <c r="S14" s="215"/>
    </row>
    <row r="15" spans="1:16" s="13" customFormat="1" ht="12.75" customHeight="1" thickBot="1">
      <c r="A15" s="165" t="s">
        <v>26</v>
      </c>
      <c r="B15" s="67" t="s">
        <v>44</v>
      </c>
      <c r="C15" s="164">
        <v>174</v>
      </c>
      <c r="D15" s="161"/>
      <c r="E15" s="162"/>
      <c r="F15" s="162">
        <v>936</v>
      </c>
      <c r="G15" s="162">
        <v>40</v>
      </c>
      <c r="H15" s="162">
        <v>32</v>
      </c>
      <c r="I15" s="162">
        <v>33</v>
      </c>
      <c r="J15" s="162">
        <v>19</v>
      </c>
      <c r="K15" s="162">
        <v>33</v>
      </c>
      <c r="L15" s="162">
        <v>32</v>
      </c>
      <c r="M15" s="162">
        <v>32</v>
      </c>
      <c r="N15" s="162">
        <v>25</v>
      </c>
      <c r="O15" s="163">
        <v>29</v>
      </c>
      <c r="P15" s="164">
        <f>SUM(D15:O15)</f>
        <v>1211</v>
      </c>
    </row>
    <row r="16" spans="1:16" s="13" customFormat="1" ht="12.75" customHeight="1" thickBot="1">
      <c r="A16" s="56"/>
      <c r="B16" s="68" t="s">
        <v>47</v>
      </c>
      <c r="C16" s="83">
        <f>SUM(C10+C13+C14+C15)</f>
        <v>15013182</v>
      </c>
      <c r="D16" s="41">
        <f aca="true" t="shared" si="2" ref="D16:P16">SUM(D10+D13+D14+D15)</f>
        <v>1087758</v>
      </c>
      <c r="E16" s="41">
        <f t="shared" si="2"/>
        <v>804980</v>
      </c>
      <c r="F16" s="41">
        <f t="shared" si="2"/>
        <v>1927427</v>
      </c>
      <c r="G16" s="41">
        <f t="shared" si="2"/>
        <v>1311753</v>
      </c>
      <c r="H16" s="41">
        <f t="shared" si="2"/>
        <v>1068146</v>
      </c>
      <c r="I16" s="41">
        <f t="shared" si="2"/>
        <v>992520</v>
      </c>
      <c r="J16" s="41">
        <f t="shared" si="2"/>
        <v>1009686</v>
      </c>
      <c r="K16" s="41">
        <f t="shared" si="2"/>
        <v>953753</v>
      </c>
      <c r="L16" s="41">
        <f t="shared" si="2"/>
        <v>1865326</v>
      </c>
      <c r="M16" s="41">
        <f t="shared" si="2"/>
        <v>2334870</v>
      </c>
      <c r="N16" s="41">
        <f t="shared" si="2"/>
        <v>1039328</v>
      </c>
      <c r="O16" s="102">
        <f t="shared" si="2"/>
        <v>1680628</v>
      </c>
      <c r="P16" s="83">
        <f t="shared" si="2"/>
        <v>16076175</v>
      </c>
    </row>
    <row r="17" spans="1:16" s="13" customFormat="1" ht="12.75" customHeight="1">
      <c r="A17" s="170" t="s">
        <v>27</v>
      </c>
      <c r="B17" s="171" t="s">
        <v>58</v>
      </c>
      <c r="C17" s="172">
        <v>2310070</v>
      </c>
      <c r="D17" s="173"/>
      <c r="E17" s="173">
        <v>1063399</v>
      </c>
      <c r="F17" s="173">
        <v>551055</v>
      </c>
      <c r="G17" s="173"/>
      <c r="H17" s="173">
        <v>313</v>
      </c>
      <c r="I17" s="173">
        <v>389895</v>
      </c>
      <c r="J17" s="173"/>
      <c r="K17" s="173"/>
      <c r="L17" s="173"/>
      <c r="M17" s="173"/>
      <c r="N17" s="173"/>
      <c r="O17" s="103">
        <v>-70873</v>
      </c>
      <c r="P17" s="164">
        <f>SUM(D17:O17)</f>
        <v>1933789</v>
      </c>
    </row>
    <row r="18" spans="1:16" s="13" customFormat="1" ht="12.75" customHeight="1">
      <c r="A18" s="165" t="s">
        <v>28</v>
      </c>
      <c r="B18" s="67" t="s">
        <v>40</v>
      </c>
      <c r="C18" s="164">
        <v>7384963</v>
      </c>
      <c r="D18" s="161">
        <v>28307</v>
      </c>
      <c r="E18" s="162">
        <v>32434</v>
      </c>
      <c r="F18" s="162">
        <v>51953</v>
      </c>
      <c r="G18" s="162">
        <v>23653</v>
      </c>
      <c r="H18" s="162">
        <v>262547</v>
      </c>
      <c r="I18" s="162">
        <v>92868</v>
      </c>
      <c r="J18" s="162">
        <v>986220</v>
      </c>
      <c r="K18" s="162">
        <v>1908301</v>
      </c>
      <c r="L18" s="162">
        <f>63724+19</f>
        <v>63743</v>
      </c>
      <c r="M18" s="162">
        <v>1242955</v>
      </c>
      <c r="N18" s="162">
        <v>70984</v>
      </c>
      <c r="O18" s="163">
        <v>2168391</v>
      </c>
      <c r="P18" s="164">
        <f>SUM(D18:O18)</f>
        <v>6932356</v>
      </c>
    </row>
    <row r="19" spans="1:16" s="13" customFormat="1" ht="12.75" customHeight="1">
      <c r="A19" s="54" t="s">
        <v>15</v>
      </c>
      <c r="B19" s="66" t="s">
        <v>45</v>
      </c>
      <c r="C19" s="81">
        <v>27266</v>
      </c>
      <c r="D19" s="161">
        <v>5608</v>
      </c>
      <c r="E19" s="162">
        <v>1574</v>
      </c>
      <c r="F19" s="162">
        <v>1109</v>
      </c>
      <c r="G19" s="162">
        <v>6805</v>
      </c>
      <c r="H19" s="162">
        <v>867</v>
      </c>
      <c r="I19" s="162">
        <v>688</v>
      </c>
      <c r="J19" s="162">
        <v>4551</v>
      </c>
      <c r="K19" s="162">
        <v>782</v>
      </c>
      <c r="L19" s="162">
        <v>830</v>
      </c>
      <c r="M19" s="162">
        <v>4365</v>
      </c>
      <c r="N19" s="162">
        <v>820</v>
      </c>
      <c r="O19" s="163">
        <v>801</v>
      </c>
      <c r="P19" s="164">
        <f>SUM(D19:O19)</f>
        <v>28800</v>
      </c>
    </row>
    <row r="20" spans="1:16" s="160" customFormat="1" ht="12.75" customHeight="1">
      <c r="A20" s="54" t="s">
        <v>17</v>
      </c>
      <c r="B20" s="69" t="s">
        <v>46</v>
      </c>
      <c r="C20" s="81">
        <v>49800</v>
      </c>
      <c r="D20" s="166"/>
      <c r="E20" s="174"/>
      <c r="F20" s="35"/>
      <c r="G20" s="35"/>
      <c r="H20" s="35"/>
      <c r="I20" s="174"/>
      <c r="J20" s="174"/>
      <c r="K20" s="174"/>
      <c r="L20" s="174"/>
      <c r="M20" s="174"/>
      <c r="N20" s="174"/>
      <c r="O20" s="175"/>
      <c r="P20" s="164">
        <f>SUM(D20:O20)</f>
        <v>0</v>
      </c>
    </row>
    <row r="21" spans="1:16" s="13" customFormat="1" ht="12.75" customHeight="1" thickBot="1">
      <c r="A21" s="55" t="s">
        <v>29</v>
      </c>
      <c r="B21" s="67" t="s">
        <v>59</v>
      </c>
      <c r="C21" s="164">
        <f>SUM(C19:C20)</f>
        <v>77066</v>
      </c>
      <c r="D21" s="166">
        <f aca="true" t="shared" si="3" ref="D21:P21">SUM(D19:D20)</f>
        <v>5608</v>
      </c>
      <c r="E21" s="166">
        <f t="shared" si="3"/>
        <v>1574</v>
      </c>
      <c r="F21" s="166">
        <f t="shared" si="3"/>
        <v>1109</v>
      </c>
      <c r="G21" s="166">
        <f t="shared" si="3"/>
        <v>6805</v>
      </c>
      <c r="H21" s="166">
        <f t="shared" si="3"/>
        <v>867</v>
      </c>
      <c r="I21" s="166">
        <f t="shared" si="3"/>
        <v>688</v>
      </c>
      <c r="J21" s="166">
        <f t="shared" si="3"/>
        <v>4551</v>
      </c>
      <c r="K21" s="166">
        <f t="shared" si="3"/>
        <v>782</v>
      </c>
      <c r="L21" s="166">
        <f t="shared" si="3"/>
        <v>830</v>
      </c>
      <c r="M21" s="166">
        <f t="shared" si="3"/>
        <v>4365</v>
      </c>
      <c r="N21" s="166">
        <f t="shared" si="3"/>
        <v>820</v>
      </c>
      <c r="O21" s="167">
        <f t="shared" si="3"/>
        <v>801</v>
      </c>
      <c r="P21" s="164">
        <f t="shared" si="3"/>
        <v>28800</v>
      </c>
    </row>
    <row r="22" spans="1:16" s="13" customFormat="1" ht="12.75" customHeight="1" thickBot="1">
      <c r="A22" s="57"/>
      <c r="B22" s="68" t="s">
        <v>48</v>
      </c>
      <c r="C22" s="83">
        <f>SUM(C17+C18+C21)</f>
        <v>9772099</v>
      </c>
      <c r="D22" s="41">
        <f aca="true" t="shared" si="4" ref="D22:P22">SUM(D17+D18+D21)</f>
        <v>33915</v>
      </c>
      <c r="E22" s="41">
        <f t="shared" si="4"/>
        <v>1097407</v>
      </c>
      <c r="F22" s="41">
        <f t="shared" si="4"/>
        <v>604117</v>
      </c>
      <c r="G22" s="41">
        <f t="shared" si="4"/>
        <v>30458</v>
      </c>
      <c r="H22" s="41">
        <f t="shared" si="4"/>
        <v>263727</v>
      </c>
      <c r="I22" s="41">
        <f t="shared" si="4"/>
        <v>483451</v>
      </c>
      <c r="J22" s="41">
        <f t="shared" si="4"/>
        <v>990771</v>
      </c>
      <c r="K22" s="41">
        <f t="shared" si="4"/>
        <v>1909083</v>
      </c>
      <c r="L22" s="41">
        <f t="shared" si="4"/>
        <v>64573</v>
      </c>
      <c r="M22" s="41">
        <f t="shared" si="4"/>
        <v>1247320</v>
      </c>
      <c r="N22" s="41">
        <f t="shared" si="4"/>
        <v>71804</v>
      </c>
      <c r="O22" s="102">
        <f t="shared" si="4"/>
        <v>2098319</v>
      </c>
      <c r="P22" s="83">
        <f t="shared" si="4"/>
        <v>8894945</v>
      </c>
    </row>
    <row r="23" spans="1:16" s="34" customFormat="1" ht="12.75" customHeight="1" thickBot="1">
      <c r="A23" s="58"/>
      <c r="B23" s="68" t="s">
        <v>60</v>
      </c>
      <c r="C23" s="84">
        <f>SUM(C16,C22)</f>
        <v>24785281</v>
      </c>
      <c r="D23" s="42">
        <f aca="true" t="shared" si="5" ref="D23:P23">SUM(D16,D22)</f>
        <v>1121673</v>
      </c>
      <c r="E23" s="42">
        <f t="shared" si="5"/>
        <v>1902387</v>
      </c>
      <c r="F23" s="42">
        <f t="shared" si="5"/>
        <v>2531544</v>
      </c>
      <c r="G23" s="42">
        <f t="shared" si="5"/>
        <v>1342211</v>
      </c>
      <c r="H23" s="42">
        <f t="shared" si="5"/>
        <v>1331873</v>
      </c>
      <c r="I23" s="42">
        <f t="shared" si="5"/>
        <v>1475971</v>
      </c>
      <c r="J23" s="42">
        <f t="shared" si="5"/>
        <v>2000457</v>
      </c>
      <c r="K23" s="42">
        <f t="shared" si="5"/>
        <v>2862836</v>
      </c>
      <c r="L23" s="42">
        <f t="shared" si="5"/>
        <v>1929899</v>
      </c>
      <c r="M23" s="42">
        <f t="shared" si="5"/>
        <v>3582190</v>
      </c>
      <c r="N23" s="42">
        <f t="shared" si="5"/>
        <v>1111132</v>
      </c>
      <c r="O23" s="104">
        <f t="shared" si="5"/>
        <v>3778947</v>
      </c>
      <c r="P23" s="84">
        <f t="shared" si="5"/>
        <v>24971120</v>
      </c>
    </row>
    <row r="24" spans="1:16" s="34" customFormat="1" ht="12.75" customHeight="1">
      <c r="A24" s="59" t="s">
        <v>15</v>
      </c>
      <c r="B24" s="70" t="s">
        <v>61</v>
      </c>
      <c r="C24" s="85">
        <v>1095138</v>
      </c>
      <c r="D24" s="76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05">
        <v>482122</v>
      </c>
      <c r="P24" s="177">
        <f>SUM(D24:O24)</f>
        <v>482122</v>
      </c>
    </row>
    <row r="25" spans="1:16" s="34" customFormat="1" ht="12.75" customHeight="1">
      <c r="A25" s="60" t="s">
        <v>17</v>
      </c>
      <c r="B25" s="69" t="s">
        <v>62</v>
      </c>
      <c r="C25" s="81">
        <v>4595658</v>
      </c>
      <c r="D25" s="47">
        <v>285549</v>
      </c>
      <c r="E25" s="51">
        <v>418377</v>
      </c>
      <c r="F25" s="51">
        <v>338184</v>
      </c>
      <c r="G25" s="51">
        <v>432510</v>
      </c>
      <c r="H25" s="51">
        <v>398923</v>
      </c>
      <c r="I25" s="51">
        <v>384912</v>
      </c>
      <c r="J25" s="51">
        <v>457449</v>
      </c>
      <c r="K25" s="51">
        <v>332644</v>
      </c>
      <c r="L25" s="51">
        <v>411689</v>
      </c>
      <c r="M25" s="51">
        <v>240169</v>
      </c>
      <c r="N25" s="51">
        <v>414706</v>
      </c>
      <c r="O25" s="106">
        <v>211110</v>
      </c>
      <c r="P25" s="179">
        <f>SUM(D25:O25)</f>
        <v>4326222</v>
      </c>
    </row>
    <row r="26" spans="1:16" s="34" customFormat="1" ht="12.75" customHeight="1">
      <c r="A26" s="60" t="s">
        <v>18</v>
      </c>
      <c r="B26" s="69" t="s">
        <v>99</v>
      </c>
      <c r="C26" s="81">
        <v>83862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01">
        <v>83862</v>
      </c>
      <c r="P26" s="178">
        <f>SUM(D26:O26)</f>
        <v>83862</v>
      </c>
    </row>
    <row r="27" spans="1:16" s="34" customFormat="1" ht="12.75" customHeight="1">
      <c r="A27" s="60"/>
      <c r="B27" s="67" t="s">
        <v>63</v>
      </c>
      <c r="C27" s="82">
        <f>SUM(C24:C26)</f>
        <v>5774658</v>
      </c>
      <c r="D27" s="47">
        <f aca="true" t="shared" si="6" ref="D27:N27">SUM(D24:D25)</f>
        <v>285549</v>
      </c>
      <c r="E27" s="47">
        <f t="shared" si="6"/>
        <v>418377</v>
      </c>
      <c r="F27" s="47">
        <f t="shared" si="6"/>
        <v>338184</v>
      </c>
      <c r="G27" s="47">
        <f t="shared" si="6"/>
        <v>432510</v>
      </c>
      <c r="H27" s="47">
        <f t="shared" si="6"/>
        <v>398923</v>
      </c>
      <c r="I27" s="47">
        <f t="shared" si="6"/>
        <v>384912</v>
      </c>
      <c r="J27" s="47">
        <f t="shared" si="6"/>
        <v>457449</v>
      </c>
      <c r="K27" s="47">
        <f t="shared" si="6"/>
        <v>332644</v>
      </c>
      <c r="L27" s="47">
        <f t="shared" si="6"/>
        <v>411689</v>
      </c>
      <c r="M27" s="47">
        <f t="shared" si="6"/>
        <v>240169</v>
      </c>
      <c r="N27" s="47">
        <f t="shared" si="6"/>
        <v>414706</v>
      </c>
      <c r="O27" s="101">
        <f>SUM(O24:O26)</f>
        <v>777094</v>
      </c>
      <c r="P27" s="82">
        <f>SUM(P24:P26)</f>
        <v>4892206</v>
      </c>
    </row>
    <row r="28" spans="1:16" s="34" customFormat="1" ht="12.75" customHeight="1">
      <c r="A28" s="176" t="s">
        <v>15</v>
      </c>
      <c r="B28" s="69" t="s">
        <v>64</v>
      </c>
      <c r="C28" s="82">
        <v>1740903</v>
      </c>
      <c r="D28" s="4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06">
        <v>1740903</v>
      </c>
      <c r="P28" s="82">
        <f>SUM(D28:O28)</f>
        <v>1740903</v>
      </c>
    </row>
    <row r="29" spans="1:16" s="34" customFormat="1" ht="12.75" customHeight="1">
      <c r="A29" s="60" t="s">
        <v>17</v>
      </c>
      <c r="B29" s="71" t="s">
        <v>65</v>
      </c>
      <c r="C29" s="86">
        <v>165995</v>
      </c>
      <c r="D29" s="77"/>
      <c r="E29" s="53"/>
      <c r="F29" s="53"/>
      <c r="G29" s="53">
        <v>2351</v>
      </c>
      <c r="H29" s="53">
        <v>34286</v>
      </c>
      <c r="I29" s="53">
        <v>8624</v>
      </c>
      <c r="J29" s="53">
        <v>9125</v>
      </c>
      <c r="K29" s="53">
        <v>11451</v>
      </c>
      <c r="L29" s="53">
        <v>12999</v>
      </c>
      <c r="M29" s="53">
        <v>25104</v>
      </c>
      <c r="N29" s="53">
        <v>14231</v>
      </c>
      <c r="O29" s="107"/>
      <c r="P29" s="82">
        <f>SUM(D29:O29)</f>
        <v>118171</v>
      </c>
    </row>
    <row r="30" spans="1:16" s="34" customFormat="1" ht="12.75" customHeight="1">
      <c r="A30" s="61"/>
      <c r="B30" s="119" t="s">
        <v>66</v>
      </c>
      <c r="C30" s="120">
        <f>SUM(C28:C29)</f>
        <v>1906898</v>
      </c>
      <c r="D30" s="125">
        <f aca="true" t="shared" si="7" ref="D30:O30">SUM(D28:D29)</f>
        <v>0</v>
      </c>
      <c r="E30" s="121">
        <f t="shared" si="7"/>
        <v>0</v>
      </c>
      <c r="F30" s="121">
        <f t="shared" si="7"/>
        <v>0</v>
      </c>
      <c r="G30" s="121">
        <f t="shared" si="7"/>
        <v>2351</v>
      </c>
      <c r="H30" s="121">
        <f t="shared" si="7"/>
        <v>34286</v>
      </c>
      <c r="I30" s="121">
        <f t="shared" si="7"/>
        <v>8624</v>
      </c>
      <c r="J30" s="121">
        <f t="shared" si="7"/>
        <v>9125</v>
      </c>
      <c r="K30" s="121">
        <f t="shared" si="7"/>
        <v>11451</v>
      </c>
      <c r="L30" s="121">
        <f t="shared" si="7"/>
        <v>12999</v>
      </c>
      <c r="M30" s="121">
        <f t="shared" si="7"/>
        <v>25104</v>
      </c>
      <c r="N30" s="121">
        <f t="shared" si="7"/>
        <v>14231</v>
      </c>
      <c r="O30" s="122">
        <f t="shared" si="7"/>
        <v>1740903</v>
      </c>
      <c r="P30" s="120">
        <f>SUM(P28:P29)</f>
        <v>1859074</v>
      </c>
    </row>
    <row r="31" spans="1:16" s="34" customFormat="1" ht="12.75" customHeight="1" thickBot="1">
      <c r="A31" s="61">
        <v>1</v>
      </c>
      <c r="B31" s="123" t="s">
        <v>95</v>
      </c>
      <c r="C31" s="87">
        <v>2500000</v>
      </c>
      <c r="D31" s="126"/>
      <c r="E31" s="65"/>
      <c r="F31" s="65"/>
      <c r="G31" s="65"/>
      <c r="H31" s="65"/>
      <c r="I31" s="65"/>
      <c r="J31" s="65"/>
      <c r="K31" s="65"/>
      <c r="L31" s="65"/>
      <c r="M31" s="65"/>
      <c r="N31" s="108"/>
      <c r="O31" s="124" t="s">
        <v>101</v>
      </c>
      <c r="P31" s="87">
        <f>SUM(D31:O31)</f>
        <v>0</v>
      </c>
    </row>
    <row r="32" spans="1:16" s="34" customFormat="1" ht="12.75" customHeight="1" thickBot="1">
      <c r="A32" s="129"/>
      <c r="B32" s="117" t="s">
        <v>96</v>
      </c>
      <c r="C32" s="118">
        <f>SUM(C27,C30,C31)</f>
        <v>10181556</v>
      </c>
      <c r="D32" s="127">
        <f aca="true" t="shared" si="8" ref="D32:N32">+D25+D29+D31</f>
        <v>285549</v>
      </c>
      <c r="E32" s="128">
        <f t="shared" si="8"/>
        <v>418377</v>
      </c>
      <c r="F32" s="128">
        <f t="shared" si="8"/>
        <v>338184</v>
      </c>
      <c r="G32" s="128">
        <f t="shared" si="8"/>
        <v>434861</v>
      </c>
      <c r="H32" s="128">
        <f t="shared" si="8"/>
        <v>433209</v>
      </c>
      <c r="I32" s="128">
        <f t="shared" si="8"/>
        <v>393536</v>
      </c>
      <c r="J32" s="128">
        <f t="shared" si="8"/>
        <v>466574</v>
      </c>
      <c r="K32" s="128">
        <f t="shared" si="8"/>
        <v>344095</v>
      </c>
      <c r="L32" s="128">
        <f t="shared" si="8"/>
        <v>424688</v>
      </c>
      <c r="M32" s="128">
        <f t="shared" si="8"/>
        <v>265273</v>
      </c>
      <c r="N32" s="128">
        <f t="shared" si="8"/>
        <v>428937</v>
      </c>
      <c r="O32" s="128">
        <f>SUM(O27,O30)</f>
        <v>2517997</v>
      </c>
      <c r="P32" s="118">
        <f>+P25+P29+P31</f>
        <v>4444393</v>
      </c>
    </row>
    <row r="33" spans="1:16" s="34" customFormat="1" ht="12.75" customHeight="1" thickBot="1">
      <c r="A33" s="49"/>
      <c r="B33" s="72" t="s">
        <v>36</v>
      </c>
      <c r="C33" s="88">
        <f>SUM(C23,C27,C30)+C31</f>
        <v>34966837</v>
      </c>
      <c r="D33" s="50">
        <f aca="true" t="shared" si="9" ref="D33:O33">SUM(D23,D27,D30)</f>
        <v>1407222</v>
      </c>
      <c r="E33" s="50">
        <f t="shared" si="9"/>
        <v>2320764</v>
      </c>
      <c r="F33" s="50">
        <f t="shared" si="9"/>
        <v>2869728</v>
      </c>
      <c r="G33" s="50">
        <f t="shared" si="9"/>
        <v>1777072</v>
      </c>
      <c r="H33" s="50">
        <f t="shared" si="9"/>
        <v>1765082</v>
      </c>
      <c r="I33" s="50">
        <f t="shared" si="9"/>
        <v>1869507</v>
      </c>
      <c r="J33" s="50">
        <f t="shared" si="9"/>
        <v>2467031</v>
      </c>
      <c r="K33" s="50">
        <f t="shared" si="9"/>
        <v>3206931</v>
      </c>
      <c r="L33" s="50">
        <f t="shared" si="9"/>
        <v>2354587</v>
      </c>
      <c r="M33" s="50">
        <f t="shared" si="9"/>
        <v>3847463</v>
      </c>
      <c r="N33" s="50">
        <f t="shared" si="9"/>
        <v>1540069</v>
      </c>
      <c r="O33" s="109">
        <f t="shared" si="9"/>
        <v>6296944</v>
      </c>
      <c r="P33" s="88">
        <f>SUM(P23,P27,P30)+P31</f>
        <v>31722400</v>
      </c>
    </row>
    <row r="34" spans="1:16" s="13" customFormat="1" ht="11.25" customHeight="1">
      <c r="A34" s="62"/>
      <c r="B34" s="73" t="s">
        <v>49</v>
      </c>
      <c r="C34" s="89">
        <f>-SUM(C25)</f>
        <v>-4595658</v>
      </c>
      <c r="D34" s="48">
        <f aca="true" t="shared" si="10" ref="D34:O34">-SUM(D25)</f>
        <v>-285549</v>
      </c>
      <c r="E34" s="48">
        <f t="shared" si="10"/>
        <v>-418377</v>
      </c>
      <c r="F34" s="48">
        <f t="shared" si="10"/>
        <v>-338184</v>
      </c>
      <c r="G34" s="48">
        <f t="shared" si="10"/>
        <v>-432510</v>
      </c>
      <c r="H34" s="48">
        <f t="shared" si="10"/>
        <v>-398923</v>
      </c>
      <c r="I34" s="48">
        <f t="shared" si="10"/>
        <v>-384912</v>
      </c>
      <c r="J34" s="48">
        <f t="shared" si="10"/>
        <v>-457449</v>
      </c>
      <c r="K34" s="48">
        <f t="shared" si="10"/>
        <v>-332644</v>
      </c>
      <c r="L34" s="48">
        <f t="shared" si="10"/>
        <v>-411689</v>
      </c>
      <c r="M34" s="48">
        <f t="shared" si="10"/>
        <v>-240169</v>
      </c>
      <c r="N34" s="48">
        <f t="shared" si="10"/>
        <v>-414706</v>
      </c>
      <c r="O34" s="110">
        <f t="shared" si="10"/>
        <v>-211110</v>
      </c>
      <c r="P34" s="99">
        <f>SUM(D34:O34)</f>
        <v>-4326222</v>
      </c>
    </row>
    <row r="35" spans="1:16" s="13" customFormat="1" ht="12.75" customHeight="1">
      <c r="A35" s="63"/>
      <c r="B35" s="74" t="s">
        <v>50</v>
      </c>
      <c r="C35" s="44">
        <f>-SUM(C29)</f>
        <v>-165995</v>
      </c>
      <c r="D35" s="64">
        <f aca="true" t="shared" si="11" ref="D35:O35">-SUM(D29)</f>
        <v>0</v>
      </c>
      <c r="E35" s="64">
        <f t="shared" si="11"/>
        <v>0</v>
      </c>
      <c r="F35" s="64">
        <f t="shared" si="11"/>
        <v>0</v>
      </c>
      <c r="G35" s="64">
        <f t="shared" si="11"/>
        <v>-2351</v>
      </c>
      <c r="H35" s="64">
        <f t="shared" si="11"/>
        <v>-34286</v>
      </c>
      <c r="I35" s="64">
        <f t="shared" si="11"/>
        <v>-8624</v>
      </c>
      <c r="J35" s="64">
        <f t="shared" si="11"/>
        <v>-9125</v>
      </c>
      <c r="K35" s="64">
        <f t="shared" si="11"/>
        <v>-11451</v>
      </c>
      <c r="L35" s="64">
        <f t="shared" si="11"/>
        <v>-12999</v>
      </c>
      <c r="M35" s="64">
        <f t="shared" si="11"/>
        <v>-25104</v>
      </c>
      <c r="N35" s="64">
        <f t="shared" si="11"/>
        <v>-14231</v>
      </c>
      <c r="O35" s="111">
        <f t="shared" si="11"/>
        <v>0</v>
      </c>
      <c r="P35" s="44">
        <f>SUM(D35:O35)</f>
        <v>-118171</v>
      </c>
    </row>
    <row r="36" spans="1:16" s="13" customFormat="1" ht="15" customHeight="1" thickBot="1">
      <c r="A36" s="45"/>
      <c r="B36" s="75" t="s">
        <v>53</v>
      </c>
      <c r="C36" s="90">
        <v>-267751</v>
      </c>
      <c r="D36" s="92">
        <v>-16167</v>
      </c>
      <c r="E36" s="93">
        <v>-16167</v>
      </c>
      <c r="F36" s="93">
        <v>-16167</v>
      </c>
      <c r="G36" s="93">
        <v>-16167</v>
      </c>
      <c r="H36" s="93">
        <v>-16167</v>
      </c>
      <c r="I36" s="93">
        <v>-16167</v>
      </c>
      <c r="J36" s="93">
        <v>-16167</v>
      </c>
      <c r="K36" s="93">
        <v>-16167</v>
      </c>
      <c r="L36" s="93">
        <v>-16167</v>
      </c>
      <c r="M36" s="93">
        <f>-16167-33751</f>
        <v>-49918</v>
      </c>
      <c r="N36" s="93">
        <f>-16167-20000</f>
        <v>-36167</v>
      </c>
      <c r="O36" s="112">
        <f>-16163-20000</f>
        <v>-36163</v>
      </c>
      <c r="P36" s="44">
        <f>SUM(D36:O36)</f>
        <v>-267751</v>
      </c>
    </row>
    <row r="37" spans="1:19" s="13" customFormat="1" ht="15" customHeight="1" thickBot="1">
      <c r="A37" s="194" t="s">
        <v>36</v>
      </c>
      <c r="B37" s="195"/>
      <c r="C37" s="91">
        <f>SUM(C33:C36)</f>
        <v>29937433</v>
      </c>
      <c r="D37" s="46">
        <f aca="true" t="shared" si="12" ref="D37:P37">SUM(D33:D36)</f>
        <v>1105506</v>
      </c>
      <c r="E37" s="46">
        <f t="shared" si="12"/>
        <v>1886220</v>
      </c>
      <c r="F37" s="46">
        <f t="shared" si="12"/>
        <v>2515377</v>
      </c>
      <c r="G37" s="46">
        <f t="shared" si="12"/>
        <v>1326044</v>
      </c>
      <c r="H37" s="46">
        <f t="shared" si="12"/>
        <v>1315706</v>
      </c>
      <c r="I37" s="46">
        <f t="shared" si="12"/>
        <v>1459804</v>
      </c>
      <c r="J37" s="46">
        <f t="shared" si="12"/>
        <v>1984290</v>
      </c>
      <c r="K37" s="46">
        <f t="shared" si="12"/>
        <v>2846669</v>
      </c>
      <c r="L37" s="46">
        <f t="shared" si="12"/>
        <v>1913732</v>
      </c>
      <c r="M37" s="46">
        <f t="shared" si="12"/>
        <v>3532272</v>
      </c>
      <c r="N37" s="46">
        <f t="shared" si="12"/>
        <v>1074965</v>
      </c>
      <c r="O37" s="113">
        <f t="shared" si="12"/>
        <v>6049671</v>
      </c>
      <c r="P37" s="91">
        <f t="shared" si="12"/>
        <v>27010256</v>
      </c>
      <c r="S37" s="216"/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7:B37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2015-04-22T10:44:32Z</cp:lastPrinted>
  <dcterms:created xsi:type="dcterms:W3CDTF">2009-02-16T12:26:31Z</dcterms:created>
  <dcterms:modified xsi:type="dcterms:W3CDTF">2015-05-07T09:16:46Z</dcterms:modified>
  <cp:category/>
  <cp:version/>
  <cp:contentType/>
  <cp:contentStatus/>
</cp:coreProperties>
</file>