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7390" windowHeight="12075" tabRatio="895" firstSheet="4" activeTab="11"/>
  </bookViews>
  <sheets>
    <sheet name="1. bevételek" sheetId="1" r:id="rId1"/>
    <sheet name="2. kiadások " sheetId="2" r:id="rId2"/>
    <sheet name="3.műk.-felh." sheetId="3" r:id="rId3"/>
    <sheet name="4.önkorm.kiad.feladat" sheetId="4" r:id="rId4"/>
    <sheet name="5. Óvoda, Kult. kiad. feladat" sheetId="5" r:id="rId5"/>
    <sheet name="6. kiadások megbontása" sheetId="6" r:id="rId6"/>
    <sheet name="7. források sz. bontás" sheetId="7" r:id="rId7"/>
    <sheet name="8. létszámok" sheetId="8" r:id="rId8"/>
    <sheet name="9.felhki" sheetId="9" r:id="rId9"/>
    <sheet name="10.Tartalékok" sheetId="10" r:id="rId10"/>
    <sheet name="11. Normatívák" sheetId="11" r:id="rId11"/>
    <sheet name="12. EU projektek" sheetId="12" r:id="rId12"/>
  </sheets>
  <definedNames>
    <definedName name="_xlnm.Print_Titles" localSheetId="0">'1. bevételek'!$5:$6</definedName>
    <definedName name="_xlnm.Print_Titles" localSheetId="11">'12. EU projektek'!$8:$11</definedName>
    <definedName name="_xlnm.Print_Titles" localSheetId="1">'2. kiadások '!$5:$6</definedName>
    <definedName name="_xlnm.Print_Titles" localSheetId="2">'3.műk.-felh.'!$4:$5</definedName>
    <definedName name="_xlnm.Print_Titles" localSheetId="3">'4.önkorm.kiad.feladat'!$4:$7</definedName>
    <definedName name="_xlnm.Print_Titles" localSheetId="5">'6. kiadások megbontása'!$5:$8</definedName>
    <definedName name="_xlnm.Print_Titles" localSheetId="7">'8. létszámok'!$7:$7</definedName>
    <definedName name="_xlnm.Print_Titles" localSheetId="8">'9.felhki'!$6:$7</definedName>
    <definedName name="_xlnm.Print_Area" localSheetId="0">'1. bevételek'!$A$1:$J$201</definedName>
    <definedName name="_xlnm.Print_Area" localSheetId="10">'11. Normatívák'!$A$1:$L$53</definedName>
    <definedName name="_xlnm.Print_Area" localSheetId="11">'12. EU projektek'!$A$1:$L$159</definedName>
    <definedName name="_xlnm.Print_Area" localSheetId="1">'2. kiadások '!$A$1:$J$78</definedName>
    <definedName name="_xlnm.Print_Area" localSheetId="3">'4.önkorm.kiad.feladat'!$D$1:$X$52</definedName>
    <definedName name="_xlnm.Print_Area" localSheetId="4">'5. Óvoda, Kult. kiad. feladat'!$A$1:$K$38</definedName>
    <definedName name="_xlnm.Print_Area" localSheetId="5">'6. kiadások megbontása'!$A$1:$M$85</definedName>
    <definedName name="_xlnm.Print_Area" localSheetId="6">'7. források sz. bontás'!$A$1:$AC$66</definedName>
    <definedName name="_xlnm.Print_Area" localSheetId="7">'8. létszámok'!$A$1:$M$117</definedName>
    <definedName name="_xlnm.Print_Area" localSheetId="8">'9.felhki'!$A$1:$D$95</definedName>
  </definedNames>
  <calcPr fullCalcOnLoad="1"/>
</workbook>
</file>

<file path=xl/sharedStrings.xml><?xml version="1.0" encoding="utf-8"?>
<sst xmlns="http://schemas.openxmlformats.org/spreadsheetml/2006/main" count="1915" uniqueCount="1137">
  <si>
    <t>Rovatok megnevezése</t>
  </si>
  <si>
    <t>K1</t>
  </si>
  <si>
    <t>ebből:</t>
  </si>
  <si>
    <t>K2</t>
  </si>
  <si>
    <t>Munkaadókat terhelő járulékok és szoc. hozzájárulási adó</t>
  </si>
  <si>
    <t>K3</t>
  </si>
  <si>
    <t>Dologi kiadások</t>
  </si>
  <si>
    <t>államháztartáson belül</t>
  </si>
  <si>
    <t>K4</t>
  </si>
  <si>
    <t>Ellátottak pénzbeli juttatásai</t>
  </si>
  <si>
    <t>K41</t>
  </si>
  <si>
    <t>Társadalombiztosítási ellátások</t>
  </si>
  <si>
    <t>K42</t>
  </si>
  <si>
    <t>Családi támogatások</t>
  </si>
  <si>
    <t>Intézményi ellátottak pénzbeli juttatásai</t>
  </si>
  <si>
    <t>1. Működési célú támogatások államháztartáson belülről</t>
  </si>
  <si>
    <t>1.1. Önkormányzatok működési támogatásai</t>
  </si>
  <si>
    <t>1.3. Egyéb műk. c. támogatások bevételei állh.-on belülről</t>
  </si>
  <si>
    <t>1.Felhalm. célú támogatások államháztartáson belülről</t>
  </si>
  <si>
    <t>1.1. Felhalmozási célú önkormányzati támogatások</t>
  </si>
  <si>
    <t>1.2. Egyéb felh. c. támogatások bevételei államházt.-on belülről</t>
  </si>
  <si>
    <t>2. Közhatalmi bevételek</t>
  </si>
  <si>
    <t>3. Működési bevételek</t>
  </si>
  <si>
    <t>3.2. Szolgáltatások ellenértéke</t>
  </si>
  <si>
    <t>3.3. Közvetített szolgáltatások ellenértéke</t>
  </si>
  <si>
    <t>3.5. Ellátási díjak</t>
  </si>
  <si>
    <t>3.6. Kiszámlázott általános forgalmi adó</t>
  </si>
  <si>
    <t>2. Felhalmozási bevételek</t>
  </si>
  <si>
    <t>2.1. Immateriális javak értékesítése</t>
  </si>
  <si>
    <t>2.2. Ingatlanok értékesítése</t>
  </si>
  <si>
    <t>2.3. Egyéb tárgyi eszközök értékesítése</t>
  </si>
  <si>
    <t>2.4. Részesedések értékesítése</t>
  </si>
  <si>
    <t>4. Működési célú átvett pénzeszközök</t>
  </si>
  <si>
    <t>4.1. Műk. c. vtérítendő támog., kölcsönök vtérülése állh.-on kív.</t>
  </si>
  <si>
    <t>4.2. Egyéb műk. c. átvett pénzeszközök</t>
  </si>
  <si>
    <t>3.  Felhalmozási célú átvett pénzeszközök</t>
  </si>
  <si>
    <t>ebből működési</t>
  </si>
  <si>
    <t>ebből felhalmozási</t>
  </si>
  <si>
    <t xml:space="preserve">3. Dologi kiadások </t>
  </si>
  <si>
    <t>4. Ellátottak pénzbeli juttatásai</t>
  </si>
  <si>
    <t>5. Egyéb működési célú kiadások</t>
  </si>
  <si>
    <t>1. Beruházások</t>
  </si>
  <si>
    <t>2. Felújítások</t>
  </si>
  <si>
    <t>3. Egyéb felhalmozási célú kiadások</t>
  </si>
  <si>
    <t>3.1. Felh. c. v.tér. tám. kölcs. nyújt. állh.-on belülre</t>
  </si>
  <si>
    <t>3.2. Felh. c. v.tér. tám. kölcs. törl. állh.-on belülre</t>
  </si>
  <si>
    <t>3.3. Egyéb felh. c. támogatások állh-on belülre</t>
  </si>
  <si>
    <t>3.4. Felh. c. v.tér. tám. kölcs. nyújt. állh.-on kívülre</t>
  </si>
  <si>
    <t>3.5. Egyéb felh. c. támogatások állh-on kívülre</t>
  </si>
  <si>
    <t>051030</t>
  </si>
  <si>
    <t>Nem veszélyes (települési) hulladék vegyes begyűjtése, szállítása, átrakása</t>
  </si>
  <si>
    <t>051060</t>
  </si>
  <si>
    <t>052080</t>
  </si>
  <si>
    <t>045160</t>
  </si>
  <si>
    <t>013350</t>
  </si>
  <si>
    <t>Önk-i vagyonnal való gazdálkodással kapcs. feladatok</t>
  </si>
  <si>
    <t>066010</t>
  </si>
  <si>
    <t>011130</t>
  </si>
  <si>
    <t>Önk-ok és önk-i hivatalok jogalkotói és ált. igazgatási tevékenysége</t>
  </si>
  <si>
    <t>016080</t>
  </si>
  <si>
    <t>064010</t>
  </si>
  <si>
    <t>066020</t>
  </si>
  <si>
    <t>032020</t>
  </si>
  <si>
    <t>Tűz- és katasztrófavédelmi tevékenységek</t>
  </si>
  <si>
    <t>047410</t>
  </si>
  <si>
    <t>Ár- és belvízvédelemmel összefüggő tevékenységek</t>
  </si>
  <si>
    <t>091140</t>
  </si>
  <si>
    <t>072111</t>
  </si>
  <si>
    <t>072112</t>
  </si>
  <si>
    <t>072311</t>
  </si>
  <si>
    <t>074031</t>
  </si>
  <si>
    <t>102021</t>
  </si>
  <si>
    <t>102030</t>
  </si>
  <si>
    <t>107051</t>
  </si>
  <si>
    <t>107054</t>
  </si>
  <si>
    <t>104060</t>
  </si>
  <si>
    <t>107060</t>
  </si>
  <si>
    <t>082044</t>
  </si>
  <si>
    <t>Hagyományos közösségi kult. értékek gondozása - Közművelődés</t>
  </si>
  <si>
    <t>081030</t>
  </si>
  <si>
    <t>Sportlétesítmények, edzőtáborok működtetése és fejlesztése</t>
  </si>
  <si>
    <t>Város-,  községgazdálkodási egyéb szolg.</t>
  </si>
  <si>
    <t>Múzeumi, gyűjteményi tevékenység</t>
  </si>
  <si>
    <t xml:space="preserve">működési </t>
  </si>
  <si>
    <t>felhalmozási</t>
  </si>
  <si>
    <t>Jánoshalma Városi Önkormányzat</t>
  </si>
  <si>
    <t>Költségvetési egyenleg</t>
  </si>
  <si>
    <t>működési</t>
  </si>
  <si>
    <t>összesen</t>
  </si>
  <si>
    <t>Ingatlan, termőföld értékesítés</t>
  </si>
  <si>
    <t>Állami feladat kiadása</t>
  </si>
  <si>
    <t>Központi ktgv.-i támogatás össz.:</t>
  </si>
  <si>
    <t>Átvett pénzeszköz összesen:</t>
  </si>
  <si>
    <t>Saját bevétel összesen:</t>
  </si>
  <si>
    <t>Központi ktgv.-i támog. mindössz.:</t>
  </si>
  <si>
    <t>Átvett pénzeszköz mindösszesen:</t>
  </si>
  <si>
    <t>Saját bevétel mindösszesen:</t>
  </si>
  <si>
    <t>BEVÉTELEK</t>
  </si>
  <si>
    <t>felhalm.</t>
  </si>
  <si>
    <t>Kötelező feladatok</t>
  </si>
  <si>
    <t>Önkormányzat</t>
  </si>
  <si>
    <t>Gyermeklánc Óvoda és Bölcsőde</t>
  </si>
  <si>
    <t>Önként vállalt feladatok</t>
  </si>
  <si>
    <t>Állami feladatok</t>
  </si>
  <si>
    <t>MINDÖSSZESEN:</t>
  </si>
  <si>
    <t>Földalapú támogatás</t>
  </si>
  <si>
    <t>Bérleti díj bevételek</t>
  </si>
  <si>
    <t>Felhalmozás célú támogatás államháztartáson kívülre</t>
  </si>
  <si>
    <t>2.1. Helyi adók és adójellegű bevételek</t>
  </si>
  <si>
    <t>Műk. célú tám. ÁH-on kívülre</t>
  </si>
  <si>
    <t>K6</t>
  </si>
  <si>
    <t>Felújítások</t>
  </si>
  <si>
    <t>K7</t>
  </si>
  <si>
    <t>Egyéb felhalmozási célú kiadások</t>
  </si>
  <si>
    <t>K8</t>
  </si>
  <si>
    <t>Finanszírozási kiadások</t>
  </si>
  <si>
    <t>K9</t>
  </si>
  <si>
    <t>K43</t>
  </si>
  <si>
    <t>Pénzbeli kárpótlások, kártérítések</t>
  </si>
  <si>
    <t>K44</t>
  </si>
  <si>
    <t>Betegséggel kapcsolatos (nem TB) ellátások</t>
  </si>
  <si>
    <t>K45</t>
  </si>
  <si>
    <t>Foglalkoztatással, munkanélküliséggel kapcs. ellátások</t>
  </si>
  <si>
    <t>K46</t>
  </si>
  <si>
    <t>Lakhatással kapcsolatos ellátások</t>
  </si>
  <si>
    <t>K47</t>
  </si>
  <si>
    <t>K48</t>
  </si>
  <si>
    <t>Egyéb nem intézményi ellátások</t>
  </si>
  <si>
    <t>K5</t>
  </si>
  <si>
    <t>Egyéb működési célú kiadások</t>
  </si>
  <si>
    <t>K501</t>
  </si>
  <si>
    <t>Nemzetközi kötelezettségek</t>
  </si>
  <si>
    <t>K502</t>
  </si>
  <si>
    <t>Elvonások és befizetések</t>
  </si>
  <si>
    <t>K503</t>
  </si>
  <si>
    <t>Műk. célú garancia- és kezességvállalásból szárm. Kif. Államháztartáson belülre</t>
  </si>
  <si>
    <t>K504</t>
  </si>
  <si>
    <t>Műk. c. visszatérítendő támogatások, kölcsönök nyújtása államháztartáson belülre</t>
  </si>
  <si>
    <t>a,</t>
  </si>
  <si>
    <t>központi költségvetési szervek</t>
  </si>
  <si>
    <t>b,</t>
  </si>
  <si>
    <t>központi kezelésű előirányzatok</t>
  </si>
  <si>
    <t>c,</t>
  </si>
  <si>
    <t>fejezeti kezelésű ei EU-s pr. és azok hazai társfin.</t>
  </si>
  <si>
    <t>d,</t>
  </si>
  <si>
    <t>egyéb fejezeti kezelésű előirányzatok</t>
  </si>
  <si>
    <t>e,</t>
  </si>
  <si>
    <t>TB pénzügyi alapjai</t>
  </si>
  <si>
    <t xml:space="preserve">f, </t>
  </si>
  <si>
    <t>elkülönített állami pénzalapok</t>
  </si>
  <si>
    <t>g,</t>
  </si>
  <si>
    <t>helyi önkormányzatok és költségvetési szerveik</t>
  </si>
  <si>
    <t xml:space="preserve">h, </t>
  </si>
  <si>
    <t>társulások és költségvetési szerveik</t>
  </si>
  <si>
    <t xml:space="preserve">i, </t>
  </si>
  <si>
    <t>nemzetiségi önk-ok és költségvetési szerveik</t>
  </si>
  <si>
    <t>j,</t>
  </si>
  <si>
    <t>térségi fejleszt. tanácsok és költségvetési szerveik</t>
  </si>
  <si>
    <t>K505</t>
  </si>
  <si>
    <t>Műk. c. visszatérítendő támogatások, kölcsönök törtlesztése államháztartáson belülre</t>
  </si>
  <si>
    <t>K506</t>
  </si>
  <si>
    <t>Egyéb működési célú támogatások államháztartáson belülre</t>
  </si>
  <si>
    <t>K507</t>
  </si>
  <si>
    <t>Műk. c. garancia- és kezességv-ból származó kifizetés államháztartáson kívülre</t>
  </si>
  <si>
    <t>K508</t>
  </si>
  <si>
    <t>egyházi jogi személyek</t>
  </si>
  <si>
    <t>egyéb civil szervezetek</t>
  </si>
  <si>
    <t>háztartások</t>
  </si>
  <si>
    <t>pénzügyi vállalkozások</t>
  </si>
  <si>
    <t>állami többségi tul. -ú nem pénzügyi vállalkozások</t>
  </si>
  <si>
    <t>önk-i többségi tul.-ú nem pénzügyi vállalkozások</t>
  </si>
  <si>
    <t>egyéb vállalkozások</t>
  </si>
  <si>
    <t>Európai Unió</t>
  </si>
  <si>
    <t>kormányok és nemzetközi szervezetek</t>
  </si>
  <si>
    <t>egyéb külföldiek</t>
  </si>
  <si>
    <t>K509</t>
  </si>
  <si>
    <t>Árkiegészítések, átrtámogatások</t>
  </si>
  <si>
    <t>K510</t>
  </si>
  <si>
    <t>Kamattámogatások</t>
  </si>
  <si>
    <t>K511</t>
  </si>
  <si>
    <t>Egyéb műk. c. támogatások államháztartáson kívülre</t>
  </si>
  <si>
    <t>K512</t>
  </si>
  <si>
    <t>Tartalékok</t>
  </si>
  <si>
    <t xml:space="preserve">    </t>
  </si>
  <si>
    <t>K81</t>
  </si>
  <si>
    <t>Felhalm. c. garancia- és kez.váll-ból szárm. kif. állh-on belülre</t>
  </si>
  <si>
    <t>K82</t>
  </si>
  <si>
    <t>Felh. c. visszatér. tám, kölcsönök nyújt. állh-on belülre</t>
  </si>
  <si>
    <t>K83</t>
  </si>
  <si>
    <t>Felh. c. visszatér. tám, kölcsönök törl. állh-on belülre</t>
  </si>
  <si>
    <t>K84</t>
  </si>
  <si>
    <t>Egyéb felhalmozási c. támogatások állh-on belülre</t>
  </si>
  <si>
    <t>K85</t>
  </si>
  <si>
    <t>Felhalm. c. garancia- és kez.váll-ból szárm. kif. állh-on kívülre</t>
  </si>
  <si>
    <t>K86</t>
  </si>
  <si>
    <t>Felh. c. visszatér. tám, kölcsönök nyújt. állh-on kívülre</t>
  </si>
  <si>
    <t>K87</t>
  </si>
  <si>
    <t>Lakástámogatás</t>
  </si>
  <si>
    <t>K88</t>
  </si>
  <si>
    <t>Kiadások mindösszesen</t>
  </si>
  <si>
    <t>B1</t>
  </si>
  <si>
    <t>Működési célú támogatások államháztartáson belülről</t>
  </si>
  <si>
    <t>B11</t>
  </si>
  <si>
    <t>Önkormányzatok működési támogatásai</t>
  </si>
  <si>
    <t>B111</t>
  </si>
  <si>
    <t>B112</t>
  </si>
  <si>
    <t>B114</t>
  </si>
  <si>
    <t>B115</t>
  </si>
  <si>
    <t>B116</t>
  </si>
  <si>
    <t>B12</t>
  </si>
  <si>
    <t>Elvonások és befizetések bevételei</t>
  </si>
  <si>
    <t>B13</t>
  </si>
  <si>
    <t>B14</t>
  </si>
  <si>
    <t>fejezeti kezelésű ei EU-s pr. és azok hazai társfinanszírozása</t>
  </si>
  <si>
    <t>B15</t>
  </si>
  <si>
    <t>B16</t>
  </si>
  <si>
    <t>B2</t>
  </si>
  <si>
    <t>B21</t>
  </si>
  <si>
    <t>B22</t>
  </si>
  <si>
    <t>B23</t>
  </si>
  <si>
    <t>B24</t>
  </si>
  <si>
    <t>B25</t>
  </si>
  <si>
    <t>B3</t>
  </si>
  <si>
    <t>Közhatalmi bevételek</t>
  </si>
  <si>
    <t>B31</t>
  </si>
  <si>
    <t>Jövedelemadók</t>
  </si>
  <si>
    <t>B32</t>
  </si>
  <si>
    <t>Szociális hozzájárulási adó és járulékok</t>
  </si>
  <si>
    <t>B33</t>
  </si>
  <si>
    <t>Bérhez és foglalkoztatáshoz kapcsolódó adók</t>
  </si>
  <si>
    <t>B34</t>
  </si>
  <si>
    <t xml:space="preserve">Vagyoni típusú adók </t>
  </si>
  <si>
    <t>magánszemélyek kommunális adója</t>
  </si>
  <si>
    <t>telekadó</t>
  </si>
  <si>
    <t>B35</t>
  </si>
  <si>
    <t>Termékek és szolgáltatások adói</t>
  </si>
  <si>
    <t>B351</t>
  </si>
  <si>
    <t>Értékesítési és forgalmi adók</t>
  </si>
  <si>
    <t>B352</t>
  </si>
  <si>
    <t>B353</t>
  </si>
  <si>
    <t>Pü-i monopóliumok nyereségét terhelő adók</t>
  </si>
  <si>
    <t>B354</t>
  </si>
  <si>
    <t>Gépjárműadók</t>
  </si>
  <si>
    <t>B355</t>
  </si>
  <si>
    <t>Egyéb áruhasználati és szolgáltatási adók</t>
  </si>
  <si>
    <t>talajterhelési díj</t>
  </si>
  <si>
    <t>korábbi évek megszűnt adónemei áthúzódó bevételei</t>
  </si>
  <si>
    <t>B36</t>
  </si>
  <si>
    <t>Egyéb közhatalmi bevételek</t>
  </si>
  <si>
    <t>eljárási illetékek</t>
  </si>
  <si>
    <t>igazgatási szolgáltatási díjak</t>
  </si>
  <si>
    <t>felügyeleti díjak</t>
  </si>
  <si>
    <t>környezetvédelmi bírság</t>
  </si>
  <si>
    <t>építésügyi bírság</t>
  </si>
  <si>
    <t>egyéb bírságok</t>
  </si>
  <si>
    <t>késedelmi és önellenőrzési pótlék</t>
  </si>
  <si>
    <t>B4</t>
  </si>
  <si>
    <t>Működési bevételek</t>
  </si>
  <si>
    <t>B401</t>
  </si>
  <si>
    <t>B402</t>
  </si>
  <si>
    <t>tárgyi eszközök bérbe adásából származó bevétel</t>
  </si>
  <si>
    <t>B403</t>
  </si>
  <si>
    <t>Közvetített szolgáltatások ellenértéke</t>
  </si>
  <si>
    <t>B404</t>
  </si>
  <si>
    <t>Tulajdonosi bevételek</t>
  </si>
  <si>
    <t>vadászati jog bérbeadásából származó bevétel</t>
  </si>
  <si>
    <t>B405</t>
  </si>
  <si>
    <t>Ellátási díjak (pl. szociális és ellátotti étkeztetés díja)</t>
  </si>
  <si>
    <t>B406</t>
  </si>
  <si>
    <t>Kiszámlázott általános forgalmi adó</t>
  </si>
  <si>
    <t>B407</t>
  </si>
  <si>
    <t>Általános forgalmi adó visszatérítése</t>
  </si>
  <si>
    <t>B408</t>
  </si>
  <si>
    <t>B409</t>
  </si>
  <si>
    <t>B410</t>
  </si>
  <si>
    <t>B5</t>
  </si>
  <si>
    <t>Felhalmozási bevételek</t>
  </si>
  <si>
    <t>B51</t>
  </si>
  <si>
    <t>B52</t>
  </si>
  <si>
    <t>Ingatlanok értékesítése</t>
  </si>
  <si>
    <t>termőföld-eladás bevételei</t>
  </si>
  <si>
    <t>B53</t>
  </si>
  <si>
    <t>Egyéb tárgyi eszközök értékesítése</t>
  </si>
  <si>
    <t>B54</t>
  </si>
  <si>
    <t>Részesedések értékesítése</t>
  </si>
  <si>
    <t>B55</t>
  </si>
  <si>
    <t>Részesedések megszűnéséhez kapcsolódó bevételek</t>
  </si>
  <si>
    <t>B6</t>
  </si>
  <si>
    <t>Működési célú átvett pénzeszközök</t>
  </si>
  <si>
    <t>B61</t>
  </si>
  <si>
    <t>B62</t>
  </si>
  <si>
    <t>3.7. Általános forgalmi adó visszatérítése</t>
  </si>
  <si>
    <t>B63</t>
  </si>
  <si>
    <t>B7</t>
  </si>
  <si>
    <t>Felhalmozási célú átvett pénzeszközök</t>
  </si>
  <si>
    <t>B71</t>
  </si>
  <si>
    <t>B72</t>
  </si>
  <si>
    <t>B73</t>
  </si>
  <si>
    <t>B8</t>
  </si>
  <si>
    <t>Finanszírozási bevételek</t>
  </si>
  <si>
    <t>B81</t>
  </si>
  <si>
    <t>Belföldi finanszírozás bevételei</t>
  </si>
  <si>
    <t>B811</t>
  </si>
  <si>
    <t>B8111</t>
  </si>
  <si>
    <t>B8112</t>
  </si>
  <si>
    <t>B8113</t>
  </si>
  <si>
    <t>B812</t>
  </si>
  <si>
    <t>Belföldi értékpapírok bevételei</t>
  </si>
  <si>
    <t>B813</t>
  </si>
  <si>
    <t>Maradvány igénybevétele</t>
  </si>
  <si>
    <t>B8131</t>
  </si>
  <si>
    <t>Előző év költségvetési maradványának igénybevétele</t>
  </si>
  <si>
    <t>B8132</t>
  </si>
  <si>
    <t>Előző év vállalkozási maradványának igénybevétele</t>
  </si>
  <si>
    <t>B814</t>
  </si>
  <si>
    <t>B815</t>
  </si>
  <si>
    <t>B816</t>
  </si>
  <si>
    <t>Központi, irányító szervi támogatás</t>
  </si>
  <si>
    <t>B817</t>
  </si>
  <si>
    <t>B818</t>
  </si>
  <si>
    <t>Központi költségvetés sajátos finanszírozási bevételei</t>
  </si>
  <si>
    <t>B82</t>
  </si>
  <si>
    <t>Külföldi finanszírozás bevételei</t>
  </si>
  <si>
    <t>B83</t>
  </si>
  <si>
    <t>Adóssághoz nem kapcsolódó származékos ügyletek bevételei</t>
  </si>
  <si>
    <t>II. Felhalmozási kiadások</t>
  </si>
  <si>
    <t>C. Költségvetési hiány belső finanszírozására szolgáló pénzforgalom nélküli bevételek</t>
  </si>
  <si>
    <t>D. Költségvetési hiány belső finanszírozását meghaladó összegének külső finanszírozására szolgáló bevételek</t>
  </si>
  <si>
    <t>E. Finanszírozási kiadások</t>
  </si>
  <si>
    <t>Felh. célú</t>
  </si>
  <si>
    <t>Műk. célú</t>
  </si>
  <si>
    <t>Szolgáltatások ellenértéke</t>
  </si>
  <si>
    <t>Immateriális javak értékesítése</t>
  </si>
  <si>
    <t>Beruházás</t>
  </si>
  <si>
    <t>Közutak, alagutak üzemeltetése, fenntartása</t>
  </si>
  <si>
    <t>Személyi juttatások</t>
  </si>
  <si>
    <t>Kiadások mindösszesen:</t>
  </si>
  <si>
    <t>Jan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</si>
  <si>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</si>
  <si>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</si>
  <si>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</si>
  <si>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</si>
  <si>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</si>
  <si>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</si>
  <si>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</si>
  <si>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</si>
  <si>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</si>
  <si>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</si>
  <si>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</si>
  <si>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 xml:space="preserve">Közfoglalkoztatás </t>
  </si>
  <si>
    <t>Védőnői Szolgálat</t>
  </si>
  <si>
    <t>- Védőnők</t>
  </si>
  <si>
    <t>Megnevezés</t>
  </si>
  <si>
    <t>Kiadások</t>
  </si>
  <si>
    <t>Dologi kiadás</t>
  </si>
  <si>
    <t>Összesen:</t>
  </si>
  <si>
    <t>Mindösszesen:</t>
  </si>
  <si>
    <t>Beruházások</t>
  </si>
  <si>
    <t>Bevé-        telek</t>
  </si>
  <si>
    <t>K i a d á s b ó l</t>
  </si>
  <si>
    <t>Kiadások összesen</t>
  </si>
  <si>
    <t>Polgármesteri Hivatal</t>
  </si>
  <si>
    <t>Felújítás</t>
  </si>
  <si>
    <t>Összeg</t>
  </si>
  <si>
    <t>–</t>
  </si>
  <si>
    <t>Veszélyes hulladék kezelése, ártalmatlanítása</t>
  </si>
  <si>
    <t>Zöldterület kezelés</t>
  </si>
  <si>
    <t>Kiemelt állami és önkormányzati rendezvények</t>
  </si>
  <si>
    <t>Közvilágítás</t>
  </si>
  <si>
    <t>Fejezeti és általános tartalékok elszámolása</t>
  </si>
  <si>
    <t>Háziorvosi alapellátás</t>
  </si>
  <si>
    <t>Háziorvosi ügyeleti ellátás</t>
  </si>
  <si>
    <t>Fogorvosi alapellátás</t>
  </si>
  <si>
    <t>Könyvtári szolgáltatások</t>
  </si>
  <si>
    <t>Helyi önkormányzat összesen:</t>
  </si>
  <si>
    <t>I</t>
  </si>
  <si>
    <t>J</t>
  </si>
  <si>
    <t>K</t>
  </si>
  <si>
    <t>L</t>
  </si>
  <si>
    <t>M</t>
  </si>
  <si>
    <t>N</t>
  </si>
  <si>
    <t>O</t>
  </si>
  <si>
    <t>P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</si>
  <si>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</si>
  <si>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</si>
  <si>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</si>
  <si>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</si>
  <si>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</si>
  <si>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</si>
  <si>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</si>
  <si>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</si>
  <si>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</si>
  <si>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</si>
  <si>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</si>
  <si>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</si>
  <si>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</si>
  <si>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</si>
  <si>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</si>
  <si>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</si>
  <si>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</si>
  <si>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</si>
  <si>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</si>
  <si>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</si>
  <si>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</si>
  <si>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</si>
  <si>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28</t>
  </si>
  <si>
    <t>29</t>
  </si>
  <si>
    <t>30</t>
  </si>
  <si>
    <t>32</t>
  </si>
  <si>
    <t xml:space="preserve">- Köztisztviselők                      </t>
  </si>
  <si>
    <t>HELYI ÖNKORMÁNYZAT ÉS INTÉZMÉNYEI ÖSSZESEN:</t>
  </si>
  <si>
    <t>Összesen</t>
  </si>
  <si>
    <t>Felújítási alap befizetési kötelezettség (vegyes tulajdonú társasházak)</t>
  </si>
  <si>
    <t>Fejlesztési célú támogatásértékű kiadások</t>
  </si>
  <si>
    <t>Fejlesztési célú tartalék</t>
  </si>
  <si>
    <t>Vis maior tartalék</t>
  </si>
  <si>
    <t>A</t>
  </si>
  <si>
    <t>B</t>
  </si>
  <si>
    <t>C</t>
  </si>
  <si>
    <t>D</t>
  </si>
  <si>
    <t>E</t>
  </si>
  <si>
    <t>F</t>
  </si>
  <si>
    <t>Ssz.</t>
  </si>
  <si>
    <t>G</t>
  </si>
  <si>
    <t>H</t>
  </si>
  <si>
    <t>33</t>
  </si>
  <si>
    <t>Család- és nővédelmi egészségügyi gondozás</t>
  </si>
  <si>
    <t>Körny. véd. alap</t>
  </si>
  <si>
    <t>Bevételek</t>
  </si>
  <si>
    <t>Bevételek mindösszesen:</t>
  </si>
  <si>
    <t>-</t>
  </si>
  <si>
    <t>Helyi önkormányzat</t>
  </si>
  <si>
    <t>2020. év</t>
  </si>
  <si>
    <t>I. Működési bevételek</t>
  </si>
  <si>
    <t>Szociális étkeztetés</t>
  </si>
  <si>
    <t>II. Felhalmozási bevételek</t>
  </si>
  <si>
    <t>I. Működési kiadások</t>
  </si>
  <si>
    <t>1. Személyi juttatások</t>
  </si>
  <si>
    <t>26</t>
  </si>
  <si>
    <t>Általános tartalék</t>
  </si>
  <si>
    <t>Önkormányzati hivatal működésének támogatása</t>
  </si>
  <si>
    <t>Óvodaműködtetési támogatás</t>
  </si>
  <si>
    <t>KIADÁSOK</t>
  </si>
  <si>
    <t>Feladatellátás jogszabályi alapja</t>
  </si>
  <si>
    <t>Kötelező feladatok kiadása</t>
  </si>
  <si>
    <t>Önként vállalt feladatok kiadása</t>
  </si>
  <si>
    <t>Állami (államigazgatási) feladatok kiadása</t>
  </si>
  <si>
    <t>23</t>
  </si>
  <si>
    <t>24</t>
  </si>
  <si>
    <t>25</t>
  </si>
  <si>
    <t>27</t>
  </si>
  <si>
    <t>31</t>
  </si>
  <si>
    <t>34</t>
  </si>
  <si>
    <t>35</t>
  </si>
  <si>
    <t>Polgármesteri Hivatal összesen:</t>
  </si>
  <si>
    <t>Óvodai intézményi étkeztetés</t>
  </si>
  <si>
    <t>Önkormányzat mindösszesen:</t>
  </si>
  <si>
    <t>Mötv.</t>
  </si>
  <si>
    <t>2011. évi CLXXXIX. tv. Magyarország helyi önkormányzatairól</t>
  </si>
  <si>
    <t xml:space="preserve">Szoc. tv. </t>
  </si>
  <si>
    <t>1993. évi III. törvény a szociális igazgatásról és szociális ellátásokról</t>
  </si>
  <si>
    <t>Ttv.</t>
  </si>
  <si>
    <t xml:space="preserve">1996. évi XXXI. törvény a tűz elleni védekezésről, a műszaki mentésről és tűzoltóságról </t>
  </si>
  <si>
    <t xml:space="preserve">Közműv. tv. </t>
  </si>
  <si>
    <t>1997. évi CXL. törvény a muzeális intézményekről, a nyilvános könyvtári ellátásról és a közművelődésről</t>
  </si>
  <si>
    <t>Központi költségvetési támogatás</t>
  </si>
  <si>
    <t>Átvett pénzeszközök</t>
  </si>
  <si>
    <t>Saját bevételek</t>
  </si>
  <si>
    <t>Bevételek összesen</t>
  </si>
  <si>
    <t>Helyi önkormányzatok működésének ált. támogatása</t>
  </si>
  <si>
    <t>Ügyeleti ellátáshoz önkormányzatoktól átvett pénzeszk.</t>
  </si>
  <si>
    <t>Tűzoltóság BM támogatása</t>
  </si>
  <si>
    <t>Továbbszámlázott szolg. bevételei</t>
  </si>
  <si>
    <t>Étkeztetéssel kapcsolatos térítési díj bevétel</t>
  </si>
  <si>
    <t>KÖZFOGLALKOZTATOTTAK LÉTSZÁMA ÖSSZESEN:</t>
  </si>
  <si>
    <t xml:space="preserve">A helyi önkormányzat és költségvetési szervei engedélyezett létszáma és a közfoglalkoztatottak létszáma </t>
  </si>
  <si>
    <t>B. Költségvetési bevételek (I.+...+IV.)</t>
  </si>
  <si>
    <t>A. Költségvetési kiadások (I.+...+IV.)</t>
  </si>
  <si>
    <t>B. Költségvetési bevételek és A. költségvetési kiadások összesítésének egyenlege (hiány/többlet):</t>
  </si>
  <si>
    <t>Kiegészítő támogatás az óvodapedagógusok minősítéséből adódó többletkiadásokhoz</t>
  </si>
  <si>
    <t>Könyvtári, közművelődési és múzeumi feladatok támogatása</t>
  </si>
  <si>
    <t>önk-i többségi tulajdonú nem pénzügyi vállalkozások</t>
  </si>
  <si>
    <t>állami többségi tulajdonú nem pénzügyi vállalkozások</t>
  </si>
  <si>
    <t>Műk. c. visszatérítendő támogatások, kölcsönök nyújtása államháztartáson kívülre g, egyéb vállalkoz</t>
  </si>
  <si>
    <t>3.4. Tulajdonosi bevételek</t>
  </si>
  <si>
    <t>082030</t>
  </si>
  <si>
    <t>Közutak, hidak, alagutak üzemeltetése, fenntartása</t>
  </si>
  <si>
    <t>Zöldterület -kezelés</t>
  </si>
  <si>
    <t>Város-, községgazdálkodási egyéb szolgáltatások</t>
  </si>
  <si>
    <t>Könyvtári állomány gyarapítása, nyilvántartása</t>
  </si>
  <si>
    <t>Nyitnikék Gyerekház</t>
  </si>
  <si>
    <t>Szociális feladatok egyéb támogatása</t>
  </si>
  <si>
    <t>Elszámolásból származó bevételek</t>
  </si>
  <si>
    <t>Készletértékesítés ellenértéke</t>
  </si>
  <si>
    <t>egyéb részesedések után kapott osztalék</t>
  </si>
  <si>
    <t>fedezeti ügyletek kamatbevételei</t>
  </si>
  <si>
    <t>Biztosító által fizetett kártérítés</t>
  </si>
  <si>
    <t>B411</t>
  </si>
  <si>
    <t>Egyéb működési bevételek (pl. közbesz. ajánlati biztosíték, pályázati díjak, kötbér, késedelmi kamat, kerekítési különbözet stb.)</t>
  </si>
  <si>
    <t>B64</t>
  </si>
  <si>
    <t>B65</t>
  </si>
  <si>
    <t>B74</t>
  </si>
  <si>
    <t>B75</t>
  </si>
  <si>
    <t>B8121</t>
  </si>
  <si>
    <t>Forgatási c. belföldi értékpapírok beváltása, értékesítése</t>
  </si>
  <si>
    <t>B8122</t>
  </si>
  <si>
    <t>Éven belüli lejáratú belföldi értékpapírok kibocsátása</t>
  </si>
  <si>
    <t>B8123</t>
  </si>
  <si>
    <t>Befektetési célú belföldi értékpapírok beváltása, értékesítése</t>
  </si>
  <si>
    <t>B8124</t>
  </si>
  <si>
    <t>Éven túli lejáratú belföldi értékpapírok kibocsátása</t>
  </si>
  <si>
    <t>Lekötött bankbetétek megszüntetése</t>
  </si>
  <si>
    <t>B819</t>
  </si>
  <si>
    <t>Tulajdonosi kölcsönök bevételei</t>
  </si>
  <si>
    <t>B8191</t>
  </si>
  <si>
    <t>Hosszú lejáratú tulajdonosi kölcsönök bevételei</t>
  </si>
  <si>
    <t>B8192</t>
  </si>
  <si>
    <t>Rövid lejáratú tulajdonosi kölcsönök bevételei</t>
  </si>
  <si>
    <t>B84</t>
  </si>
  <si>
    <t>Váltóbevételek</t>
  </si>
  <si>
    <t>szerződés megerősítésével, a szerződésszegéssel kapcsolatos véglegesen járó bevételek, a szerződésen kívüli károkozásért, személyiségi, dologi vagy más jog megsértéséért, jogalap nélküli gazdagodásért kapott összegek</t>
  </si>
  <si>
    <t>nonprofit gazdasági társaságok</t>
  </si>
  <si>
    <t>külföldi szervezetek, személyek</t>
  </si>
  <si>
    <t xml:space="preserve">k, </t>
  </si>
  <si>
    <t>Egyéb műk. c. támogatások EU-nak</t>
  </si>
  <si>
    <t>K513</t>
  </si>
  <si>
    <t>K89</t>
  </si>
  <si>
    <t>Egyéb felhalmozási c. támogatások EU-nak</t>
  </si>
  <si>
    <t>3.1. Készletértékesítés ellenértéke</t>
  </si>
  <si>
    <t>Család- és Gyermekjóléti Központ</t>
  </si>
  <si>
    <t xml:space="preserve">Fogyasztási adók </t>
  </si>
  <si>
    <t>jövedéki adó</t>
  </si>
  <si>
    <t>Kamatbevételek és más nyereségjellegű bevételek</t>
  </si>
  <si>
    <t>hitelviszonyt megtest. értékpapírok értékesítési nyeresége</t>
  </si>
  <si>
    <t>Egyéb kapott (járó) kamatok és kamatjellegű bevételek</t>
  </si>
  <si>
    <t>Részesedésekből származó pénzügyi műveletek bevételei</t>
  </si>
  <si>
    <t>Más egyéb pénzügyi műveletek bevételei</t>
  </si>
  <si>
    <t xml:space="preserve">Egyéb pénzügyi műveletek bevételei </t>
  </si>
  <si>
    <t>részesedések értékesítéséhez kapcs. realizált nyereség</t>
  </si>
  <si>
    <t>befektetési jegyek bevételei</t>
  </si>
  <si>
    <t>hitelviszonyt megtest. értékpapírok kibocsátási nyeresége</t>
  </si>
  <si>
    <t>valuta és deviza eszközök realizált árfolyamnyeresége</t>
  </si>
  <si>
    <t>kiadások visszatérítései</t>
  </si>
  <si>
    <t>Hitel-, kölcsönfelvétel pénzügyi vállalkozástól</t>
  </si>
  <si>
    <t>Államháztartáson belüli megelőlegezések (Áht. 78.§ (4) és 83.§(3) bek.)</t>
  </si>
  <si>
    <t>Államháztartáson belüli megelől. törleszt. (Áht. 78.§ (4) és 83.§ (3) bek.)</t>
  </si>
  <si>
    <t>Köztemetés (Szoc. tv. 48.§)</t>
  </si>
  <si>
    <t>települési támogatás (Szoc. tv. 45.§)</t>
  </si>
  <si>
    <t>Önkormányzati bérlakások felújítása</t>
  </si>
  <si>
    <t>Vállalk. tev. - Növénytermesztés és kapcsolódó szolgáltatások</t>
  </si>
  <si>
    <t>Művészeti tevékenységek -Jánoshalmi Művésztelep működtetése</t>
  </si>
  <si>
    <t>Művészeti tevékenységek - Jánoshalmi Művésztelep működtetése</t>
  </si>
  <si>
    <t xml:space="preserve">Egyéb szoc. pénzbeli ellátások, támogatások </t>
  </si>
  <si>
    <t>2015. évi  CXXIII. törvény az egészségügyi alapellátásról</t>
  </si>
  <si>
    <t>Eü a. tv.</t>
  </si>
  <si>
    <t>Gyvt. 40/A. §</t>
  </si>
  <si>
    <t>Óvodapedagógusok és a munkájukat közvetlen segítők bértámogatása</t>
  </si>
  <si>
    <t>A rászoruló gyermekek intézményen kívüli szünidei étkeztetésének támogatása</t>
  </si>
  <si>
    <t>Tűzoltóság települési támogatása</t>
  </si>
  <si>
    <t>- Pedagógiai asszisztens</t>
  </si>
  <si>
    <t xml:space="preserve">- Óvodai dajka </t>
  </si>
  <si>
    <t>- Óvodatitkár</t>
  </si>
  <si>
    <t>- Szakmai vezető</t>
  </si>
  <si>
    <t>- Családsegítő</t>
  </si>
  <si>
    <t xml:space="preserve">Nyitnikék Gyerekház </t>
  </si>
  <si>
    <t>- Polgármester</t>
  </si>
  <si>
    <t>- Főállású alpolgármester</t>
  </si>
  <si>
    <t>adatok Ft-ban</t>
  </si>
  <si>
    <t>termőföld bérbeadásából származó jövedelem adója</t>
  </si>
  <si>
    <t>Egyéb felhalmozási célra átvett pénzeszközök</t>
  </si>
  <si>
    <t>018020</t>
  </si>
  <si>
    <t>Központi költségvetési befizetések</t>
  </si>
  <si>
    <t>Munkaadót terhelő járulékok</t>
  </si>
  <si>
    <t>102023</t>
  </si>
  <si>
    <t>Időskorúak tartós bentlakásos ellátása (Szoc. Otthon)</t>
  </si>
  <si>
    <t>Egyéb szociális pénzbeli és természetbeni ellátások, támog.</t>
  </si>
  <si>
    <t>096015</t>
  </si>
  <si>
    <t>Gyermekétkeztetés köznevelési intézményben</t>
  </si>
  <si>
    <t>104037</t>
  </si>
  <si>
    <t>Intézményen kívüli gyermekétkeztetés</t>
  </si>
  <si>
    <t>Egyéb felhalmozási célú kiadás</t>
  </si>
  <si>
    <t>K5 Egyéb működési célú kiadások</t>
  </si>
  <si>
    <t>Rendszeres gyermekvédelmi kedvezményhez kapcsolódó természetbeni juttatás Gyvt. 20/A § (1) - (2) bek.</t>
  </si>
  <si>
    <t>Kiegészítő gyermekvédelmi támogatás és a kieg. gyermekvédelmi támogatás pótléka Gyvt. 20/B. § (3), (5) bek.</t>
  </si>
  <si>
    <t>kiotói egységek és kibocsátási egységek eladásából befolyt eladási ár</t>
  </si>
  <si>
    <t>Egyéb működési célú átvett pénzeszközök</t>
  </si>
  <si>
    <t>Helyi önkormányzatok működésének általános támogatása</t>
  </si>
  <si>
    <t>Működési célú költségvetési támogatás és kiegészítő támogatás</t>
  </si>
  <si>
    <t>Működési c. garancia- és kezesságvállalásból származó megtérülés államháztartáson belülről</t>
  </si>
  <si>
    <t>Működési célú visszatérítendő támogatások, kölcsönök visszatérülése ÁH-on belülről</t>
  </si>
  <si>
    <t>Működési célú visszatérítendő támogatások, kölcsönök igénybevétele ÁH-on belülről</t>
  </si>
  <si>
    <t>Egyéb működési célú támogatások bevételei államháztartáson belülről</t>
  </si>
  <si>
    <t>Települési önkormányzatok egyes köznevelési feladatainak támogatása</t>
  </si>
  <si>
    <t>Települési önkormányzatok kulturális feladatainak támogatása</t>
  </si>
  <si>
    <t>fejezeti kezelésű ei EU-s programok és azok hazai társfinanszírozása</t>
  </si>
  <si>
    <t>nemzetiségi önkormányzatok és költségvetési szerveik</t>
  </si>
  <si>
    <t>térségi fejlesztési tanácsok és költségvetési szerveik</t>
  </si>
  <si>
    <t>Felhalmozási célú önkormányzati támogatások</t>
  </si>
  <si>
    <t>Felhalm. célú garancia- és kezességvállalásból származó megtérülés állháztartáson belülről</t>
  </si>
  <si>
    <t>Felhalm. célú visszatérítendő támogatások, kölcsönök visszatérülése állháztartáson belülről</t>
  </si>
  <si>
    <t>Felhalm. célú visszatérítendő támogatások, kölcsönök igénybevétele állháztartáson belülről</t>
  </si>
  <si>
    <t>Egyéb felhalmozási célú támogatások bevételei államháztartáson belülről</t>
  </si>
  <si>
    <t>Felhalmozási célú támogatások államháztartáson belülről</t>
  </si>
  <si>
    <t>állandó jelleggel végzett iparűzési tevékenység utáni helyi iparűzési adó</t>
  </si>
  <si>
    <t>ideiglenes jelleggel végzett tevékenység utáni helyi iparűzési adó</t>
  </si>
  <si>
    <t>belföldi gépjárművek adójának helyi önkormányzatot megillető része</t>
  </si>
  <si>
    <t>szabálysértési pénz- és helyszíni bírság és a közlekedési szabályszegések után kiszabott közigazgatási bírság önkormányzatot megillető része</t>
  </si>
  <si>
    <t>önkormányzati vagyon üzemeltetéséből, koncesszióból származó bevétel</t>
  </si>
  <si>
    <t>önkormányzati vagyon vagyonkezelésbe adásából szárm. bevétel</t>
  </si>
  <si>
    <t>állami többségi tulajdonú vállalkozástól kapott osztalék</t>
  </si>
  <si>
    <t>önkormányzati többségi tulaljdonú vállalkozástól kapott osztalék</t>
  </si>
  <si>
    <t>Befektetett pénzügyi eszközökből származó bevételek</t>
  </si>
  <si>
    <t>hitelviszonyt megtestesítő értékpapírok értékesítési nyeresége</t>
  </si>
  <si>
    <t>Működési célú garancia- és kezességvállalásból származó megtérülés ÁH-on kívülről</t>
  </si>
  <si>
    <t>Működési célú visszatérítendő támogatások, kölcsönök visszatérülése EU-tól</t>
  </si>
  <si>
    <t>Működési célú visszatérítendő támogatások, kölcsönök visszatérülése kormányoktól és más nemzetközi szervezetektől</t>
  </si>
  <si>
    <t>Működési célú visszatérítendő támogatások, kölcsönök visszatérülése ÁH-n kívülről</t>
  </si>
  <si>
    <t>Felhalmozási célú garancia- és kezességvállalásból származó megtérülés ÁH-on kívülről</t>
  </si>
  <si>
    <t>Felhalmozási célú visszatérítendő támogatások, kölcsönök visszatérülése EU-tól</t>
  </si>
  <si>
    <t>Felhalmozási célú visszatérítendő támogatások, kölcsönök visszatérülése kormányoktól és más nemzetközi szervezetektől</t>
  </si>
  <si>
    <t>Felhalmozási célú visszatérítendő támogatások, kölcsönök visszatérülése állházt.-on kívülről</t>
  </si>
  <si>
    <t>Hosszú lejáratú hitelek, kölcsönök felvétele pénzügyi vállalkozástól</t>
  </si>
  <si>
    <t>Likviditási célú hitelek, kölcsönök felvétele pénzügyi vállalkozástól</t>
  </si>
  <si>
    <t>Rövid lejáratú hitelek, kölcsönök felvétele pénzügyi vállalkozástól</t>
  </si>
  <si>
    <t>Egyéb felhalmozási célú támogatások állháztartáson kívülre</t>
  </si>
  <si>
    <t>Működési célú tartalék - Környezetvédelmi alap</t>
  </si>
  <si>
    <t>VI. Államháztartáson belüli megelőlegezések</t>
  </si>
  <si>
    <t>VI. Államháztartáson belüli megelőlegezések visszafizetése</t>
  </si>
  <si>
    <t>3.2. Egyéb felhalmozási célra átvett pénzeszközök</t>
  </si>
  <si>
    <t>3.1. Felh. c. visszatérít. támog., kölcsönök visszatér. ÁH-on kív.</t>
  </si>
  <si>
    <t>III/a. Előző évek költségvetési maradványának igénybevétele</t>
  </si>
  <si>
    <t>III/b. Előző évek vállakozási maradványának igénybevétele</t>
  </si>
  <si>
    <t>IV. Belföldi értékpapírok bevételei</t>
  </si>
  <si>
    <t>V. Hitel-, kölcsönfelvétel államháztartáson kívülről</t>
  </si>
  <si>
    <t>IV. Értékpapírok vásárlásának kiadása</t>
  </si>
  <si>
    <t>V. Hitelek törlesztése és kötvénykibocsátás kiadásai</t>
  </si>
  <si>
    <t>1.2. Műk. c. visszatérítendő tám., kölcsönök v.térülése ÁH-on bel.</t>
  </si>
  <si>
    <t>5.2. Műk. c. v.térítendő támog.-k, kölcs. nyújt. ÁH-on kívülre</t>
  </si>
  <si>
    <t>2. Munkaadót terhelő járulékok és szociális hozzájárulási adó</t>
  </si>
  <si>
    <t>Időskorúak tartós bentlakásos ellátása</t>
  </si>
  <si>
    <t>Jánoshalma Városi Önkormányzat összesen:</t>
  </si>
  <si>
    <t>Család- és Gyermekjóléti Szolgálat</t>
  </si>
  <si>
    <t>Bölcsődei ellátás</t>
  </si>
  <si>
    <t>Bölcsődei étkeztetés</t>
  </si>
  <si>
    <t>Mötv. 13.§ (1) 9.</t>
  </si>
  <si>
    <t>Mötv. 13.§ (1) 2.</t>
  </si>
  <si>
    <t>Mötv. 13.§ (1) 11.</t>
  </si>
  <si>
    <t>Mötv. 13.§ (1) 19.</t>
  </si>
  <si>
    <t>Mötv. 13.§ (1) 5., 19.</t>
  </si>
  <si>
    <t xml:space="preserve">Mötv. 13.§ (1) 4.,  Eü tv. 5.§ (1) </t>
  </si>
  <si>
    <t>Mötv. 13.§ (1) 15.</t>
  </si>
  <si>
    <t>Mötv. 13.§ (1) 7., Közműv. tv. 64.§ (1)</t>
  </si>
  <si>
    <t>Mötv. 13.§ (1) 7., Közműv. tv. 73.§ (2)</t>
  </si>
  <si>
    <t>Szoc. tv. 86.§ (1) b,</t>
  </si>
  <si>
    <t>Mötv. 13.§ (1) 13.</t>
  </si>
  <si>
    <t>Mötv. 13.§ (1) 6.</t>
  </si>
  <si>
    <t>Család- és nővédelmi egészségügyi gondozás (Védőnői Szolg.)</t>
  </si>
  <si>
    <t>3.8. Kamatbevételek</t>
  </si>
  <si>
    <t>3.9. Egyéb működési bevételek</t>
  </si>
  <si>
    <t>Gyvt. 21/A § (3)</t>
  </si>
  <si>
    <t xml:space="preserve">Mötv. 13.§ (1) 8a, Szoc. tv.  45.§, 48.§ </t>
  </si>
  <si>
    <t>Gyvt. 40. §</t>
  </si>
  <si>
    <t>Gyvt. 94. § (3a)</t>
  </si>
  <si>
    <t xml:space="preserve">Gyvt. 38/A § </t>
  </si>
  <si>
    <t>Gyvt. 21/C § (1)</t>
  </si>
  <si>
    <t>- Szakmai munkatárs</t>
  </si>
  <si>
    <t>Felhalmozási célú maradvány igénybevétele</t>
  </si>
  <si>
    <t>Készletértékesítés (búza, kukorica stb.)</t>
  </si>
  <si>
    <t>Naperőmű által termelt többlet energia értékesítésének bevétele</t>
  </si>
  <si>
    <t>Közvetített szolgáltatások értéke</t>
  </si>
  <si>
    <t>Kamatbevétel</t>
  </si>
  <si>
    <t>Működési célú maradvány igénybevétele</t>
  </si>
  <si>
    <t>Intézményi gyermekétkeztetési feladatok támogatása (iskolai étkeztetés)</t>
  </si>
  <si>
    <t>Intézményi gyermekétkeztetési feladatok támogatása (óvodai étkeztetés)</t>
  </si>
  <si>
    <t>Eü. Ágazat</t>
  </si>
  <si>
    <t>Családsegítő- és Gyermekjóléti Szolgálat, Családsegítő- és Gyermekjóléti Központ</t>
  </si>
  <si>
    <t>Gyermeklánc Óvoda és Bölcsőde, Család- és Gyermekjóléti Központ</t>
  </si>
  <si>
    <t>Bölcsődei csoport</t>
  </si>
  <si>
    <t>Felsőfokú végzettségű kisgyermeknevelő</t>
  </si>
  <si>
    <t>Középfokú végzettségű kisgyermeknevelő</t>
  </si>
  <si>
    <t>Bölcsődei dajka</t>
  </si>
  <si>
    <t>Gyermekház vezető</t>
  </si>
  <si>
    <t>Szakmai munkatárs</t>
  </si>
  <si>
    <t>- MT hatálya alá tartozó munkavállaló</t>
  </si>
  <si>
    <t>Önkormányzati tisztségviselők</t>
  </si>
  <si>
    <t>Igazgatási tevékenység</t>
  </si>
  <si>
    <t>- Szociális segítő</t>
  </si>
  <si>
    <t>- Közfoglalkoztatási ügyintéző</t>
  </si>
  <si>
    <t>Gyermekétkeztetés</t>
  </si>
  <si>
    <t xml:space="preserve">- Könyvtáros                      </t>
  </si>
  <si>
    <t xml:space="preserve">5.1. Elvonások és befizetések </t>
  </si>
  <si>
    <t>Start-munka program - Téli közfoglalkoztatás</t>
  </si>
  <si>
    <t>Hosszabb időtartamú közfoglalkoztatás</t>
  </si>
  <si>
    <t>063020</t>
  </si>
  <si>
    <t>Víztermelés, -kezelés, -ellátás</t>
  </si>
  <si>
    <t>A gyermekek, fiatalok és családok életminőségét javító programok</t>
  </si>
  <si>
    <t>900090</t>
  </si>
  <si>
    <t>041232</t>
  </si>
  <si>
    <t>041233</t>
  </si>
  <si>
    <t>Közművelődés- hagyományos közösségi kult. értékek gondozása</t>
  </si>
  <si>
    <t>Áht. 53/A. §</t>
  </si>
  <si>
    <t>Áht.</t>
  </si>
  <si>
    <t>2011. évi CXCV. törvény az államháztartásról</t>
  </si>
  <si>
    <t>Gyermeklánc Óvoda és Bölcsőde, Család- és Gyermekjóléti Központ összesen:</t>
  </si>
  <si>
    <t>Imre Z. Kult. K. és Könyvtár</t>
  </si>
  <si>
    <t>Bölcsőde támogatása</t>
  </si>
  <si>
    <t>Köztemetés kiadásának megtérítése</t>
  </si>
  <si>
    <t>Könyvtári szolgáltatások ellenértéke</t>
  </si>
  <si>
    <t>Közművelődési szolgáltatások ellenértéke</t>
  </si>
  <si>
    <t>2.2. Termőföld bérbead.-ból szárm. jöv. utáni SZJA</t>
  </si>
  <si>
    <t>2.3. Belföldi gépjárművek adójának helyi önk-t megillető része</t>
  </si>
  <si>
    <t>2.4. Egyéb közhatalmi bevételek</t>
  </si>
  <si>
    <t>Polgármesteri Hivatal igazgatási tevékenysége</t>
  </si>
  <si>
    <t>Imre Zoltán Művelődési Központ és Könyvtár</t>
  </si>
  <si>
    <t>Imre Zoltán Művelődési Központ és Könyvtár összesen:</t>
  </si>
  <si>
    <t>Imre Z. Műv. K. és Könyvtár</t>
  </si>
  <si>
    <t>Anyakönyvi szolgáltatás díjbevétele</t>
  </si>
  <si>
    <t>Nyitnikék Gyerekház EMMI-fejezeti támogatása</t>
  </si>
  <si>
    <t>Gyermeklánc Óvoda és Bölcsőde, Család- és Gyermekjóléti Központ kiadásai összesen:</t>
  </si>
  <si>
    <t>- Gazdasági ügyintéző (térítési díjak beszedése, étkezők nyilvántartása)</t>
  </si>
  <si>
    <t>Óvodai és iskolai szociális segítő tevékenység támogatása</t>
  </si>
  <si>
    <t>Egyéb műk. c. támogatások államháztartáson belülre</t>
  </si>
  <si>
    <t>5.3. Egyéb műk. célú támogatások államh.-on belülre</t>
  </si>
  <si>
    <t>5.4. Egyéb műk. célú támogatások államh.-on kívülre</t>
  </si>
  <si>
    <t>5.5. Tartalékok</t>
  </si>
  <si>
    <t xml:space="preserve">EFOP-3.3.2-16-2016-00284 "Kultúrával az oktatás színesítéséért" projekt </t>
  </si>
  <si>
    <t>Óvodai nevelés</t>
  </si>
  <si>
    <t xml:space="preserve">EFOP-3.9.2-16-2017-00057 "Járásokat összekötő humán kapacitások fejlesztése térségi szemléletben" c. projekt </t>
  </si>
  <si>
    <t>EFOP-1.5.3-16-2017-00082 "Együtt vagyunk, otthon vagyunk és itt maradunk" c. projekt - 2 fő alkalmazása a Család- és Gyermekjóléti Szolgálatnál</t>
  </si>
  <si>
    <t>Műk. célú tám. ÁH-on belülre</t>
  </si>
  <si>
    <t>Szektorhoz nem köthető komplex gazdaságfejlesztési projektek</t>
  </si>
  <si>
    <t>Szennyvízcsatorna építése, fenntartása, üzemeltetése</t>
  </si>
  <si>
    <t>Környezetszennyezés csökkentésének igazgatása</t>
  </si>
  <si>
    <t>Településfejlesztési projektek és támogatásuk</t>
  </si>
  <si>
    <t>Közművelődés- közösségi és társadalmi részvétel fejlesztése</t>
  </si>
  <si>
    <t>Óvodai nevelés, ellátás működtetési feladatai</t>
  </si>
  <si>
    <t>Iskolarendszeren kívüli egyéb oktatás, képzés</t>
  </si>
  <si>
    <t>107052</t>
  </si>
  <si>
    <t>Házi segítségnyújtás</t>
  </si>
  <si>
    <t>107080</t>
  </si>
  <si>
    <t>Esélyegyenlőség elősegítését célzó tevékenységek és programok</t>
  </si>
  <si>
    <t>36</t>
  </si>
  <si>
    <t>37</t>
  </si>
  <si>
    <t>38</t>
  </si>
  <si>
    <t>39</t>
  </si>
  <si>
    <t>40</t>
  </si>
  <si>
    <t>41</t>
  </si>
  <si>
    <t>047450</t>
  </si>
  <si>
    <t>053010</t>
  </si>
  <si>
    <t>062020</t>
  </si>
  <si>
    <t>082061</t>
  </si>
  <si>
    <t>082091</t>
  </si>
  <si>
    <t>095020</t>
  </si>
  <si>
    <t>Q</t>
  </si>
  <si>
    <t>Csatorna beruházáshoz kapcsolódó visszatérítés (háztartásoknak, vállalkozásoknak)</t>
  </si>
  <si>
    <t>TOP-3.2.1-16-BK1-2017-00059 "Jánoshalma Polgármesteri Hivatal energetikai rendszerek korszerűsítése" c. projekt kiadásai</t>
  </si>
  <si>
    <t>TOP-1.1.1-15-BK1-2016-00006 - "Iparterület fejlesztése Jánoshalmán" c. projekt kiadásai</t>
  </si>
  <si>
    <t>TOP-1.1.2-16-BK1 -2017-00005 "Jánoshalma térségi szerepének erősítése a mezőgazdaságban" c. projekt kiadásai</t>
  </si>
  <si>
    <t>TOP-1.1.3-16-BK1 -2017-00007  "Agrárlogisztikai központ építése Jánoshalmán c. projekt kiadásai</t>
  </si>
  <si>
    <t>TOP-2.1.3-16-BK1 -2017 - 00010  "Jánoshalma belvíz elvezetése I. ütem" c. projekt kiadásai</t>
  </si>
  <si>
    <t>EFOP-1.5.3-16-2017-00082  "Együtt vagyunk, otthon vagyunk és itt maradunk" c. projekt felújítási kiadásai</t>
  </si>
  <si>
    <t>Közművelődés-közösségi és társadalmi részvétel fejlesztése</t>
  </si>
  <si>
    <t>Szoc. tv. 86.§ (1) c,</t>
  </si>
  <si>
    <t xml:space="preserve">Óvodai nevelés, ellátás </t>
  </si>
  <si>
    <t>Intézményi gyermekétkeztetési feladatok támogatása (bölcsődei étkeztetés)</t>
  </si>
  <si>
    <t>Startmunka programok műk. c. támogatása</t>
  </si>
  <si>
    <t>Hosszabb időtartamú közfogl. műk. c.  tám.</t>
  </si>
  <si>
    <t>EFOP-1.4.2-16-2016-00020 "Együtt könnyebb" komplex prevenciós és társadalmi felzárkóztató program a gyermekszegénység ellen (GYEP-II.)</t>
  </si>
  <si>
    <t>- Szakterületi koordinátor  / és Coach (1 fő napi 4 órában/ heti 20 órában)</t>
  </si>
  <si>
    <t>EFOP-1.5.3-16-2017-00082 "Együtt vagyunk, otthon vagyunk és itt maradunk" projekt</t>
  </si>
  <si>
    <t>TOP-5.3.1-16-BK1-2017-00015 "Együtt a közösségeinkért" projekt</t>
  </si>
  <si>
    <t>EFOP-3.9.2-16-2017-00057 "Járásokat összekötő humán kapacitások fejlesztése térségi szemléletben" projekt</t>
  </si>
  <si>
    <t>EFOP-3.3.2-16-2016-00284 "Kultúrával az oktatás színesítéséért" projekt</t>
  </si>
  <si>
    <t>- Önkormányzati EFOP-1.5.3-16-2017-00082 projekt 2 fő prevenciós munkatárs</t>
  </si>
  <si>
    <t xml:space="preserve">- Szakterületi koordinátor </t>
  </si>
  <si>
    <t>Gyermeklánc Óvoda és Bölcsőde, Család- és Gyermekjóléti Központ  összesen:</t>
  </si>
  <si>
    <t>Működési célú tartalék - elektronikus közbeszerzés rendszerhasználati díja</t>
  </si>
  <si>
    <t>Céltartalék -elektr. közbesz. rendszer- haszn. díja</t>
  </si>
  <si>
    <t>utak használata ellenében beszedett használati díj, pótdíj, elektr. útdíj</t>
  </si>
  <si>
    <t>Jánoshalma Városi Önkormányzat és költségvetési szervei 2020. évi költségvetésének bevételi előirányzatai</t>
  </si>
  <si>
    <t>Jánoshalma Városi Önkormányzat és költségvetési szervei 2020. évi költségvetésének kiadási előirányzatai</t>
  </si>
  <si>
    <t>Jánoshalma Város Önkormányzat 2020. évi költségvetése működési és felhalmozási célú bontásban</t>
  </si>
  <si>
    <t>Jánoshalma Városi Önkormányzat  2020. évi költségvetési kiadásai feladatonként</t>
  </si>
  <si>
    <t>Telepszerű lakókörnyezetek felszámolását célzó programok</t>
  </si>
  <si>
    <t>A helyi önkormányzat által irányított költségvetési szervek 2020. évi költségvetési kiadásai feladatonként</t>
  </si>
  <si>
    <t>EFOP-3.9.2-16-2017-00057 "Járásokat összekötő humán kapacitások fejlesztése térségi szemléletben" projekt - 3 fő többletfeladat ellátása</t>
  </si>
  <si>
    <t>Óvoda fenntartási kiadások</t>
  </si>
  <si>
    <t>Kiemelt állami és önkormányzai rendezvények</t>
  </si>
  <si>
    <t>- Óvodapedagógus - teljes munkaidős</t>
  </si>
  <si>
    <t>- Óvodapedagógus - részmunkaidős (2 fő napi 4 órában)</t>
  </si>
  <si>
    <t>Szociális jellegű program - programelem</t>
  </si>
  <si>
    <t>Hosszabb időtartamú közfoglalkoztatás (2019. évről áthúzódó programok 2020.02.29-ig)</t>
  </si>
  <si>
    <t xml:space="preserve">48 fő álláskereső közfoglalkoztatása </t>
  </si>
  <si>
    <t xml:space="preserve">- Szakmai asszisztens </t>
  </si>
  <si>
    <t xml:space="preserve">- Intézményvezető                </t>
  </si>
  <si>
    <t>- Ügyviteli munkatárs</t>
  </si>
  <si>
    <t>- Üzemviteli munkatárs</t>
  </si>
  <si>
    <t>- MT hatálya alá tartozó munkavállaló (takarítónő)</t>
  </si>
  <si>
    <t>2020. évi felhalmozási kiadások feladatonként, felújítási kiadások célonként</t>
  </si>
  <si>
    <t>Szennyvíz átemelő szivattyú csere</t>
  </si>
  <si>
    <t>Viziközművek fejlesztése a viziközművek 2020. évi bérleti díj bevételéből és a Viziközmű fejlesztési tartalékból</t>
  </si>
  <si>
    <t xml:space="preserve">Közvilágítási rendszer korszerűsítése LED technológia felhasználásával </t>
  </si>
  <si>
    <t>Térfigyelő kamerarendszer felújítása</t>
  </si>
  <si>
    <t>Naperőmű túlfeszültség levezető csere</t>
  </si>
  <si>
    <t>Karácsonyi díszkivilágításhoz áramfelvételi leállások létesítése</t>
  </si>
  <si>
    <t>Karácsonyi díszkivilágítás (fénysorok) beszerzése</t>
  </si>
  <si>
    <t>Tűzgátló berendezés beszerzése</t>
  </si>
  <si>
    <t>Jánoshalma Városi Önkormányzat és költségvetési szerveinek 2020 évi költségvetési kiadásai kötelező-, önként vállalt-, és állami (államigazgatási) feladatok szerinti bontásban</t>
  </si>
  <si>
    <t>Esélyegyenlőség elősegítését célzó tevékenységek és programok (EFOP-3.3.2-16-2016-00284 pr.)</t>
  </si>
  <si>
    <t>Jánoshalma Városi Önkormányzat  és költségvetési szerveinek 2020. évi költségvetési bevételei és  kiadásai kötelező-, önként vállalt-, és állami (államigazgatási) feladatok szerinti bontásban</t>
  </si>
  <si>
    <t>Járdaépítésre átvett p.e. háztartásoktól</t>
  </si>
  <si>
    <t>EFOP-2.1.2-16-2018-00075 "Egy fedél alatt" pr.  támogatása</t>
  </si>
  <si>
    <t>Homokértékesítés bevétele</t>
  </si>
  <si>
    <t>Család- és nővédelmi eü. gondozáshoz Nemzeti Egészségbizt. Alapkezelőtől finanszírozás</t>
  </si>
  <si>
    <t>EFOP-3.9.2-16-2017-00057 "Járásokat összekötő... "pr.  támogatása</t>
  </si>
  <si>
    <t>EFOP-3.3.2-16-2016-00284 "Kulturával az oktatás színesítéséért"pr maradvány igénybevétele (működési)</t>
  </si>
  <si>
    <t>EFOP 3.9.2-16-2017-00057 pr.Működési célú maradvány igénybevétele</t>
  </si>
  <si>
    <t>061040</t>
  </si>
  <si>
    <t>Bölcsődei gyermekétkeztetés</t>
  </si>
  <si>
    <t>Óvodai gyermekétkeztetés</t>
  </si>
  <si>
    <t>Ttv. 2.§ (2) bek., Mötv.13.§ (1) 12.</t>
  </si>
  <si>
    <t>Mötv. 13.§ (1) 12.</t>
  </si>
  <si>
    <t>Mötv. 13.§ (1) bek. 11., 21. pontja</t>
  </si>
  <si>
    <t>Mötv. 13.§ (1) 1., 7., 9., 14. pontjai</t>
  </si>
  <si>
    <t>Mötv. 13.§ (1) 11.,  21. pontjai</t>
  </si>
  <si>
    <t>Mötv. 13.§ (1) 2., 5., 9., 11., 12. pontjai</t>
  </si>
  <si>
    <t>Mötv. 13.§ (1) 4.,  Eü tv. 5.§ (1) bek.</t>
  </si>
  <si>
    <t>Gyvt. 21/A § (3) bek.</t>
  </si>
  <si>
    <t>Területfejlesztés igazgatása                                                   (EFOP-3.9.2-16-2017-00057 projekt)</t>
  </si>
  <si>
    <t>Esélyegyenlőség elősegítését célzó tevékenységek és programok                                          (EFOP-1.5.3-16-2017-00082 projekt)</t>
  </si>
  <si>
    <t>Esélyegyenlőség elősegítését célzó tevékenységek és programok                                              (EFOP-1.5.3-16-2017-00082 projekt)</t>
  </si>
  <si>
    <t>Területfejlesztés igazgatása                                           (EFOP-3.9.2-16-2017-00057 projekt)</t>
  </si>
  <si>
    <t>Jánoshalmi Polgármesteri Hivatal</t>
  </si>
  <si>
    <t>Imre Zoltán Művelődési Központ és Könyvtár kiadásai összesen:</t>
  </si>
  <si>
    <t>Jánoshalmi Polgármesteri Hivatal kiadásai összesen:</t>
  </si>
  <si>
    <t>Jánoshalma Városi Önkormányzat kiadásai összesen:</t>
  </si>
  <si>
    <t>- Technikai dolgozók  (2 fő részfoglalkozású napi 4 órában)</t>
  </si>
  <si>
    <t>- Esetmenedzser és tanácsadó</t>
  </si>
  <si>
    <t>- Óvodai, iskolai szociális segítő</t>
  </si>
  <si>
    <t>- Asszisztens (részmunkaidős napi 4 órában)</t>
  </si>
  <si>
    <t>- Titkárnő</t>
  </si>
  <si>
    <t>- Pénzügyi vezető (részmunkaidős napi 3 órában)</t>
  </si>
  <si>
    <t>- Projektmenedzser (részmunkaidős napi 3 órában)</t>
  </si>
  <si>
    <t>- Szakmai asszisztens (részmunkaidős napi 4 órában)</t>
  </si>
  <si>
    <t>- Ifjúsági referens</t>
  </si>
  <si>
    <t>- Mentor vezető (részmunkaidős napi 4 órában)</t>
  </si>
  <si>
    <t>- Mentorok (9 fő részmunkaidőben napi 2 órában)</t>
  </si>
  <si>
    <t>- Közösség szervező munkatárs</t>
  </si>
  <si>
    <t>- Szakmai asszisztens</t>
  </si>
  <si>
    <t>- Közösségfejlesztő</t>
  </si>
  <si>
    <t>- Mentorok  (4 fő részmunkaidőben napi 1 órában)</t>
  </si>
  <si>
    <t>- Angol nyelvtanár (2 fő részmunkaidőben napi 1 órában)</t>
  </si>
  <si>
    <t>- Szakmai vezető (részmunkaidős napi 4 órában)</t>
  </si>
  <si>
    <t>Vízkárelhárítási terv elkészíttetése</t>
  </si>
  <si>
    <t>Energiamegtakarítási intézkedési terv elkészíttetése</t>
  </si>
  <si>
    <t>Jánoshalmi Művésztelep eszközbeszerzései (Bútorok - 5 db asztal, 15 szék)</t>
  </si>
  <si>
    <t>Védőnői szolgálat eszközbeszerzései (veszélyes hulladéktároláshoz hűtő, vércukormérő, Lang teszt II.)</t>
  </si>
  <si>
    <t>Számítógépek fejlesztése (rendszergazda felmérése alapján )</t>
  </si>
  <si>
    <t>EFOP-1.5.3-16-2017-00082  "Együtt vagyunk, otthon vagyunk és itt maradunk" c. projekt beruházási kiadásai</t>
  </si>
  <si>
    <t>EFOP-2.1.2-16-2018-00075  "Egy fedél alatt" c. projekt beruházási kiadásai</t>
  </si>
  <si>
    <t>Tavalyi évről elhalasztott eszközbeszerzések (irodai székek, PH konyhai kiegészítő bútor beszerzés)</t>
  </si>
  <si>
    <t>Hang- és fénytechnikai eszközök (jelfeldolgozó, fényvezérlő) beszerzése</t>
  </si>
  <si>
    <t>Kerítésfelújítás (Batthyány utcai óvoda, Radnóti utcai óvoda)</t>
  </si>
  <si>
    <t>54/2019.(IV.25.) Kt. hat.  Óvoda épület hőszigetelése</t>
  </si>
  <si>
    <t>Bölcsődei ellátás eszközbeszerzései (homokozó eszközök, játékok, sporteszközök)</t>
  </si>
  <si>
    <t>Család- és Gyermekjóléti Központ beruházási kiadásai (Windows 10 szoftver, számítógép, szünetmentes tápegység beszerzése, telefonvonal szétválasztása)</t>
  </si>
  <si>
    <t>Család- és Gyermekjóléti Szolgálat beruházási kiadásai (Windows 10 szoftver beszerzése; árnyékoló; székek vásárlása a kapcsolattartó szobába)</t>
  </si>
  <si>
    <t>Polgármesteri Hivatal épületében belső festés, felújítási munkák</t>
  </si>
  <si>
    <t>TOP-2.1.2-16-BK1 -2017-00003  "Zöld tér felújítása Jánoshalmán" c. projekt felújítási kiadásai</t>
  </si>
  <si>
    <t>Védőnő (3 fő heti 2 órában)</t>
  </si>
  <si>
    <t>Programfelelős (3 fő heti 2 órában)</t>
  </si>
  <si>
    <t>Szakmai koordinátor (1 fő heti 20 órában)</t>
  </si>
  <si>
    <t>Nyelvtanár (1 fő heti 1 órában)</t>
  </si>
  <si>
    <t>Fejlesztő pedagógus (1 fő főállásban, 2 fő heti 20 órába)</t>
  </si>
  <si>
    <t>Gyógypedagógus (1 fő heti 10 órában)</t>
  </si>
  <si>
    <t>Pénzügyi asszisztens (1 fő napi 4 órában)</t>
  </si>
  <si>
    <t>Családsegítő munkatárs (4 fő heti 2 órában)</t>
  </si>
  <si>
    <t>Óvónő (1 fő heti 2 órában)</t>
  </si>
  <si>
    <t>EFOP-3.9.2-16-2017-00057"Járásokat összekötő humán kap. fejl. térs. szemléletben" pr. EU tám.</t>
  </si>
  <si>
    <t>2 fő takarítónő foglalkoztatása 2020.03.01-2020.10.31. -Munkaügyi Központ támogatása</t>
  </si>
  <si>
    <t>Állati hullagyűjtő telep kialakítása</t>
  </si>
  <si>
    <t>Hosszabb időtartamú közfogl. felh. c.  tám.</t>
  </si>
  <si>
    <t>Startmunka programok felh. c. támogatása</t>
  </si>
  <si>
    <t>Működési c. kv-i támogatások és kiegészítő támogatások</t>
  </si>
  <si>
    <t>Járási startmunka mintaprogram (2019. évről áthúzódó programok 2020.02.29-ig)</t>
  </si>
  <si>
    <t>Járási startmunka mintaprogram (2020. március 1-től indult programok 2021.02.28-ig)</t>
  </si>
  <si>
    <t>Hosszabb időtartamú közfoglalkoztatás (2020. március 1-től indult programok 2021.02.28-ig)</t>
  </si>
  <si>
    <t xml:space="preserve">31 fő álláskereső közfoglalkoztatása </t>
  </si>
  <si>
    <t>Járási startmunka mintaprogram (2020.03.01-2021.02.28) - kisértékű tárgyi eszköz beszerzés</t>
  </si>
  <si>
    <t>Könyvtár részére beszerzett könyvek</t>
  </si>
  <si>
    <t>B1131</t>
  </si>
  <si>
    <t>B1132</t>
  </si>
  <si>
    <t xml:space="preserve">Települési önkormányzatok egyes szociális és gyermekjóléti felaladatainak tám. </t>
  </si>
  <si>
    <t xml:space="preserve">Települési önkormányzatok gyermekétkeztetési felaladatainak támogatása </t>
  </si>
  <si>
    <t>074040</t>
  </si>
  <si>
    <t>Fertőző megbetegedések megelőzése, járványügyi ellátás</t>
  </si>
  <si>
    <t>42</t>
  </si>
  <si>
    <t>Mötv. 13.§ (1) 5.</t>
  </si>
  <si>
    <t>Koronavírus elleni védekezéshez adományok</t>
  </si>
  <si>
    <t>EFOP-1.4.2-16 Integrált térs. gyermekpr. "Együtt könnyebb" működési c. támogatása</t>
  </si>
  <si>
    <t>EFOP-1.4.2-16 Integrált térs. gyermekpr. "Együtt könnyebb" felhalm. c. támogatása</t>
  </si>
  <si>
    <t>EFOP-1.5.3-16 ... "Együtt vagyunk, otthon vagyunk…." működési c. támogatása</t>
  </si>
  <si>
    <t>3. sz. fogorvosi körzet tartós helyettesítése-  NEA finanszírozás</t>
  </si>
  <si>
    <t>Támogatott foglalkoztatás</t>
  </si>
  <si>
    <t>Koronavírus-járvány okozta veszélyhelyzet kezelésének eszközök beszerzésével kapcsolatos kiadásai</t>
  </si>
  <si>
    <t>EFOP-1.4.2-16-2016-00020  "Együtt könnyebb" c. projekt beruházási kiadásai</t>
  </si>
  <si>
    <t>EFOP-1.5.3-16-2017-00082  "Együtt vagyunk, otthon vagyunk és itt maradunk" c. projekt rendezvényeinek megvalósításához kapcsolódó eszközbeszerzések</t>
  </si>
  <si>
    <t>Nyitnikék Gyerekház beruházási kiadásai (fejlesztő játékok vásárlása, tágulási tartály és tartozékainak beszerzése)</t>
  </si>
  <si>
    <t>A 2020. évi költségvetésben tervezett, EU-forrásból finanszírozott  támogatással megvalósuló projektek kiadásai, a helyi önkormányzat ilyen projektekhez történő hozzájárulásai</t>
  </si>
  <si>
    <t xml:space="preserve">Támogatási szerződés szerinti bevételek, kiadások  (Ft)     </t>
  </si>
  <si>
    <t>2020. évi költségvetésben tervezett 2019. évi maradvány igénybevétel</t>
  </si>
  <si>
    <t xml:space="preserve">2020. évi költségvetésben tervezett bevételi előirányzatok    </t>
  </si>
  <si>
    <t xml:space="preserve">2020. évi költségvetésben tervezett kiadási előirányzatok   </t>
  </si>
  <si>
    <t>évenkénti üteme</t>
  </si>
  <si>
    <t>2017. év</t>
  </si>
  <si>
    <t>2018. év</t>
  </si>
  <si>
    <t>2019. év</t>
  </si>
  <si>
    <t>2021. év</t>
  </si>
  <si>
    <t>2022. év</t>
  </si>
  <si>
    <t>Integrált térségi gyermekprogramok  - "Együtt könnyebb" komplex prevenciós és társadalmi felzárkóztató program a gyermekszegénység ellen (EFOP-1.4.2-16-2016-00020)</t>
  </si>
  <si>
    <t xml:space="preserve">Saját erő </t>
  </si>
  <si>
    <t>EU-s és hazai forrás együtt</t>
  </si>
  <si>
    <t>Források összesen</t>
  </si>
  <si>
    <t>Bér+járulék kiadások (elszámolható)</t>
  </si>
  <si>
    <t>Dologi kiadások (elszámolható)</t>
  </si>
  <si>
    <t>Beruházási kiadások (elszámolható)</t>
  </si>
  <si>
    <t>Iparterület fejlesztése Jánoshalmán (TOP-1.1.1-15-BK1-2016-00006)</t>
  </si>
  <si>
    <t>Beruházási kiadások (nem elszámolható)</t>
  </si>
  <si>
    <t>Bér+járulék kiadások (elszámolható) Gyermekjóléti Szolgálatnál</t>
  </si>
  <si>
    <t>Bér+járulék kiadások (elszámolható) Polgármesteri Hivatalnál</t>
  </si>
  <si>
    <t>Felújítási kiadások (elszámolható)</t>
  </si>
  <si>
    <t>Támogatás (elszámolható)</t>
  </si>
  <si>
    <t>Jánoshalma térségi szerepének erősítése a mg-ban (TOP-1.1.2-16-BK1-2017-00005)</t>
  </si>
  <si>
    <t>Dologi kiadások (nem elszámolható)</t>
  </si>
  <si>
    <t>Agrárlogisztikai központ építése Jánoshalmán (TOP-1.1.3-16-BK1-2017-00007)</t>
  </si>
  <si>
    <t>Zöld tér felújítása Jánoshalmán (TOP-2.1.2-16-BK1-2017-00003)</t>
  </si>
  <si>
    <t>Felújítási kiadások (nem elszámolható)</t>
  </si>
  <si>
    <t>Jánoshalma belvíz elvezetése I. ütem (TOP-2.1.3-16-BK1-2017-00010)</t>
  </si>
  <si>
    <t>Jánoshalma Polgármesteri Hivatal energetikai rendszerek korszerűsítése (TOP-3.2.1-16-BK1-2017-00059)</t>
  </si>
  <si>
    <t>Együtt a közösségeinkért (TOP-5.3.1-16-BK1-2017-00015) Hajós- Jánoshalma- Borota- Kéleshalom konzorciumban</t>
  </si>
  <si>
    <t>Saját erő</t>
  </si>
  <si>
    <t>"Együtt vagyunk, otthon vagyunk és itt maradunk" c. projekt (EFOP-1.5.3-16-2017-00082)</t>
  </si>
  <si>
    <t xml:space="preserve">"Járásokat összekötő humán kapacitások fejlesztése térségi szemléletben" c. projekt (EFOP-3.9.2-16-2017-00057) </t>
  </si>
  <si>
    <t>"Egy fedél alatt" projekt (EFOP-2.1.2-16-2018-00075)</t>
  </si>
  <si>
    <t xml:space="preserve">"Kulturával az oktatás színesítéséért" c. projekt (EFOP-3.3.2-16-2016-00284) </t>
  </si>
  <si>
    <t>Tervezett tartalékok</t>
  </si>
  <si>
    <t>Vis maior tartalék (működési)</t>
  </si>
  <si>
    <t>Céltartalék (működési)</t>
  </si>
  <si>
    <t>Környezetvédelmi alap a 2020. évre tervezett talajterhelési díj bevételből</t>
  </si>
  <si>
    <t>Elektronikus közbeszerzési eljárás során fizetendő rendszerhasználati díj (5 projektekben nem elszámolható ktg. 40.000 Ft/projekt)</t>
  </si>
  <si>
    <t>Általános tartalék (működési)</t>
  </si>
  <si>
    <t xml:space="preserve">Általános tartalék </t>
  </si>
  <si>
    <t>Működési tartalékok összesen (I.):</t>
  </si>
  <si>
    <t>Céltartalék (felhalmozási)</t>
  </si>
  <si>
    <t>Felhalmozási tartalékok összesen (II.):</t>
  </si>
  <si>
    <t>Tartalékok mindösszesen (I.+II.)</t>
  </si>
  <si>
    <t>Koronavírus-járvány okozta veszélyhelyzet kezelése</t>
  </si>
  <si>
    <t>Konzorciumi tagok pénzátadása</t>
  </si>
  <si>
    <t>Fordított Áfa befizetés 2020. év (elszámolható)</t>
  </si>
  <si>
    <t>Tartalék (elszámolható)</t>
  </si>
  <si>
    <t>Ellátási díjak (szoc. alapszolg., ált. isk. étkezés)</t>
  </si>
  <si>
    <t>Telep. önk-ok egyes szoc. és gyerm. jóléti fel.tám.</t>
  </si>
  <si>
    <t>2019. évi Szüreti Napokkal kapcs. szolgáltatási bevétel</t>
  </si>
  <si>
    <t>Imre Z. Műv. Közp. épületfelújítás tervezésének tám.</t>
  </si>
  <si>
    <t>Eü-i dolgozók egyszeri rendkívüli juttatása</t>
  </si>
  <si>
    <t>Szociális étkeztetés, házi segítségnyújtás önk-i munkavégzése feltételei biztosításához eszközbeszerzések</t>
  </si>
  <si>
    <t>Alaptevékenység maradványából képzett tartalék</t>
  </si>
  <si>
    <t>Kistérségi szélessávú internet hálózat ért. maradványából képzett tartalék</t>
  </si>
  <si>
    <t>Alaptev. maradványából képzett tartalék</t>
  </si>
  <si>
    <t>S</t>
  </si>
  <si>
    <t>R</t>
  </si>
  <si>
    <t>Önkormányzatok elszámolásai a központi költségvetéssel</t>
  </si>
  <si>
    <t>Kistérs. szélessávú internet ért. maradványából képzett tartalék</t>
  </si>
  <si>
    <t>018010</t>
  </si>
  <si>
    <t>018030</t>
  </si>
  <si>
    <t>Támogatási célú finanszírozási műveletek</t>
  </si>
  <si>
    <t>43</t>
  </si>
  <si>
    <t xml:space="preserve">EFOP-3.2.9-16-2016-00044 "Segítsd, hogy segíthessen!" c. projekt </t>
  </si>
  <si>
    <t>Nyári diákmunka program</t>
  </si>
  <si>
    <t>44</t>
  </si>
  <si>
    <t>Vállalkozási maradvány igénybevétele</t>
  </si>
  <si>
    <t>Nyári diákmunka program támogatása</t>
  </si>
  <si>
    <t>Nyitnikék Gyerekház maradvány igénybevétel</t>
  </si>
  <si>
    <t>EFOP 3.2.9-16-2016-00044 pr.Működési célú maradvány igénybevétele</t>
  </si>
  <si>
    <t>NYÁRI DIÁKMUNKÁSOK LÉTSZÁMA ÖSSZESEN:</t>
  </si>
  <si>
    <t>Hosszabb időtartamú közfoglalkoztatás (2020. június 1-től indult program 2020.11.30-ig)</t>
  </si>
  <si>
    <t xml:space="preserve">10 fő álláskereső közfoglalkoztatása </t>
  </si>
  <si>
    <t>Szociális alapellátás</t>
  </si>
  <si>
    <t>- Szociális étkeztetési vezető</t>
  </si>
  <si>
    <t>- Házi segítségnyújtásban gondozónő</t>
  </si>
  <si>
    <t>Meglévő számítógépek fejlesztése</t>
  </si>
  <si>
    <t>Polgármesteri Hivatal  összesen:</t>
  </si>
  <si>
    <t>Kerékpártárolók felújítása és hozzá tartozó kerítésfelújítás ( Radnóti utcai óvoda)</t>
  </si>
  <si>
    <t>Szélessávú internet hálózat értékesítése kapcsán JKT-tól átvett pénzeszköz tartaléka</t>
  </si>
  <si>
    <t>2019. évi alaptevékenység maradványából tartalék képzés</t>
  </si>
  <si>
    <t>2019. évi maradványt terhelő kötelezettségek</t>
  </si>
  <si>
    <t>Ingatlanértékesítés bevétel kiesésének kompenzálása</t>
  </si>
  <si>
    <t>Környezetvédelmi alap (előző évek maradványa)</t>
  </si>
  <si>
    <t>Környezetvédelmi alap összesen:</t>
  </si>
  <si>
    <t>Elektronikus közbeszerzési eljárás során fizetendő rendszerhasználati díj összesen:</t>
  </si>
  <si>
    <t>Szélessávú internet hálózat értékesítése kapcsán JKT-tól átvett pénzeszköz</t>
  </si>
  <si>
    <t>EFOP-1.5.3-16-2017-00082 "Együtt vagyunk, otthon vagyunk és itt maradunk" projekt - 3 fő többletfeladat ellátása</t>
  </si>
  <si>
    <t>Egyéb működési bevétel</t>
  </si>
  <si>
    <t>VP6-7.2.7.4.1.1. "Művésztelep energetikai felújítása" pályázat utófinanszírozás</t>
  </si>
  <si>
    <t>TOP-2.1.3-16-BK1-2017-00010 "Jh. belvíz elvezetés I." pr.  támogatása</t>
  </si>
  <si>
    <t>Jánoshalma Városi Önkormányzat 2020. évi költségvetésében tervezett köponti költségvetési támogatások</t>
  </si>
  <si>
    <t>a Magyarország 2020. évi központi költségvetéséről szóló 2019. évi LXXI. törvény 2. sz. és 3. sz. mellékletének jogcímei szerint</t>
  </si>
  <si>
    <t>Jogcím</t>
  </si>
  <si>
    <t>Gyermeklánc Óvoda és Egységes Óvoda-Bölcsőde, Család- és Gyermekjóléti Központ</t>
  </si>
  <si>
    <t>Mindösszesen</t>
  </si>
  <si>
    <t>Ell.szám</t>
  </si>
  <si>
    <t>száma</t>
  </si>
  <si>
    <t>megnevezése</t>
  </si>
  <si>
    <t>mutató</t>
  </si>
  <si>
    <t>fajlagos Ft</t>
  </si>
  <si>
    <t>összeg Ft</t>
  </si>
  <si>
    <t>mutató    (8 hó)</t>
  </si>
  <si>
    <t xml:space="preserve">fajlagos Ft </t>
  </si>
  <si>
    <t>mutató   (4 hó)</t>
  </si>
  <si>
    <t>összeg  Ft</t>
  </si>
  <si>
    <t xml:space="preserve">Helyi önkormányzatok működésének általános támogatása </t>
  </si>
  <si>
    <t>2.mell. I.</t>
  </si>
  <si>
    <t>I.1.a</t>
  </si>
  <si>
    <t>I.1.b</t>
  </si>
  <si>
    <t>Településüzemeltetéshez kapcsolódó feladatellátás alaptámogatása</t>
  </si>
  <si>
    <t>I.1.ba</t>
  </si>
  <si>
    <t>A zöldterület-gazdálkodással kapcsolatos feladatok ellátásának alaptámogatása</t>
  </si>
  <si>
    <t>I.1.bb</t>
  </si>
  <si>
    <t>Közvilágítás fenntartásának alaptámogatása</t>
  </si>
  <si>
    <t>I.1.bc</t>
  </si>
  <si>
    <t>Köztemető-fenntartással kapcsolatos feladatok alaptámogatása</t>
  </si>
  <si>
    <t>I.1.bd</t>
  </si>
  <si>
    <t>Közutak fenntartásának alaptámogatása</t>
  </si>
  <si>
    <t>I.1.c</t>
  </si>
  <si>
    <t>Egyéb önkormányzati feladatok támogatása (beszámítás után)</t>
  </si>
  <si>
    <t>I.1.d</t>
  </si>
  <si>
    <t>Lakott külterülettel kapcsolatos feladatok támogatása</t>
  </si>
  <si>
    <t>I.5.</t>
  </si>
  <si>
    <t>Polgármesteri illetmény támogatása</t>
  </si>
  <si>
    <t>3.mell. I.</t>
  </si>
  <si>
    <t xml:space="preserve">11. </t>
  </si>
  <si>
    <t>A költségvetési szerveknél foglalkoztatottak 2019. évi áthúzódó és 2020. évi kompenzációja</t>
  </si>
  <si>
    <t>A települési önkormányzatok egyes köznevelési feladatainak támogatása</t>
  </si>
  <si>
    <t>2.mell. II.</t>
  </si>
  <si>
    <t>II.1</t>
  </si>
  <si>
    <t>Óvodapedagógusok, és az óvodapedagógusok nevelő munkáját közvetlenül segítők bértámogatása</t>
  </si>
  <si>
    <t>II.1 (1)1,2</t>
  </si>
  <si>
    <t>Óvodapedagógusok bértámogatása</t>
  </si>
  <si>
    <t>II.1 (2)1,2</t>
  </si>
  <si>
    <t>Pedagógus szakképzettséggel nem rendelkező, óvodapedagógusok nevelő munkáját közvetlenül segítők bértámogatása</t>
  </si>
  <si>
    <t>II.2</t>
  </si>
  <si>
    <t>II.4</t>
  </si>
  <si>
    <t xml:space="preserve">II.4 a (1) </t>
  </si>
  <si>
    <t>Alapfokú végzettségű pedagógus II. kategóriába sorolt óvodapedagógusok kiegészítő támogatása, akik a minősítést a 2020. január 1-jei átsorolással szerezték meg</t>
  </si>
  <si>
    <t xml:space="preserve">II.4 a (2) </t>
  </si>
  <si>
    <t>Alapfokú végzettségű mesterpedagógus kategóriába sorolt óvodapedagógusok kiegészítő támogatása, akik a minősítést 2019.01.01-ig szerezték meg</t>
  </si>
  <si>
    <t>Alapfokú végzettségű mesterpedagógus kategóriába sorolt óvodapedagógusok kiegészítő támogatása, akik a minősítést a 2020. január 1-jei átsorolással szerezték meg</t>
  </si>
  <si>
    <t>Települési önkormányzatok egyes szociális és gyermekjóléti feladatainak támogatása</t>
  </si>
  <si>
    <t>2.mell. III.</t>
  </si>
  <si>
    <t>III.1</t>
  </si>
  <si>
    <t>A települési önkormányzatok szociális feladatainak egyéb támogatása</t>
  </si>
  <si>
    <t>III.2</t>
  </si>
  <si>
    <t>Egyes szociális és gyermekjóléti feladatok támogatása</t>
  </si>
  <si>
    <t xml:space="preserve">III.2.a </t>
  </si>
  <si>
    <t>Család- és gyermekjóléti szolgálat</t>
  </si>
  <si>
    <t>III.2.b</t>
  </si>
  <si>
    <t>Család- és gyermekjóléti központ</t>
  </si>
  <si>
    <t>III.2.c</t>
  </si>
  <si>
    <t>III.2.d-db)</t>
  </si>
  <si>
    <t>Házi segítségnyújtás - személyi gondozás</t>
  </si>
  <si>
    <t>III.2.n</t>
  </si>
  <si>
    <t xml:space="preserve">III.3. </t>
  </si>
  <si>
    <t>Bölcsőde, minibölcsőde támogatása</t>
  </si>
  <si>
    <t>III.3. a (1)</t>
  </si>
  <si>
    <t>Felsőfokú végzettségű kisgyermeknevelők, szaktanácsadók bértámogatása</t>
  </si>
  <si>
    <t>III.3. a (2)</t>
  </si>
  <si>
    <t>Bölcsődei dajkák, középfokú végzettségű kisgyermeknevelők, szaktanácsadók bértámogatása</t>
  </si>
  <si>
    <t>Bölcsődében foglalkoztatott kisgyermeknevelők, dajkák és szaktanácsadók 2020. évi illetményéhez kapcsolódó bölcsődei kiegészítő támogatás</t>
  </si>
  <si>
    <t>III.3.b</t>
  </si>
  <si>
    <t>Bölcsőde üzemeltetési támogatás</t>
  </si>
  <si>
    <t>12.</t>
  </si>
  <si>
    <t>Szociális ágazati összevont pótlék és egészségügyi kiegészítő pótlék</t>
  </si>
  <si>
    <t>Települési önkormányzatok gyermekétkeztetési feladatainak támogatása</t>
  </si>
  <si>
    <t>III.5</t>
  </si>
  <si>
    <t>Gyermekétkeztetés támogatása</t>
  </si>
  <si>
    <t>III.5.aa</t>
  </si>
  <si>
    <t>Étkeztetési feladatot ellátók után járó bértámogatás</t>
  </si>
  <si>
    <t>III.5.ab</t>
  </si>
  <si>
    <t>Gyermekétkeztetés üzemeltetési támogatása</t>
  </si>
  <si>
    <t>III.5.b</t>
  </si>
  <si>
    <t>A rászoruló gyermekek szünidei étkeztetésének támogatása</t>
  </si>
  <si>
    <t>2.mell. IV.</t>
  </si>
  <si>
    <t>IV.b</t>
  </si>
  <si>
    <t>Települési önkormányzatok nyilvános könyvtári és közművelődési feladatainak támogatása</t>
  </si>
  <si>
    <t>14.</t>
  </si>
  <si>
    <t>Kulturális illetménypótlék</t>
  </si>
  <si>
    <t>xxx</t>
  </si>
  <si>
    <t>Központi költségvetési támogatások mindösszesen:</t>
  </si>
  <si>
    <t>Elektronikus közbeszerzési eljárás során fizetendő rendszerhasználati díj TOP-1.1.3-16-BK1-2017-00007 "Agrárlogisztikai Központ építése Jánoshalmán" projekthez kapcsolódóan 3 x 40.000 Ft</t>
  </si>
  <si>
    <t>Elektronikus közbeszerzési eljárás során fizetendő rendszerhasználati díj TOP-1.1.2-16-BK1-2017-00005 "Jánoshalma térségi szerepének erősítése a mezőgazdaságban" projekthez kapcsolódóan  40.000 Ft</t>
  </si>
  <si>
    <t xml:space="preserve">Hosszabb időtartamú közfoglalkoztatás (2020.03.01-2021.02.28.) - kisértékű tárgyi eszköz beszerzés </t>
  </si>
  <si>
    <t>Önkormányzati bérlakásokhoz kapcsolódó eszközbeszerzések (Magyar L. u. 19. bojler beszerzés)</t>
  </si>
  <si>
    <t>Járdaépítés (Kapocs utca)</t>
  </si>
  <si>
    <t xml:space="preserve">Önkormányzati igazgatási feladathoz kapcsolódó eszközbeszerzések </t>
  </si>
  <si>
    <t>Informatikai eszközök beszerzése (USB pendrive, USB igazolvány olvasó, egér stb.)</t>
  </si>
  <si>
    <t>Ajtó kialakítás a Polgármesteri Hivatalban (szerverszoba leválasztása, Rack szekrény külön helyiségben történő elhelyezése)</t>
  </si>
  <si>
    <t>A koronavírus második hulláma elleni védekezéshez plexi védőfalak elhelyezése</t>
  </si>
  <si>
    <t>Könyvtári érdekeltségnövelő támogatás felhasználása kapcsán beszerzett könyvek</t>
  </si>
  <si>
    <t>Alapfokú végzettségű pedagógus II. kategóriába sorolt óvodapedagógusok kiegészítő támogatása, akik a minősítést 2019.01.01-ig szerezték meg</t>
  </si>
  <si>
    <t>13.d</t>
  </si>
  <si>
    <t>Települési önkormányzatok könyvtári célú érdekeltségnövelő támogatása</t>
  </si>
  <si>
    <t xml:space="preserve">101/2020.(VIII.28.) Kt. hat.  Imre Z. Műv. Központ és Könyvtár épület felújítás-  pály. felújítási önerő </t>
  </si>
  <si>
    <t>Polgármesteri Hivatal épületének felújítása kapcsán irodabútorok, szőnyeg, egyéb lakberendezési tárgyak vásárlása</t>
  </si>
  <si>
    <t>Önk-i feladatellátást szolg. fejlesztések támogatása (járdaépítés)</t>
  </si>
  <si>
    <t>VP6-19.2.1-32-2-17kódsz."Kulturális értékmegőrző rendezvények tám. " 2019.évi rend.</t>
  </si>
  <si>
    <t>Hosszabb időtartamú közfoglalkoztatás (2020.november 1-től induló program 2020.12.31-ig)</t>
  </si>
  <si>
    <t xml:space="preserve">7 fő álláskereső közfoglalkoztatása </t>
  </si>
  <si>
    <t>Önk-i feladatellátást szolg.fejlesztések támogatásából - belterületi járdák felújítása (Jókai M., Rákóczi F., Kélesi, Téglagyár utcák)</t>
  </si>
  <si>
    <t>Csapadékcsatorna felújítás (betoncsövek vásárlása)</t>
  </si>
  <si>
    <t>24. Egészségügyi ellátás</t>
  </si>
  <si>
    <t>Rendkívüli települési támogatás</t>
  </si>
  <si>
    <t>3.mell. II.</t>
  </si>
  <si>
    <t>2.</t>
  </si>
  <si>
    <t>Önkormányzati feladatellátást szolgáló fejlesztések - járda felújítás</t>
  </si>
  <si>
    <t>Óvodai nevelés eszközbeszerzései (udvari játékok, sportszerek, óvodai ágyak, ágytároló szekrény, kuka, porszívó, takarítógép, létra, tárolószekrények, egyéb eszköz beszerzés)</t>
  </si>
  <si>
    <t>1. melléklet a 14/2020.(X.30.) önkormányzati rendelethez</t>
  </si>
  <si>
    <t>2. melléklet a 14/2020.(X.30.) önkormányzati rendelethez</t>
  </si>
  <si>
    <t>3. melléklet a 14/2020.(X.30.) önkormányzati rendelethez</t>
  </si>
  <si>
    <t>4. melléklet a 14/2020.(X.30.) önkormányzati rendelethez</t>
  </si>
  <si>
    <t>5. melléklet a 14/2020.(X.30.) önkormányzati rendelethez</t>
  </si>
  <si>
    <t>6. melléklet a 14/2020.(X.30.) önkormányzati rendelethez</t>
  </si>
  <si>
    <t>7. melléklet a 14/2020.(X.30.) önkormányzati rendelethez</t>
  </si>
  <si>
    <t>8. melléklet a 14/2020. (X.30.) önkormányzati rendelethez</t>
  </si>
  <si>
    <t>9. melléklet a 14/2020.(X.30.) önkormányzati rendelethez</t>
  </si>
  <si>
    <t>10. melléklet a 14/2020.(X.30.) önkormányzati rendelethez</t>
  </si>
  <si>
    <t>11. melléklet a 14/2020. (X.30.) önkormányzati rendelethez</t>
  </si>
  <si>
    <t>12. melléklet a 14/2020. (X.30.) önkormányzati rendelethez</t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</si>
</sst>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Ft&quot;"/>
    <numFmt numFmtId="167" formatCode="0.0"/>
    <numFmt numFmtId="168" formatCode="#,##0.0\ &quot;Ft&quot;"/>
    <numFmt numFmtId="169" formatCode="#,##0.0\ _F_t"/>
    <numFmt numFmtId="170" formatCode="#,##0\ _F_t"/>
    <numFmt numFmtId="171" formatCode="#,##0.0"/>
    <numFmt numFmtId="172" formatCode="yyyy/\ mmmm\ d\."/>
    <numFmt numFmtId="173" formatCode="mmm/yyyy"/>
    <numFmt numFmtId="174" formatCode="[$-40E]yyyy\.\ mmmm\ d\."/>
    <numFmt numFmtId="175" formatCode="&quot;H-&quot;0000"/>
    <numFmt numFmtId="176" formatCode="0.0000"/>
    <numFmt numFmtId="177" formatCode="#,##0.0000"/>
    <numFmt numFmtId="178" formatCode="#,##0.00000"/>
    <numFmt numFmtId="179" formatCode="&quot;Igen&quot;;&quot;Igen&quot;;&quot;Nem&quot;"/>
    <numFmt numFmtId="180" formatCode="&quot;Igaz&quot;;&quot;Igaz&quot;;&quot;Hamis&quot;"/>
    <numFmt numFmtId="181" formatCode="&quot;Be&quot;;&quot;Be&quot;;&quot;Ki&quot;"/>
    <numFmt numFmtId="182" formatCode="#,##0.00\ [$CHF]"/>
    <numFmt numFmtId="183" formatCode="#,##0.00\ &quot;Ft&quot;"/>
    <numFmt numFmtId="184" formatCode="#,##0_ ;\-#,##0\ "/>
    <numFmt numFmtId="185" formatCode="_-* #,##0.000\ _F_t_-;\-* #,##0.000\ _F_t_-;_-* &quot;-&quot;??\ _F_t_-;_-@_-"/>
    <numFmt numFmtId="186" formatCode="_-* #,##0.0\ _F_t_-;\-* #,##0.0\ _F_t_-;_-* &quot;-&quot;??\ _F_t_-;_-@_-"/>
    <numFmt numFmtId="187" formatCode="_-* #,##0\ _F_t_-;\-* #,##0\ _F_t_-;_-* &quot;-&quot;??\ _F_t_-;_-@_-"/>
    <numFmt numFmtId="188" formatCode="[$€-2]\ #\ ##,000_);[Red]\([$€-2]\ #\ ##,000\)"/>
    <numFmt numFmtId="189" formatCode="#,##0\ [$CHF]"/>
    <numFmt numFmtId="190" formatCode="0.0000000%"/>
    <numFmt numFmtId="191" formatCode="0.000000%"/>
    <numFmt numFmtId="192" formatCode="[$¥€-2]\ #\ ##,000_);[Red]\([$€-2]\ #\ ##,000\)"/>
  </numFmts>
  <fonts count="120">
    <font>
      <sz val="10"/>
      <name val="Arial CE"/>
      <family val="0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i/>
      <sz val="11"/>
      <name val="Times New Roman CE"/>
      <family val="1"/>
    </font>
    <font>
      <u val="single"/>
      <sz val="11"/>
      <color indexed="12"/>
      <name val="Arial CE"/>
      <family val="0"/>
    </font>
    <font>
      <u val="single"/>
      <sz val="11"/>
      <color indexed="36"/>
      <name val="Arial CE"/>
      <family val="0"/>
    </font>
    <font>
      <b/>
      <sz val="9"/>
      <name val="Times New Roman CE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10"/>
      <name val="Times New Roman CE"/>
      <family val="1"/>
    </font>
    <font>
      <b/>
      <sz val="11"/>
      <color indexed="60"/>
      <name val="Times New Roman"/>
      <family val="1"/>
    </font>
    <font>
      <b/>
      <i/>
      <sz val="11"/>
      <color indexed="60"/>
      <name val="Times New Roman"/>
      <family val="1"/>
    </font>
    <font>
      <b/>
      <sz val="12"/>
      <color indexed="60"/>
      <name val="Times New Roman"/>
      <family val="1"/>
    </font>
    <font>
      <sz val="11"/>
      <color indexed="60"/>
      <name val="Times New Roman"/>
      <family val="1"/>
    </font>
    <font>
      <b/>
      <sz val="10"/>
      <color indexed="56"/>
      <name val="Times New Roman"/>
      <family val="1"/>
    </font>
    <font>
      <b/>
      <i/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b/>
      <sz val="10"/>
      <color indexed="60"/>
      <name val="Times New Roman"/>
      <family val="1"/>
    </font>
    <font>
      <sz val="8"/>
      <name val="Arial CE"/>
      <family val="0"/>
    </font>
    <font>
      <sz val="11"/>
      <name val="Arial CE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color indexed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0"/>
      <color indexed="30"/>
      <name val="Times New Roman"/>
      <family val="1"/>
    </font>
    <font>
      <sz val="10"/>
      <color indexed="30"/>
      <name val="Times New Roman"/>
      <family val="1"/>
    </font>
    <font>
      <sz val="8"/>
      <color indexed="30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b/>
      <i/>
      <sz val="7"/>
      <name val="Times New Roman"/>
      <family val="1"/>
    </font>
    <font>
      <i/>
      <sz val="9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2"/>
      <name val="Times New Roman"/>
      <family val="1"/>
    </font>
    <font>
      <i/>
      <sz val="10"/>
      <color indexed="62"/>
      <name val="Times New Roman"/>
      <family val="1"/>
    </font>
    <font>
      <b/>
      <sz val="12"/>
      <name val="Times New Roman CE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9"/>
      <name val="Arial CE"/>
      <family val="0"/>
    </font>
    <font>
      <i/>
      <sz val="11"/>
      <name val="Times New Roman"/>
      <family val="1"/>
    </font>
    <font>
      <b/>
      <sz val="10"/>
      <name val="Arial CE"/>
      <family val="2"/>
    </font>
    <font>
      <sz val="8"/>
      <name val="Times New Roman CE"/>
      <family val="1"/>
    </font>
    <font>
      <b/>
      <sz val="12"/>
      <name val="Arial CE"/>
      <family val="2"/>
    </font>
    <font>
      <b/>
      <sz val="9"/>
      <name val="Arial CE"/>
      <family val="2"/>
    </font>
    <font>
      <b/>
      <sz val="9"/>
      <name val="Arial"/>
      <family val="2"/>
    </font>
    <font>
      <b/>
      <sz val="11"/>
      <name val="Arial CE"/>
      <family val="2"/>
    </font>
    <font>
      <b/>
      <sz val="13"/>
      <name val="Arial CE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40"/>
      <name val="Times New Roman"/>
      <family val="1"/>
    </font>
    <font>
      <b/>
      <sz val="12"/>
      <color indexed="30"/>
      <name val="Times New Roman"/>
      <family val="1"/>
    </font>
    <font>
      <b/>
      <i/>
      <sz val="10"/>
      <color indexed="40"/>
      <name val="Times New Roman"/>
      <family val="1"/>
    </font>
    <font>
      <i/>
      <sz val="10"/>
      <color indexed="40"/>
      <name val="Times New Roman"/>
      <family val="1"/>
    </font>
    <font>
      <sz val="10"/>
      <color indexed="40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rgb="FF00B0F0"/>
      <name val="Times New Roman"/>
      <family val="1"/>
    </font>
    <font>
      <b/>
      <sz val="10"/>
      <color rgb="FF0070C0"/>
      <name val="Times New Roman"/>
      <family val="1"/>
    </font>
    <font>
      <b/>
      <sz val="12"/>
      <color rgb="FF0070C0"/>
      <name val="Times New Roman"/>
      <family val="1"/>
    </font>
    <font>
      <b/>
      <i/>
      <sz val="10"/>
      <color rgb="FF00B0F0"/>
      <name val="Times New Roman"/>
      <family val="1"/>
    </font>
    <font>
      <i/>
      <sz val="10"/>
      <color rgb="FF00B0F0"/>
      <name val="Times New Roman"/>
      <family val="1"/>
    </font>
    <font>
      <sz val="10"/>
      <color rgb="FF00B0F0"/>
      <name val="Times New Roman"/>
      <family val="1"/>
    </font>
    <font>
      <sz val="11"/>
      <color rgb="FFFF0000"/>
      <name val="Times New Roman"/>
      <family val="1"/>
    </font>
    <font>
      <b/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n"/>
      <right style="thick"/>
      <top style="medium"/>
      <bottom style="thick"/>
    </border>
    <border>
      <left style="medium"/>
      <right>
        <color indexed="63"/>
      </right>
      <top style="medium"/>
      <bottom style="thick"/>
    </border>
    <border>
      <left style="medium"/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 style="medium"/>
      <bottom style="thick"/>
    </border>
    <border>
      <left style="thick"/>
      <right>
        <color indexed="63"/>
      </right>
      <top style="medium"/>
      <bottom style="thick"/>
    </border>
    <border>
      <left style="medium"/>
      <right style="thick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n"/>
      <top style="medium"/>
      <bottom style="medium"/>
    </border>
    <border>
      <left style="thick"/>
      <right style="thin"/>
      <top style="medium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ck"/>
    </border>
    <border>
      <left style="thin"/>
      <right style="medium"/>
      <top style="medium"/>
      <bottom style="thick"/>
    </border>
    <border>
      <left style="medium"/>
      <right style="thick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medium"/>
      <right style="medium"/>
      <top style="thin"/>
      <bottom style="thick"/>
    </border>
    <border>
      <left/>
      <right style="medium"/>
      <top style="thin"/>
      <bottom style="thick"/>
    </border>
    <border>
      <left style="medium"/>
      <right style="medium"/>
      <top style="thick"/>
      <bottom style="medium"/>
    </border>
    <border>
      <left style="medium"/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ck"/>
    </border>
    <border>
      <left/>
      <right style="medium"/>
      <top style="thick"/>
      <bottom style="medium"/>
    </border>
    <border>
      <left style="thick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ck"/>
    </border>
    <border>
      <left style="medium"/>
      <right style="thick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medium"/>
    </border>
    <border>
      <left/>
      <right style="medium"/>
      <top style="thick"/>
      <bottom style="thick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/>
      <top style="thick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0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7" fillId="19" borderId="1" applyNumberFormat="0" applyAlignment="0" applyProtection="0"/>
    <xf numFmtId="0" fontId="98" fillId="0" borderId="0" applyNumberFormat="0" applyFill="0" applyBorder="0" applyAlignment="0" applyProtection="0"/>
    <xf numFmtId="0" fontId="99" fillId="0" borderId="2" applyNumberFormat="0" applyFill="0" applyAlignment="0" applyProtection="0"/>
    <xf numFmtId="0" fontId="100" fillId="0" borderId="3" applyNumberFormat="0" applyFill="0" applyAlignment="0" applyProtection="0"/>
    <xf numFmtId="0" fontId="101" fillId="0" borderId="4" applyNumberFormat="0" applyFill="0" applyAlignment="0" applyProtection="0"/>
    <xf numFmtId="0" fontId="101" fillId="0" borderId="0" applyNumberFormat="0" applyFill="0" applyBorder="0" applyAlignment="0" applyProtection="0"/>
    <xf numFmtId="0" fontId="102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6" applyNumberFormat="0" applyFill="0" applyAlignment="0" applyProtection="0"/>
    <xf numFmtId="0" fontId="0" fillId="21" borderId="7" applyNumberFormat="0" applyFont="0" applyAlignment="0" applyProtection="0"/>
    <xf numFmtId="0" fontId="96" fillId="22" borderId="0" applyNumberFormat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6" fillId="26" borderId="0" applyNumberFormat="0" applyBorder="0" applyAlignment="0" applyProtection="0"/>
    <xf numFmtId="0" fontId="96" fillId="27" borderId="0" applyNumberFormat="0" applyBorder="0" applyAlignment="0" applyProtection="0"/>
    <xf numFmtId="0" fontId="105" fillId="28" borderId="0" applyNumberFormat="0" applyBorder="0" applyAlignment="0" applyProtection="0"/>
    <xf numFmtId="0" fontId="106" fillId="29" borderId="8" applyNumberFormat="0" applyAlignment="0" applyProtection="0"/>
    <xf numFmtId="0" fontId="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0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9" fillId="30" borderId="0" applyNumberFormat="0" applyBorder="0" applyAlignment="0" applyProtection="0"/>
    <xf numFmtId="0" fontId="110" fillId="31" borderId="0" applyNumberFormat="0" applyBorder="0" applyAlignment="0" applyProtection="0"/>
    <xf numFmtId="0" fontId="111" fillId="29" borderId="1" applyNumberFormat="0" applyAlignment="0" applyProtection="0"/>
    <xf numFmtId="9" fontId="0" fillId="0" borderId="0" applyFont="0" applyFill="0" applyBorder="0" applyAlignment="0" applyProtection="0"/>
  </cellStyleXfs>
  <cellXfs count="1323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left" vertical="center"/>
    </xf>
    <xf numFmtId="3" fontId="4" fillId="0" borderId="12" xfId="0" applyNumberFormat="1" applyFont="1" applyFill="1" applyBorder="1" applyAlignment="1">
      <alignment horizontal="left" vertical="center"/>
    </xf>
    <xf numFmtId="3" fontId="3" fillId="0" borderId="13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vertical="center"/>
    </xf>
    <xf numFmtId="0" fontId="11" fillId="0" borderId="0" xfId="57" applyFont="1">
      <alignment/>
      <protection/>
    </xf>
    <xf numFmtId="0" fontId="10" fillId="0" borderId="0" xfId="57" applyFont="1" applyAlignment="1">
      <alignment vertical="center"/>
      <protection/>
    </xf>
    <xf numFmtId="0" fontId="12" fillId="0" borderId="21" xfId="57" applyFont="1" applyBorder="1" applyAlignment="1">
      <alignment horizontal="center" vertical="center" wrapText="1"/>
      <protection/>
    </xf>
    <xf numFmtId="0" fontId="14" fillId="0" borderId="21" xfId="57" applyFont="1" applyBorder="1" applyAlignment="1">
      <alignment horizontal="center" vertical="center" wrapText="1"/>
      <protection/>
    </xf>
    <xf numFmtId="0" fontId="14" fillId="0" borderId="0" xfId="57" applyFont="1" applyAlignment="1">
      <alignment horizontal="center" vertical="center" wrapText="1"/>
      <protection/>
    </xf>
    <xf numFmtId="0" fontId="14" fillId="0" borderId="0" xfId="57" applyFont="1">
      <alignment/>
      <protection/>
    </xf>
    <xf numFmtId="0" fontId="13" fillId="0" borderId="21" xfId="57" applyFont="1" applyBorder="1">
      <alignment/>
      <protection/>
    </xf>
    <xf numFmtId="0" fontId="13" fillId="0" borderId="0" xfId="57" applyFont="1">
      <alignment/>
      <protection/>
    </xf>
    <xf numFmtId="0" fontId="16" fillId="0" borderId="0" xfId="57" applyFont="1">
      <alignment/>
      <protection/>
    </xf>
    <xf numFmtId="0" fontId="17" fillId="0" borderId="0" xfId="57" applyFont="1">
      <alignment/>
      <protection/>
    </xf>
    <xf numFmtId="0" fontId="16" fillId="0" borderId="21" xfId="57" applyFont="1" applyBorder="1">
      <alignment/>
      <protection/>
    </xf>
    <xf numFmtId="0" fontId="18" fillId="0" borderId="0" xfId="57" applyFont="1">
      <alignment/>
      <protection/>
    </xf>
    <xf numFmtId="0" fontId="13" fillId="0" borderId="0" xfId="57" applyFont="1" applyBorder="1">
      <alignment/>
      <protection/>
    </xf>
    <xf numFmtId="0" fontId="16" fillId="0" borderId="21" xfId="57" applyFont="1" applyBorder="1" applyAlignment="1">
      <alignment horizontal="left" vertical="center" indent="2"/>
      <protection/>
    </xf>
    <xf numFmtId="16" fontId="16" fillId="0" borderId="21" xfId="57" applyNumberFormat="1" applyFont="1" applyBorder="1" applyAlignment="1">
      <alignment horizontal="left" vertical="center" indent="2"/>
      <protection/>
    </xf>
    <xf numFmtId="0" fontId="16" fillId="0" borderId="21" xfId="57" applyFont="1" applyBorder="1" applyAlignment="1">
      <alignment horizontal="left" indent="2"/>
      <protection/>
    </xf>
    <xf numFmtId="3" fontId="14" fillId="0" borderId="21" xfId="42" applyNumberFormat="1" applyFont="1" applyBorder="1" applyAlignment="1">
      <alignment horizontal="right"/>
    </xf>
    <xf numFmtId="3" fontId="13" fillId="0" borderId="21" xfId="42" applyNumberFormat="1" applyFont="1" applyBorder="1" applyAlignment="1">
      <alignment horizontal="right"/>
    </xf>
    <xf numFmtId="3" fontId="16" fillId="0" borderId="21" xfId="42" applyNumberFormat="1" applyFont="1" applyBorder="1" applyAlignment="1">
      <alignment horizontal="right"/>
    </xf>
    <xf numFmtId="0" fontId="24" fillId="0" borderId="21" xfId="57" applyFont="1" applyBorder="1" applyAlignment="1">
      <alignment horizontal="left" vertical="center" wrapText="1"/>
      <protection/>
    </xf>
    <xf numFmtId="0" fontId="24" fillId="0" borderId="0" xfId="57" applyFont="1" applyAlignment="1">
      <alignment horizontal="center" vertical="center" wrapText="1"/>
      <protection/>
    </xf>
    <xf numFmtId="3" fontId="24" fillId="0" borderId="21" xfId="42" applyNumberFormat="1" applyFont="1" applyBorder="1" applyAlignment="1">
      <alignment horizontal="right"/>
    </xf>
    <xf numFmtId="0" fontId="24" fillId="0" borderId="21" xfId="57" applyFont="1" applyBorder="1">
      <alignment/>
      <protection/>
    </xf>
    <xf numFmtId="0" fontId="25" fillId="0" borderId="0" xfId="57" applyFont="1">
      <alignment/>
      <protection/>
    </xf>
    <xf numFmtId="0" fontId="26" fillId="0" borderId="21" xfId="57" applyFont="1" applyBorder="1" applyAlignment="1">
      <alignment horizontal="right"/>
      <protection/>
    </xf>
    <xf numFmtId="0" fontId="27" fillId="0" borderId="0" xfId="57" applyFont="1">
      <alignment/>
      <protection/>
    </xf>
    <xf numFmtId="0" fontId="28" fillId="0" borderId="21" xfId="57" applyFont="1" applyBorder="1" applyAlignment="1">
      <alignment vertical="center"/>
      <protection/>
    </xf>
    <xf numFmtId="3" fontId="28" fillId="0" borderId="21" xfId="42" applyNumberFormat="1" applyFont="1" applyBorder="1" applyAlignment="1">
      <alignment horizontal="right"/>
    </xf>
    <xf numFmtId="0" fontId="28" fillId="0" borderId="21" xfId="57" applyFont="1" applyBorder="1">
      <alignment/>
      <protection/>
    </xf>
    <xf numFmtId="0" fontId="28" fillId="0" borderId="0" xfId="57" applyFont="1">
      <alignment/>
      <protection/>
    </xf>
    <xf numFmtId="0" fontId="28" fillId="0" borderId="21" xfId="57" applyFont="1" applyBorder="1" applyAlignment="1">
      <alignment vertical="center" wrapText="1"/>
      <protection/>
    </xf>
    <xf numFmtId="0" fontId="28" fillId="0" borderId="21" xfId="57" applyFont="1" applyBorder="1" applyAlignment="1">
      <alignment horizontal="left" vertical="center"/>
      <protection/>
    </xf>
    <xf numFmtId="0" fontId="29" fillId="0" borderId="0" xfId="57" applyFont="1">
      <alignment/>
      <protection/>
    </xf>
    <xf numFmtId="0" fontId="28" fillId="0" borderId="21" xfId="57" applyFont="1" applyBorder="1" applyAlignment="1">
      <alignment horizontal="left" vertical="center" wrapText="1"/>
      <protection/>
    </xf>
    <xf numFmtId="0" fontId="30" fillId="0" borderId="0" xfId="57" applyFont="1">
      <alignment/>
      <protection/>
    </xf>
    <xf numFmtId="0" fontId="14" fillId="0" borderId="21" xfId="57" applyFont="1" applyBorder="1" applyAlignment="1">
      <alignment horizontal="left" vertical="center" indent="1"/>
      <protection/>
    </xf>
    <xf numFmtId="0" fontId="14" fillId="0" borderId="21" xfId="57" applyFont="1" applyBorder="1" applyAlignment="1">
      <alignment horizontal="left" indent="1"/>
      <protection/>
    </xf>
    <xf numFmtId="3" fontId="31" fillId="0" borderId="21" xfId="57" applyNumberFormat="1" applyFont="1" applyBorder="1" applyAlignment="1">
      <alignment horizontal="right" vertical="center"/>
      <protection/>
    </xf>
    <xf numFmtId="3" fontId="31" fillId="0" borderId="21" xfId="42" applyNumberFormat="1" applyFont="1" applyBorder="1" applyAlignment="1">
      <alignment horizontal="right"/>
    </xf>
    <xf numFmtId="0" fontId="14" fillId="0" borderId="21" xfId="57" applyFont="1" applyBorder="1" applyAlignment="1">
      <alignment horizontal="left" vertical="top" indent="1"/>
      <protection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21" xfId="57" applyFont="1" applyBorder="1" applyAlignment="1">
      <alignment horizontal="center" vertical="center" wrapText="1"/>
      <protection/>
    </xf>
    <xf numFmtId="0" fontId="15" fillId="0" borderId="0" xfId="57" applyFont="1" applyAlignment="1">
      <alignment horizontal="center" vertical="center" wrapText="1"/>
      <protection/>
    </xf>
    <xf numFmtId="0" fontId="15" fillId="0" borderId="0" xfId="57" applyFont="1" applyAlignment="1">
      <alignment horizontal="center"/>
      <protection/>
    </xf>
    <xf numFmtId="0" fontId="15" fillId="0" borderId="21" xfId="57" applyFont="1" applyBorder="1" applyAlignment="1">
      <alignment horizontal="center"/>
      <protection/>
    </xf>
    <xf numFmtId="0" fontId="3" fillId="0" borderId="2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3" fillId="0" borderId="17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19" fillId="0" borderId="21" xfId="0" applyFont="1" applyBorder="1" applyAlignment="1">
      <alignment horizontal="center"/>
    </xf>
    <xf numFmtId="0" fontId="19" fillId="32" borderId="21" xfId="0" applyFont="1" applyFill="1" applyBorder="1" applyAlignment="1">
      <alignment/>
    </xf>
    <xf numFmtId="0" fontId="21" fillId="0" borderId="21" xfId="0" applyFont="1" applyBorder="1" applyAlignment="1">
      <alignment/>
    </xf>
    <xf numFmtId="0" fontId="19" fillId="0" borderId="21" xfId="0" applyFont="1" applyFill="1" applyBorder="1" applyAlignment="1">
      <alignment/>
    </xf>
    <xf numFmtId="0" fontId="19" fillId="0" borderId="0" xfId="0" applyFont="1" applyFill="1" applyAlignment="1">
      <alignment/>
    </xf>
    <xf numFmtId="0" fontId="4" fillId="0" borderId="14" xfId="0" applyFont="1" applyFill="1" applyBorder="1" applyAlignment="1">
      <alignment horizontal="left" vertical="center"/>
    </xf>
    <xf numFmtId="3" fontId="12" fillId="0" borderId="21" xfId="57" applyNumberFormat="1" applyFont="1" applyBorder="1" applyAlignment="1">
      <alignment vertical="center"/>
      <protection/>
    </xf>
    <xf numFmtId="0" fontId="19" fillId="32" borderId="21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 wrapText="1"/>
    </xf>
    <xf numFmtId="0" fontId="19" fillId="0" borderId="28" xfId="0" applyFont="1" applyBorder="1" applyAlignment="1">
      <alignment horizontal="center"/>
    </xf>
    <xf numFmtId="0" fontId="21" fillId="0" borderId="28" xfId="0" applyFont="1" applyBorder="1" applyAlignment="1">
      <alignment wrapText="1"/>
    </xf>
    <xf numFmtId="0" fontId="19" fillId="32" borderId="28" xfId="0" applyFont="1" applyFill="1" applyBorder="1" applyAlignment="1">
      <alignment vertical="center" wrapText="1"/>
    </xf>
    <xf numFmtId="49" fontId="21" fillId="0" borderId="28" xfId="0" applyNumberFormat="1" applyFont="1" applyBorder="1" applyAlignment="1">
      <alignment/>
    </xf>
    <xf numFmtId="49" fontId="21" fillId="0" borderId="28" xfId="0" applyNumberFormat="1" applyFont="1" applyBorder="1" applyAlignment="1">
      <alignment wrapText="1"/>
    </xf>
    <xf numFmtId="0" fontId="19" fillId="0" borderId="28" xfId="0" applyFont="1" applyFill="1" applyBorder="1" applyAlignment="1">
      <alignment/>
    </xf>
    <xf numFmtId="49" fontId="22" fillId="0" borderId="28" xfId="0" applyNumberFormat="1" applyFont="1" applyBorder="1" applyAlignment="1">
      <alignment/>
    </xf>
    <xf numFmtId="0" fontId="33" fillId="0" borderId="0" xfId="0" applyFont="1" applyAlignment="1">
      <alignment/>
    </xf>
    <xf numFmtId="0" fontId="21" fillId="0" borderId="21" xfId="0" applyFont="1" applyFill="1" applyBorder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32" borderId="28" xfId="0" applyFont="1" applyFill="1" applyBorder="1" applyAlignment="1">
      <alignment vertical="center"/>
    </xf>
    <xf numFmtId="49" fontId="8" fillId="33" borderId="28" xfId="0" applyNumberFormat="1" applyFont="1" applyFill="1" applyBorder="1" applyAlignment="1">
      <alignment vertical="center" wrapText="1"/>
    </xf>
    <xf numFmtId="0" fontId="8" fillId="33" borderId="21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21" fillId="0" borderId="0" xfId="0" applyFont="1" applyFill="1" applyAlignment="1">
      <alignment/>
    </xf>
    <xf numFmtId="49" fontId="21" fillId="0" borderId="28" xfId="0" applyNumberFormat="1" applyFont="1" applyBorder="1" applyAlignment="1">
      <alignment/>
    </xf>
    <xf numFmtId="0" fontId="19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4" fillId="0" borderId="21" xfId="58" applyFont="1" applyBorder="1">
      <alignment/>
      <protection/>
    </xf>
    <xf numFmtId="0" fontId="34" fillId="0" borderId="14" xfId="58" applyFont="1" applyBorder="1" applyAlignment="1">
      <alignment horizontal="left"/>
      <protection/>
    </xf>
    <xf numFmtId="0" fontId="34" fillId="0" borderId="17" xfId="58" applyFont="1" applyBorder="1" applyAlignment="1">
      <alignment horizontal="left"/>
      <protection/>
    </xf>
    <xf numFmtId="3" fontId="34" fillId="0" borderId="21" xfId="58" applyNumberFormat="1" applyFont="1" applyBorder="1">
      <alignment/>
      <protection/>
    </xf>
    <xf numFmtId="3" fontId="14" fillId="0" borderId="21" xfId="58" applyNumberFormat="1" applyFont="1" applyBorder="1">
      <alignment/>
      <protection/>
    </xf>
    <xf numFmtId="0" fontId="13" fillId="0" borderId="0" xfId="0" applyFont="1" applyAlignment="1">
      <alignment/>
    </xf>
    <xf numFmtId="0" fontId="35" fillId="0" borderId="21" xfId="58" applyFont="1" applyBorder="1">
      <alignment/>
      <protection/>
    </xf>
    <xf numFmtId="3" fontId="35" fillId="0" borderId="21" xfId="58" applyNumberFormat="1" applyFont="1" applyBorder="1">
      <alignment/>
      <protection/>
    </xf>
    <xf numFmtId="0" fontId="36" fillId="0" borderId="0" xfId="0" applyFont="1" applyAlignment="1">
      <alignment/>
    </xf>
    <xf numFmtId="0" fontId="13" fillId="0" borderId="0" xfId="0" applyFont="1" applyFill="1" applyAlignment="1">
      <alignment vertical="center"/>
    </xf>
    <xf numFmtId="0" fontId="34" fillId="0" borderId="0" xfId="58" applyFont="1" applyFill="1" applyAlignment="1">
      <alignment horizontal="center" vertical="center"/>
      <protection/>
    </xf>
    <xf numFmtId="0" fontId="13" fillId="0" borderId="0" xfId="58" applyFont="1" applyFill="1" applyAlignment="1">
      <alignment vertical="center"/>
      <protection/>
    </xf>
    <xf numFmtId="0" fontId="15" fillId="0" borderId="21" xfId="0" applyFont="1" applyFill="1" applyBorder="1" applyAlignment="1">
      <alignment horizontal="center" vertical="center" wrapText="1"/>
    </xf>
    <xf numFmtId="0" fontId="15" fillId="0" borderId="21" xfId="58" applyFont="1" applyFill="1" applyBorder="1" applyAlignment="1">
      <alignment horizontal="center" vertical="center" wrapText="1"/>
      <protection/>
    </xf>
    <xf numFmtId="0" fontId="11" fillId="0" borderId="14" xfId="58" applyFont="1" applyFill="1" applyBorder="1" applyAlignment="1">
      <alignment horizontal="center" vertical="center" wrapText="1"/>
      <protection/>
    </xf>
    <xf numFmtId="0" fontId="11" fillId="0" borderId="21" xfId="58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14" fillId="0" borderId="21" xfId="58" applyFont="1" applyBorder="1">
      <alignment/>
      <protection/>
    </xf>
    <xf numFmtId="3" fontId="39" fillId="0" borderId="21" xfId="58" applyNumberFormat="1" applyFont="1" applyBorder="1">
      <alignment/>
      <protection/>
    </xf>
    <xf numFmtId="0" fontId="40" fillId="0" borderId="21" xfId="58" applyFont="1" applyBorder="1">
      <alignment/>
      <protection/>
    </xf>
    <xf numFmtId="0" fontId="40" fillId="0" borderId="21" xfId="58" applyFont="1" applyBorder="1" applyAlignment="1">
      <alignment horizontal="left"/>
      <protection/>
    </xf>
    <xf numFmtId="3" fontId="40" fillId="0" borderId="21" xfId="58" applyNumberFormat="1" applyFont="1" applyBorder="1">
      <alignment/>
      <protection/>
    </xf>
    <xf numFmtId="0" fontId="13" fillId="0" borderId="21" xfId="58" applyFont="1" applyBorder="1">
      <alignment/>
      <protection/>
    </xf>
    <xf numFmtId="0" fontId="40" fillId="0" borderId="21" xfId="58" applyFont="1" applyBorder="1" applyAlignment="1">
      <alignment horizontal="right"/>
      <protection/>
    </xf>
    <xf numFmtId="0" fontId="40" fillId="0" borderId="14" xfId="58" applyFont="1" applyBorder="1" applyAlignment="1">
      <alignment horizontal="left"/>
      <protection/>
    </xf>
    <xf numFmtId="0" fontId="40" fillId="0" borderId="17" xfId="58" applyFont="1" applyBorder="1" applyAlignment="1">
      <alignment horizontal="left"/>
      <protection/>
    </xf>
    <xf numFmtId="0" fontId="13" fillId="0" borderId="14" xfId="58" applyFont="1" applyBorder="1">
      <alignment/>
      <protection/>
    </xf>
    <xf numFmtId="0" fontId="13" fillId="0" borderId="0" xfId="58" applyFont="1">
      <alignment/>
      <protection/>
    </xf>
    <xf numFmtId="3" fontId="14" fillId="0" borderId="14" xfId="58" applyNumberFormat="1" applyFont="1" applyBorder="1">
      <alignment/>
      <protection/>
    </xf>
    <xf numFmtId="3" fontId="14" fillId="0" borderId="17" xfId="58" applyNumberFormat="1" applyFont="1" applyBorder="1">
      <alignment/>
      <protection/>
    </xf>
    <xf numFmtId="3" fontId="10" fillId="0" borderId="21" xfId="58" applyNumberFormat="1" applyFont="1" applyBorder="1">
      <alignment/>
      <protection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right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41" fillId="0" borderId="21" xfId="0" applyFont="1" applyBorder="1" applyAlignment="1">
      <alignment/>
    </xf>
    <xf numFmtId="3" fontId="41" fillId="0" borderId="21" xfId="0" applyNumberFormat="1" applyFont="1" applyBorder="1" applyAlignment="1">
      <alignment/>
    </xf>
    <xf numFmtId="0" fontId="42" fillId="0" borderId="0" xfId="0" applyFont="1" applyAlignment="1">
      <alignment/>
    </xf>
    <xf numFmtId="0" fontId="34" fillId="0" borderId="21" xfId="0" applyFont="1" applyBorder="1" applyAlignment="1">
      <alignment/>
    </xf>
    <xf numFmtId="3" fontId="34" fillId="0" borderId="21" xfId="0" applyNumberFormat="1" applyFont="1" applyBorder="1" applyAlignment="1">
      <alignment/>
    </xf>
    <xf numFmtId="3" fontId="15" fillId="0" borderId="21" xfId="0" applyNumberFormat="1" applyFont="1" applyBorder="1" applyAlignment="1">
      <alignment/>
    </xf>
    <xf numFmtId="0" fontId="35" fillId="0" borderId="21" xfId="0" applyFont="1" applyBorder="1" applyAlignment="1">
      <alignment/>
    </xf>
    <xf numFmtId="3" fontId="35" fillId="0" borderId="21" xfId="0" applyNumberFormat="1" applyFont="1" applyBorder="1" applyAlignment="1">
      <alignment/>
    </xf>
    <xf numFmtId="3" fontId="39" fillId="0" borderId="21" xfId="0" applyNumberFormat="1" applyFont="1" applyBorder="1" applyAlignment="1">
      <alignment/>
    </xf>
    <xf numFmtId="0" fontId="43" fillId="0" borderId="21" xfId="0" applyFont="1" applyBorder="1" applyAlignment="1">
      <alignment/>
    </xf>
    <xf numFmtId="0" fontId="13" fillId="0" borderId="21" xfId="0" applyFont="1" applyBorder="1" applyAlignment="1">
      <alignment/>
    </xf>
    <xf numFmtId="0" fontId="40" fillId="0" borderId="21" xfId="0" applyFont="1" applyBorder="1" applyAlignment="1">
      <alignment/>
    </xf>
    <xf numFmtId="0" fontId="40" fillId="0" borderId="21" xfId="0" applyFont="1" applyBorder="1" applyAlignment="1">
      <alignment horizontal="left"/>
    </xf>
    <xf numFmtId="3" fontId="40" fillId="0" borderId="21" xfId="0" applyNumberFormat="1" applyFont="1" applyBorder="1" applyAlignment="1">
      <alignment/>
    </xf>
    <xf numFmtId="3" fontId="44" fillId="0" borderId="21" xfId="0" applyNumberFormat="1" applyFont="1" applyBorder="1" applyAlignment="1">
      <alignment/>
    </xf>
    <xf numFmtId="0" fontId="40" fillId="0" borderId="21" xfId="0" applyFont="1" applyFill="1" applyBorder="1" applyAlignment="1">
      <alignment/>
    </xf>
    <xf numFmtId="0" fontId="40" fillId="0" borderId="21" xfId="0" applyFont="1" applyFill="1" applyBorder="1" applyAlignment="1">
      <alignment horizontal="left"/>
    </xf>
    <xf numFmtId="0" fontId="16" fillId="0" borderId="21" xfId="0" applyFont="1" applyBorder="1" applyAlignment="1">
      <alignment/>
    </xf>
    <xf numFmtId="0" fontId="40" fillId="0" borderId="21" xfId="0" applyFont="1" applyBorder="1" applyAlignment="1">
      <alignment horizontal="left" vertical="center" wrapText="1"/>
    </xf>
    <xf numFmtId="3" fontId="40" fillId="34" borderId="21" xfId="0" applyNumberFormat="1" applyFont="1" applyFill="1" applyBorder="1" applyAlignment="1">
      <alignment/>
    </xf>
    <xf numFmtId="0" fontId="40" fillId="0" borderId="21" xfId="0" applyFont="1" applyBorder="1" applyAlignment="1">
      <alignment horizontal="left" vertical="top"/>
    </xf>
    <xf numFmtId="0" fontId="40" fillId="0" borderId="21" xfId="0" applyFont="1" applyBorder="1" applyAlignment="1">
      <alignment horizontal="left" wrapText="1"/>
    </xf>
    <xf numFmtId="3" fontId="40" fillId="0" borderId="30" xfId="0" applyNumberFormat="1" applyFont="1" applyFill="1" applyBorder="1" applyAlignment="1">
      <alignment/>
    </xf>
    <xf numFmtId="0" fontId="45" fillId="0" borderId="21" xfId="0" applyFont="1" applyBorder="1" applyAlignment="1">
      <alignment/>
    </xf>
    <xf numFmtId="3" fontId="45" fillId="0" borderId="21" xfId="0" applyNumberFormat="1" applyFont="1" applyBorder="1" applyAlignment="1">
      <alignment/>
    </xf>
    <xf numFmtId="3" fontId="46" fillId="0" borderId="21" xfId="0" applyNumberFormat="1" applyFont="1" applyBorder="1" applyAlignment="1">
      <alignment/>
    </xf>
    <xf numFmtId="0" fontId="47" fillId="0" borderId="21" xfId="0" applyFont="1" applyBorder="1" applyAlignment="1">
      <alignment/>
    </xf>
    <xf numFmtId="0" fontId="47" fillId="0" borderId="21" xfId="0" applyFont="1" applyBorder="1" applyAlignment="1">
      <alignment horizontal="right"/>
    </xf>
    <xf numFmtId="3" fontId="47" fillId="0" borderId="21" xfId="0" applyNumberFormat="1" applyFont="1" applyBorder="1" applyAlignment="1">
      <alignment/>
    </xf>
    <xf numFmtId="3" fontId="48" fillId="0" borderId="21" xfId="0" applyNumberFormat="1" applyFont="1" applyBorder="1" applyAlignment="1">
      <alignment/>
    </xf>
    <xf numFmtId="0" fontId="16" fillId="0" borderId="0" xfId="0" applyFont="1" applyAlignment="1">
      <alignment/>
    </xf>
    <xf numFmtId="3" fontId="14" fillId="0" borderId="21" xfId="0" applyNumberFormat="1" applyFont="1" applyBorder="1" applyAlignment="1">
      <alignment/>
    </xf>
    <xf numFmtId="3" fontId="13" fillId="0" borderId="21" xfId="0" applyNumberFormat="1" applyFont="1" applyBorder="1" applyAlignment="1">
      <alignment/>
    </xf>
    <xf numFmtId="3" fontId="10" fillId="0" borderId="21" xfId="0" applyNumberFormat="1" applyFont="1" applyBorder="1" applyAlignment="1">
      <alignment/>
    </xf>
    <xf numFmtId="0" fontId="9" fillId="0" borderId="0" xfId="0" applyFont="1" applyAlignment="1">
      <alignment/>
    </xf>
    <xf numFmtId="0" fontId="49" fillId="0" borderId="21" xfId="58" applyFont="1" applyBorder="1" applyAlignment="1">
      <alignment horizontal="left"/>
      <protection/>
    </xf>
    <xf numFmtId="49" fontId="34" fillId="0" borderId="0" xfId="60" applyNumberFormat="1" applyFont="1" applyFill="1" applyAlignment="1">
      <alignment horizontal="center" vertical="center"/>
      <protection/>
    </xf>
    <xf numFmtId="0" fontId="34" fillId="0" borderId="0" xfId="60" applyFont="1" applyFill="1" applyAlignment="1">
      <alignment vertical="center"/>
      <protection/>
    </xf>
    <xf numFmtId="0" fontId="50" fillId="0" borderId="0" xfId="60" applyFont="1" applyFill="1" applyAlignment="1">
      <alignment vertical="center"/>
      <protection/>
    </xf>
    <xf numFmtId="0" fontId="13" fillId="0" borderId="0" xfId="60" applyFont="1" applyFill="1" applyAlignment="1">
      <alignment vertical="center"/>
      <protection/>
    </xf>
    <xf numFmtId="0" fontId="13" fillId="0" borderId="0" xfId="60" applyFont="1" applyFill="1" applyAlignment="1">
      <alignment horizontal="left" vertical="center"/>
      <protection/>
    </xf>
    <xf numFmtId="0" fontId="13" fillId="0" borderId="0" xfId="60" applyFont="1" applyAlignment="1">
      <alignment horizontal="left"/>
      <protection/>
    </xf>
    <xf numFmtId="0" fontId="14" fillId="0" borderId="0" xfId="60" applyFont="1" applyFill="1" applyAlignment="1">
      <alignment vertical="center"/>
      <protection/>
    </xf>
    <xf numFmtId="0" fontId="14" fillId="0" borderId="0" xfId="60" applyFont="1" applyFill="1" applyAlignment="1">
      <alignment horizontal="left" vertical="center"/>
      <protection/>
    </xf>
    <xf numFmtId="0" fontId="35" fillId="0" borderId="31" xfId="60" applyFont="1" applyFill="1" applyBorder="1" applyAlignment="1">
      <alignment horizontal="center" vertical="center"/>
      <protection/>
    </xf>
    <xf numFmtId="0" fontId="15" fillId="0" borderId="29" xfId="60" applyFont="1" applyFill="1" applyBorder="1" applyAlignment="1">
      <alignment horizontal="center" vertical="center" wrapText="1"/>
      <protection/>
    </xf>
    <xf numFmtId="0" fontId="15" fillId="0" borderId="18" xfId="60" applyFont="1" applyFill="1" applyBorder="1" applyAlignment="1">
      <alignment horizontal="center" vertical="center" wrapText="1"/>
      <protection/>
    </xf>
    <xf numFmtId="0" fontId="15" fillId="0" borderId="32" xfId="60" applyFont="1" applyFill="1" applyBorder="1" applyAlignment="1">
      <alignment horizontal="center" vertical="center" wrapText="1"/>
      <protection/>
    </xf>
    <xf numFmtId="0" fontId="15" fillId="0" borderId="20" xfId="60" applyFont="1" applyFill="1" applyBorder="1" applyAlignment="1">
      <alignment horizontal="center" vertical="center" wrapText="1"/>
      <protection/>
    </xf>
    <xf numFmtId="49" fontId="34" fillId="0" borderId="33" xfId="60" applyNumberFormat="1" applyFont="1" applyFill="1" applyBorder="1" applyAlignment="1">
      <alignment horizontal="center" vertical="center"/>
      <protection/>
    </xf>
    <xf numFmtId="0" fontId="15" fillId="0" borderId="34" xfId="60" applyFont="1" applyFill="1" applyBorder="1" applyAlignment="1">
      <alignment vertical="center" wrapText="1"/>
      <protection/>
    </xf>
    <xf numFmtId="3" fontId="35" fillId="0" borderId="10" xfId="60" applyNumberFormat="1" applyFont="1" applyFill="1" applyBorder="1" applyAlignment="1">
      <alignment vertical="center" wrapText="1"/>
      <protection/>
    </xf>
    <xf numFmtId="3" fontId="35" fillId="0" borderId="35" xfId="60" applyNumberFormat="1" applyFont="1" applyFill="1" applyBorder="1" applyAlignment="1">
      <alignment vertical="center" wrapText="1"/>
      <protection/>
    </xf>
    <xf numFmtId="3" fontId="35" fillId="0" borderId="36" xfId="60" applyNumberFormat="1" applyFont="1" applyFill="1" applyBorder="1" applyAlignment="1">
      <alignment vertical="center" wrapText="1"/>
      <protection/>
    </xf>
    <xf numFmtId="3" fontId="35" fillId="0" borderId="23" xfId="60" applyNumberFormat="1" applyFont="1" applyFill="1" applyBorder="1" applyAlignment="1">
      <alignment vertical="center" wrapText="1"/>
      <protection/>
    </xf>
    <xf numFmtId="3" fontId="35" fillId="0" borderId="37" xfId="60" applyNumberFormat="1" applyFont="1" applyFill="1" applyBorder="1" applyAlignment="1">
      <alignment vertical="center" wrapText="1"/>
      <protection/>
    </xf>
    <xf numFmtId="3" fontId="34" fillId="0" borderId="37" xfId="60" applyNumberFormat="1" applyFont="1" applyFill="1" applyBorder="1" applyAlignment="1">
      <alignment vertical="center"/>
      <protection/>
    </xf>
    <xf numFmtId="3" fontId="34" fillId="0" borderId="36" xfId="60" applyNumberFormat="1" applyFont="1" applyFill="1" applyBorder="1" applyAlignment="1">
      <alignment vertical="center"/>
      <protection/>
    </xf>
    <xf numFmtId="3" fontId="15" fillId="0" borderId="38" xfId="60" applyNumberFormat="1" applyFont="1" applyFill="1" applyBorder="1" applyAlignment="1">
      <alignment vertical="center"/>
      <protection/>
    </xf>
    <xf numFmtId="49" fontId="34" fillId="0" borderId="35" xfId="60" applyNumberFormat="1" applyFont="1" applyFill="1" applyBorder="1" applyAlignment="1">
      <alignment horizontal="center" vertical="center"/>
      <protection/>
    </xf>
    <xf numFmtId="3" fontId="35" fillId="0" borderId="39" xfId="60" applyNumberFormat="1" applyFont="1" applyFill="1" applyBorder="1" applyAlignment="1">
      <alignment vertical="center" wrapText="1"/>
      <protection/>
    </xf>
    <xf numFmtId="0" fontId="15" fillId="0" borderId="14" xfId="60" applyFont="1" applyFill="1" applyBorder="1" applyAlignment="1">
      <alignment vertical="center" wrapText="1"/>
      <protection/>
    </xf>
    <xf numFmtId="49" fontId="34" fillId="0" borderId="28" xfId="60" applyNumberFormat="1" applyFont="1" applyFill="1" applyBorder="1" applyAlignment="1">
      <alignment horizontal="center" vertical="center"/>
      <protection/>
    </xf>
    <xf numFmtId="3" fontId="35" fillId="0" borderId="28" xfId="60" applyNumberFormat="1" applyFont="1" applyFill="1" applyBorder="1" applyAlignment="1">
      <alignment vertical="center" wrapText="1"/>
      <protection/>
    </xf>
    <xf numFmtId="3" fontId="35" fillId="0" borderId="21" xfId="60" applyNumberFormat="1" applyFont="1" applyFill="1" applyBorder="1" applyAlignment="1">
      <alignment vertical="center" wrapText="1"/>
      <protection/>
    </xf>
    <xf numFmtId="3" fontId="35" fillId="0" borderId="17" xfId="60" applyNumberFormat="1" applyFont="1" applyFill="1" applyBorder="1" applyAlignment="1">
      <alignment vertical="center" wrapText="1"/>
      <protection/>
    </xf>
    <xf numFmtId="3" fontId="34" fillId="0" borderId="17" xfId="60" applyNumberFormat="1" applyFont="1" applyFill="1" applyBorder="1" applyAlignment="1">
      <alignment vertical="center"/>
      <protection/>
    </xf>
    <xf numFmtId="3" fontId="34" fillId="0" borderId="21" xfId="60" applyNumberFormat="1" applyFont="1" applyFill="1" applyBorder="1" applyAlignment="1">
      <alignment vertical="center"/>
      <protection/>
    </xf>
    <xf numFmtId="0" fontId="15" fillId="0" borderId="15" xfId="60" applyFont="1" applyFill="1" applyBorder="1" applyAlignment="1">
      <alignment vertical="center" wrapText="1"/>
      <protection/>
    </xf>
    <xf numFmtId="3" fontId="35" fillId="0" borderId="23" xfId="60" applyNumberFormat="1" applyFont="1" applyFill="1" applyBorder="1" applyAlignment="1">
      <alignment vertical="center"/>
      <protection/>
    </xf>
    <xf numFmtId="3" fontId="35" fillId="0" borderId="17" xfId="60" applyNumberFormat="1" applyFont="1" applyFill="1" applyBorder="1" applyAlignment="1">
      <alignment horizontal="right" vertical="center" wrapText="1"/>
      <protection/>
    </xf>
    <xf numFmtId="3" fontId="35" fillId="0" borderId="23" xfId="60" applyNumberFormat="1" applyFont="1" applyFill="1" applyBorder="1" applyAlignment="1">
      <alignment horizontal="left" vertical="center" wrapText="1"/>
      <protection/>
    </xf>
    <xf numFmtId="3" fontId="35" fillId="0" borderId="28" xfId="60" applyNumberFormat="1" applyFont="1" applyFill="1" applyBorder="1" applyAlignment="1">
      <alignment vertical="center"/>
      <protection/>
    </xf>
    <xf numFmtId="3" fontId="35" fillId="0" borderId="21" xfId="60" applyNumberFormat="1" applyFont="1" applyFill="1" applyBorder="1" applyAlignment="1">
      <alignment vertical="center"/>
      <protection/>
    </xf>
    <xf numFmtId="3" fontId="35" fillId="0" borderId="17" xfId="60" applyNumberFormat="1" applyFont="1" applyFill="1" applyBorder="1" applyAlignment="1">
      <alignment vertical="center"/>
      <protection/>
    </xf>
    <xf numFmtId="3" fontId="35" fillId="34" borderId="39" xfId="60" applyNumberFormat="1" applyFont="1" applyFill="1" applyBorder="1" applyAlignment="1">
      <alignment vertical="center" wrapText="1"/>
      <protection/>
    </xf>
    <xf numFmtId="0" fontId="15" fillId="0" borderId="14" xfId="60" applyFont="1" applyFill="1" applyBorder="1" applyAlignment="1">
      <alignment horizontal="left" vertical="center" wrapText="1"/>
      <protection/>
    </xf>
    <xf numFmtId="3" fontId="51" fillId="0" borderId="21" xfId="60" applyNumberFormat="1" applyFont="1" applyFill="1" applyBorder="1" applyAlignment="1">
      <alignment vertical="center"/>
      <protection/>
    </xf>
    <xf numFmtId="3" fontId="49" fillId="0" borderId="17" xfId="60" applyNumberFormat="1" applyFont="1" applyFill="1" applyBorder="1" applyAlignment="1">
      <alignment vertical="center"/>
      <protection/>
    </xf>
    <xf numFmtId="3" fontId="51" fillId="0" borderId="17" xfId="60" applyNumberFormat="1" applyFont="1" applyFill="1" applyBorder="1" applyAlignment="1">
      <alignment vertical="center"/>
      <protection/>
    </xf>
    <xf numFmtId="3" fontId="45" fillId="0" borderId="32" xfId="60" applyNumberFormat="1" applyFont="1" applyFill="1" applyBorder="1" applyAlignment="1">
      <alignment vertical="center"/>
      <protection/>
    </xf>
    <xf numFmtId="3" fontId="35" fillId="0" borderId="33" xfId="60" applyNumberFormat="1" applyFont="1" applyFill="1" applyBorder="1" applyAlignment="1">
      <alignment vertical="center" wrapText="1"/>
      <protection/>
    </xf>
    <xf numFmtId="3" fontId="35" fillId="0" borderId="34" xfId="60" applyNumberFormat="1" applyFont="1" applyFill="1" applyBorder="1" applyAlignment="1">
      <alignment vertical="center" wrapText="1"/>
      <protection/>
    </xf>
    <xf numFmtId="0" fontId="15" fillId="0" borderId="21" xfId="60" applyFont="1" applyFill="1" applyBorder="1" applyAlignment="1">
      <alignment vertical="center" wrapText="1"/>
      <protection/>
    </xf>
    <xf numFmtId="3" fontId="35" fillId="0" borderId="11" xfId="60" applyNumberFormat="1" applyFont="1" applyFill="1" applyBorder="1" applyAlignment="1">
      <alignment vertical="center" wrapText="1"/>
      <protection/>
    </xf>
    <xf numFmtId="3" fontId="35" fillId="0" borderId="40" xfId="60" applyNumberFormat="1" applyFont="1" applyFill="1" applyBorder="1" applyAlignment="1">
      <alignment vertical="center" wrapText="1"/>
      <protection/>
    </xf>
    <xf numFmtId="0" fontId="15" fillId="0" borderId="41" xfId="60" applyFont="1" applyFill="1" applyBorder="1" applyAlignment="1">
      <alignment vertical="center" wrapText="1"/>
      <protection/>
    </xf>
    <xf numFmtId="3" fontId="35" fillId="0" borderId="42" xfId="60" applyNumberFormat="1" applyFont="1" applyFill="1" applyBorder="1" applyAlignment="1">
      <alignment vertical="center" wrapText="1"/>
      <protection/>
    </xf>
    <xf numFmtId="3" fontId="35" fillId="0" borderId="41" xfId="60" applyNumberFormat="1" applyFont="1" applyFill="1" applyBorder="1" applyAlignment="1">
      <alignment vertical="center" wrapText="1"/>
      <protection/>
    </xf>
    <xf numFmtId="3" fontId="52" fillId="0" borderId="25" xfId="60" applyNumberFormat="1" applyFont="1" applyFill="1" applyBorder="1" applyAlignment="1">
      <alignment vertical="center"/>
      <protection/>
    </xf>
    <xf numFmtId="3" fontId="52" fillId="0" borderId="31" xfId="60" applyNumberFormat="1" applyFont="1" applyFill="1" applyBorder="1" applyAlignment="1">
      <alignment vertical="center"/>
      <protection/>
    </xf>
    <xf numFmtId="3" fontId="52" fillId="0" borderId="43" xfId="60" applyNumberFormat="1" applyFont="1" applyFill="1" applyBorder="1" applyAlignment="1">
      <alignment vertical="center"/>
      <protection/>
    </xf>
    <xf numFmtId="166" fontId="3" fillId="0" borderId="23" xfId="0" applyNumberFormat="1" applyFont="1" applyFill="1" applyBorder="1" applyAlignment="1">
      <alignment vertical="center"/>
    </xf>
    <xf numFmtId="166" fontId="4" fillId="0" borderId="23" xfId="0" applyNumberFormat="1" applyFont="1" applyFill="1" applyBorder="1" applyAlignment="1">
      <alignment vertical="center"/>
    </xf>
    <xf numFmtId="166" fontId="4" fillId="0" borderId="23" xfId="0" applyNumberFormat="1" applyFont="1" applyFill="1" applyBorder="1" applyAlignment="1">
      <alignment vertical="center"/>
    </xf>
    <xf numFmtId="166" fontId="3" fillId="0" borderId="44" xfId="0" applyNumberFormat="1" applyFont="1" applyFill="1" applyBorder="1" applyAlignment="1">
      <alignment vertical="center"/>
    </xf>
    <xf numFmtId="166" fontId="4" fillId="0" borderId="39" xfId="0" applyNumberFormat="1" applyFont="1" applyFill="1" applyBorder="1" applyAlignment="1">
      <alignment horizontal="right" vertical="center"/>
    </xf>
    <xf numFmtId="166" fontId="3" fillId="0" borderId="45" xfId="0" applyNumberFormat="1" applyFont="1" applyFill="1" applyBorder="1" applyAlignment="1">
      <alignment vertical="center"/>
    </xf>
    <xf numFmtId="166" fontId="3" fillId="0" borderId="13" xfId="0" applyNumberFormat="1" applyFont="1" applyFill="1" applyBorder="1" applyAlignment="1">
      <alignment vertical="center"/>
    </xf>
    <xf numFmtId="3" fontId="35" fillId="0" borderId="40" xfId="60" applyNumberFormat="1" applyFont="1" applyFill="1" applyBorder="1" applyAlignment="1">
      <alignment vertical="center"/>
      <protection/>
    </xf>
    <xf numFmtId="0" fontId="13" fillId="0" borderId="0" xfId="0" applyFont="1" applyBorder="1" applyAlignment="1">
      <alignment/>
    </xf>
    <xf numFmtId="0" fontId="13" fillId="0" borderId="46" xfId="0" applyFont="1" applyBorder="1" applyAlignment="1">
      <alignment/>
    </xf>
    <xf numFmtId="0" fontId="14" fillId="0" borderId="47" xfId="59" applyFont="1" applyBorder="1" applyAlignment="1">
      <alignment horizontal="center"/>
      <protection/>
    </xf>
    <xf numFmtId="0" fontId="14" fillId="0" borderId="48" xfId="60" applyFont="1" applyFill="1" applyBorder="1" applyAlignment="1">
      <alignment horizontal="center" vertical="center" wrapText="1"/>
      <protection/>
    </xf>
    <xf numFmtId="0" fontId="16" fillId="0" borderId="49" xfId="59" applyFont="1" applyBorder="1">
      <alignment/>
      <protection/>
    </xf>
    <xf numFmtId="0" fontId="16" fillId="0" borderId="0" xfId="59" applyFont="1" applyBorder="1">
      <alignment/>
      <protection/>
    </xf>
    <xf numFmtId="0" fontId="16" fillId="0" borderId="50" xfId="59" applyFont="1" applyBorder="1">
      <alignment/>
      <protection/>
    </xf>
    <xf numFmtId="0" fontId="16" fillId="0" borderId="51" xfId="59" applyFont="1" applyBorder="1">
      <alignment/>
      <protection/>
    </xf>
    <xf numFmtId="0" fontId="16" fillId="0" borderId="52" xfId="59" applyFont="1" applyBorder="1">
      <alignment/>
      <protection/>
    </xf>
    <xf numFmtId="3" fontId="16" fillId="0" borderId="0" xfId="59" applyNumberFormat="1" applyFont="1" applyBorder="1">
      <alignment/>
      <protection/>
    </xf>
    <xf numFmtId="3" fontId="16" fillId="0" borderId="53" xfId="59" applyNumberFormat="1" applyFont="1" applyBorder="1">
      <alignment/>
      <protection/>
    </xf>
    <xf numFmtId="0" fontId="16" fillId="0" borderId="0" xfId="59" applyFont="1" applyBorder="1" applyAlignment="1">
      <alignment horizontal="left"/>
      <protection/>
    </xf>
    <xf numFmtId="3" fontId="10" fillId="0" borderId="54" xfId="59" applyNumberFormat="1" applyFont="1" applyBorder="1" applyAlignment="1">
      <alignment horizontal="right" vertical="center"/>
      <protection/>
    </xf>
    <xf numFmtId="3" fontId="10" fillId="0" borderId="30" xfId="59" applyNumberFormat="1" applyFont="1" applyBorder="1" applyAlignment="1">
      <alignment horizontal="right" vertical="center"/>
      <protection/>
    </xf>
    <xf numFmtId="3" fontId="10" fillId="0" borderId="0" xfId="59" applyNumberFormat="1" applyFont="1" applyBorder="1" applyAlignment="1">
      <alignment horizontal="right" vertical="center"/>
      <protection/>
    </xf>
    <xf numFmtId="0" fontId="10" fillId="0" borderId="54" xfId="60" applyFont="1" applyFill="1" applyBorder="1" applyAlignment="1">
      <alignment horizontal="center" vertical="center" wrapText="1"/>
      <protection/>
    </xf>
    <xf numFmtId="0" fontId="10" fillId="0" borderId="30" xfId="60" applyFont="1" applyFill="1" applyBorder="1" applyAlignment="1">
      <alignment horizontal="center" vertical="center" wrapText="1"/>
      <protection/>
    </xf>
    <xf numFmtId="0" fontId="10" fillId="0" borderId="55" xfId="60" applyFont="1" applyFill="1" applyBorder="1" applyAlignment="1">
      <alignment horizontal="center" vertical="center" wrapText="1"/>
      <protection/>
    </xf>
    <xf numFmtId="0" fontId="16" fillId="0" borderId="0" xfId="0" applyFont="1" applyBorder="1" applyAlignment="1">
      <alignment/>
    </xf>
    <xf numFmtId="3" fontId="10" fillId="0" borderId="49" xfId="59" applyNumberFormat="1" applyFont="1" applyBorder="1" applyAlignment="1">
      <alignment horizontal="right" vertical="center"/>
      <protection/>
    </xf>
    <xf numFmtId="3" fontId="16" fillId="0" borderId="56" xfId="59" applyNumberFormat="1" applyFont="1" applyBorder="1">
      <alignment/>
      <protection/>
    </xf>
    <xf numFmtId="0" fontId="16" fillId="0" borderId="30" xfId="59" applyFont="1" applyBorder="1">
      <alignment/>
      <protection/>
    </xf>
    <xf numFmtId="0" fontId="52" fillId="0" borderId="52" xfId="59" applyFont="1" applyBorder="1" applyAlignment="1">
      <alignment horizontal="right" vertical="center"/>
      <protection/>
    </xf>
    <xf numFmtId="0" fontId="17" fillId="0" borderId="49" xfId="59" applyFont="1" applyBorder="1" applyAlignment="1">
      <alignment horizontal="right"/>
      <protection/>
    </xf>
    <xf numFmtId="0" fontId="17" fillId="0" borderId="0" xfId="59" applyFont="1" applyBorder="1" applyAlignment="1">
      <alignment horizontal="right"/>
      <protection/>
    </xf>
    <xf numFmtId="0" fontId="17" fillId="0" borderId="51" xfId="59" applyFont="1" applyBorder="1" applyAlignment="1">
      <alignment horizontal="right"/>
      <protection/>
    </xf>
    <xf numFmtId="3" fontId="14" fillId="0" borderId="51" xfId="59" applyNumberFormat="1" applyFont="1" applyBorder="1" applyAlignment="1">
      <alignment horizontal="right"/>
      <protection/>
    </xf>
    <xf numFmtId="3" fontId="14" fillId="0" borderId="0" xfId="59" applyNumberFormat="1" applyFont="1" applyBorder="1">
      <alignment/>
      <protection/>
    </xf>
    <xf numFmtId="3" fontId="14" fillId="0" borderId="52" xfId="59" applyNumberFormat="1" applyFont="1" applyBorder="1">
      <alignment/>
      <protection/>
    </xf>
    <xf numFmtId="3" fontId="52" fillId="0" borderId="49" xfId="59" applyNumberFormat="1" applyFont="1" applyBorder="1" applyAlignment="1">
      <alignment horizontal="right" vertical="center"/>
      <protection/>
    </xf>
    <xf numFmtId="3" fontId="52" fillId="0" borderId="30" xfId="59" applyNumberFormat="1" applyFont="1" applyBorder="1" applyAlignment="1">
      <alignment horizontal="right" vertical="center"/>
      <protection/>
    </xf>
    <xf numFmtId="3" fontId="16" fillId="0" borderId="49" xfId="59" applyNumberFormat="1" applyFont="1" applyBorder="1">
      <alignment/>
      <protection/>
    </xf>
    <xf numFmtId="3" fontId="16" fillId="0" borderId="30" xfId="59" applyNumberFormat="1" applyFont="1" applyBorder="1">
      <alignment/>
      <protection/>
    </xf>
    <xf numFmtId="3" fontId="52" fillId="0" borderId="52" xfId="59" applyNumberFormat="1" applyFont="1" applyBorder="1" applyAlignment="1">
      <alignment horizontal="right" vertical="center"/>
      <protection/>
    </xf>
    <xf numFmtId="0" fontId="16" fillId="0" borderId="49" xfId="59" applyFont="1" applyBorder="1" applyAlignment="1">
      <alignment horizontal="right"/>
      <protection/>
    </xf>
    <xf numFmtId="0" fontId="16" fillId="0" borderId="0" xfId="59" applyFont="1" applyBorder="1" applyAlignment="1">
      <alignment horizontal="right"/>
      <protection/>
    </xf>
    <xf numFmtId="0" fontId="16" fillId="0" borderId="51" xfId="59" applyFont="1" applyBorder="1" applyAlignment="1">
      <alignment horizontal="right"/>
      <protection/>
    </xf>
    <xf numFmtId="0" fontId="52" fillId="0" borderId="52" xfId="59" applyFont="1" applyBorder="1">
      <alignment/>
      <protection/>
    </xf>
    <xf numFmtId="3" fontId="16" fillId="0" borderId="57" xfId="59" applyNumberFormat="1" applyFont="1" applyBorder="1">
      <alignment/>
      <protection/>
    </xf>
    <xf numFmtId="3" fontId="52" fillId="0" borderId="49" xfId="59" applyNumberFormat="1" applyFont="1" applyBorder="1">
      <alignment/>
      <protection/>
    </xf>
    <xf numFmtId="3" fontId="52" fillId="0" borderId="30" xfId="59" applyNumberFormat="1" applyFont="1" applyBorder="1">
      <alignment/>
      <protection/>
    </xf>
    <xf numFmtId="3" fontId="52" fillId="0" borderId="56" xfId="59" applyNumberFormat="1" applyFont="1" applyBorder="1">
      <alignment/>
      <protection/>
    </xf>
    <xf numFmtId="3" fontId="52" fillId="0" borderId="52" xfId="59" applyNumberFormat="1" applyFont="1" applyBorder="1">
      <alignment/>
      <protection/>
    </xf>
    <xf numFmtId="0" fontId="13" fillId="0" borderId="49" xfId="59" applyFont="1" applyBorder="1" applyAlignment="1">
      <alignment horizontal="right"/>
      <protection/>
    </xf>
    <xf numFmtId="0" fontId="13" fillId="0" borderId="0" xfId="59" applyFont="1" applyBorder="1" applyAlignment="1">
      <alignment horizontal="right"/>
      <protection/>
    </xf>
    <xf numFmtId="0" fontId="13" fillId="0" borderId="51" xfId="59" applyFont="1" applyBorder="1" applyAlignment="1">
      <alignment horizontal="right"/>
      <protection/>
    </xf>
    <xf numFmtId="0" fontId="13" fillId="0" borderId="0" xfId="59" applyFont="1" applyBorder="1">
      <alignment/>
      <protection/>
    </xf>
    <xf numFmtId="0" fontId="13" fillId="0" borderId="52" xfId="59" applyFont="1" applyBorder="1">
      <alignment/>
      <protection/>
    </xf>
    <xf numFmtId="3" fontId="53" fillId="0" borderId="0" xfId="59" applyNumberFormat="1" applyFont="1" applyBorder="1">
      <alignment/>
      <protection/>
    </xf>
    <xf numFmtId="0" fontId="53" fillId="0" borderId="49" xfId="59" applyFont="1" applyBorder="1" applyAlignment="1">
      <alignment horizontal="left"/>
      <protection/>
    </xf>
    <xf numFmtId="0" fontId="53" fillId="0" borderId="0" xfId="59" applyFont="1" applyBorder="1" applyAlignment="1">
      <alignment horizontal="left"/>
      <protection/>
    </xf>
    <xf numFmtId="3" fontId="16" fillId="0" borderId="58" xfId="59" applyNumberFormat="1" applyFont="1" applyBorder="1">
      <alignment/>
      <protection/>
    </xf>
    <xf numFmtId="0" fontId="53" fillId="0" borderId="0" xfId="59" applyFont="1" applyBorder="1">
      <alignment/>
      <protection/>
    </xf>
    <xf numFmtId="0" fontId="13" fillId="0" borderId="46" xfId="59" applyFont="1" applyBorder="1" applyAlignment="1">
      <alignment horizontal="right"/>
      <protection/>
    </xf>
    <xf numFmtId="0" fontId="13" fillId="0" borderId="59" xfId="59" applyFont="1" applyBorder="1" applyAlignment="1">
      <alignment horizontal="right"/>
      <protection/>
    </xf>
    <xf numFmtId="0" fontId="13" fillId="0" borderId="46" xfId="59" applyFont="1" applyBorder="1">
      <alignment/>
      <protection/>
    </xf>
    <xf numFmtId="0" fontId="13" fillId="0" borderId="60" xfId="59" applyFont="1" applyBorder="1">
      <alignment/>
      <protection/>
    </xf>
    <xf numFmtId="0" fontId="16" fillId="0" borderId="46" xfId="59" applyFont="1" applyBorder="1" applyAlignment="1">
      <alignment horizontal="left"/>
      <protection/>
    </xf>
    <xf numFmtId="0" fontId="53" fillId="0" borderId="61" xfId="59" applyFont="1" applyBorder="1" applyAlignment="1">
      <alignment horizontal="left"/>
      <protection/>
    </xf>
    <xf numFmtId="0" fontId="53" fillId="0" borderId="46" xfId="59" applyFont="1" applyBorder="1" applyAlignment="1">
      <alignment horizontal="left"/>
      <protection/>
    </xf>
    <xf numFmtId="3" fontId="53" fillId="0" borderId="46" xfId="59" applyNumberFormat="1" applyFont="1" applyFill="1" applyBorder="1">
      <alignment/>
      <protection/>
    </xf>
    <xf numFmtId="3" fontId="10" fillId="0" borderId="61" xfId="59" applyNumberFormat="1" applyFont="1" applyBorder="1" applyAlignment="1">
      <alignment horizontal="right" vertical="center"/>
      <protection/>
    </xf>
    <xf numFmtId="3" fontId="52" fillId="0" borderId="62" xfId="59" applyNumberFormat="1" applyFont="1" applyBorder="1" applyAlignment="1">
      <alignment horizontal="right" vertical="center"/>
      <protection/>
    </xf>
    <xf numFmtId="3" fontId="52" fillId="0" borderId="63" xfId="59" applyNumberFormat="1" applyFont="1" applyBorder="1" applyAlignment="1">
      <alignment horizontal="right" vertical="center"/>
      <protection/>
    </xf>
    <xf numFmtId="3" fontId="16" fillId="0" borderId="64" xfId="59" applyNumberFormat="1" applyFont="1" applyBorder="1">
      <alignment/>
      <protection/>
    </xf>
    <xf numFmtId="3" fontId="16" fillId="0" borderId="62" xfId="59" applyNumberFormat="1" applyFont="1" applyBorder="1">
      <alignment/>
      <protection/>
    </xf>
    <xf numFmtId="3" fontId="16" fillId="0" borderId="63" xfId="59" applyNumberFormat="1" applyFont="1" applyBorder="1">
      <alignment/>
      <protection/>
    </xf>
    <xf numFmtId="3" fontId="52" fillId="0" borderId="60" xfId="59" applyNumberFormat="1" applyFont="1" applyBorder="1" applyAlignment="1">
      <alignment horizontal="right" vertical="center"/>
      <protection/>
    </xf>
    <xf numFmtId="3" fontId="52" fillId="0" borderId="65" xfId="59" applyNumberFormat="1" applyFont="1" applyBorder="1" applyAlignment="1">
      <alignment horizontal="right" vertical="center"/>
      <protection/>
    </xf>
    <xf numFmtId="0" fontId="13" fillId="0" borderId="66" xfId="59" applyFont="1" applyBorder="1">
      <alignment/>
      <protection/>
    </xf>
    <xf numFmtId="0" fontId="13" fillId="0" borderId="51" xfId="59" applyFont="1" applyBorder="1">
      <alignment/>
      <protection/>
    </xf>
    <xf numFmtId="0" fontId="13" fillId="0" borderId="30" xfId="59" applyFont="1" applyBorder="1">
      <alignment/>
      <protection/>
    </xf>
    <xf numFmtId="3" fontId="53" fillId="0" borderId="57" xfId="59" applyNumberFormat="1" applyFont="1" applyBorder="1" applyAlignment="1">
      <alignment/>
      <protection/>
    </xf>
    <xf numFmtId="0" fontId="13" fillId="0" borderId="67" xfId="59" applyFont="1" applyBorder="1">
      <alignment/>
      <protection/>
    </xf>
    <xf numFmtId="0" fontId="13" fillId="0" borderId="63" xfId="59" applyFont="1" applyBorder="1">
      <alignment/>
      <protection/>
    </xf>
    <xf numFmtId="0" fontId="13" fillId="0" borderId="68" xfId="59" applyFont="1" applyBorder="1">
      <alignment/>
      <protection/>
    </xf>
    <xf numFmtId="3" fontId="14" fillId="0" borderId="30" xfId="59" applyNumberFormat="1" applyFont="1" applyBorder="1" applyAlignment="1">
      <alignment horizontal="right"/>
      <protection/>
    </xf>
    <xf numFmtId="0" fontId="16" fillId="0" borderId="49" xfId="59" applyFont="1" applyBorder="1" applyAlignment="1">
      <alignment horizontal="left"/>
      <protection/>
    </xf>
    <xf numFmtId="3" fontId="52" fillId="0" borderId="69" xfId="59" applyNumberFormat="1" applyFont="1" applyBorder="1" applyAlignment="1">
      <alignment horizontal="right"/>
      <protection/>
    </xf>
    <xf numFmtId="3" fontId="52" fillId="0" borderId="49" xfId="59" applyNumberFormat="1" applyFont="1" applyBorder="1" applyAlignment="1">
      <alignment horizontal="right"/>
      <protection/>
    </xf>
    <xf numFmtId="0" fontId="13" fillId="0" borderId="70" xfId="0" applyFont="1" applyBorder="1" applyAlignment="1">
      <alignment/>
    </xf>
    <xf numFmtId="0" fontId="10" fillId="0" borderId="0" xfId="59" applyFont="1" applyBorder="1" applyAlignment="1">
      <alignment horizontal="right" vertical="center"/>
      <protection/>
    </xf>
    <xf numFmtId="0" fontId="10" fillId="0" borderId="71" xfId="59" applyFont="1" applyBorder="1" applyAlignment="1">
      <alignment horizontal="right" vertical="center"/>
      <protection/>
    </xf>
    <xf numFmtId="0" fontId="16" fillId="0" borderId="56" xfId="59" applyFont="1" applyBorder="1">
      <alignment/>
      <protection/>
    </xf>
    <xf numFmtId="0" fontId="13" fillId="0" borderId="49" xfId="59" applyFont="1" applyBorder="1">
      <alignment/>
      <protection/>
    </xf>
    <xf numFmtId="0" fontId="13" fillId="0" borderId="30" xfId="59" applyFont="1" applyBorder="1" applyAlignment="1">
      <alignment horizontal="right"/>
      <protection/>
    </xf>
    <xf numFmtId="3" fontId="52" fillId="0" borderId="0" xfId="59" applyNumberFormat="1" applyFont="1" applyBorder="1" applyAlignment="1">
      <alignment horizontal="right" vertical="center"/>
      <protection/>
    </xf>
    <xf numFmtId="3" fontId="13" fillId="0" borderId="0" xfId="59" applyNumberFormat="1" applyFont="1" applyBorder="1">
      <alignment/>
      <protection/>
    </xf>
    <xf numFmtId="0" fontId="13" fillId="0" borderId="72" xfId="59" applyFont="1" applyBorder="1">
      <alignment/>
      <protection/>
    </xf>
    <xf numFmtId="0" fontId="13" fillId="0" borderId="73" xfId="59" applyFont="1" applyBorder="1" applyAlignment="1">
      <alignment horizontal="right"/>
      <protection/>
    </xf>
    <xf numFmtId="0" fontId="13" fillId="0" borderId="74" xfId="59" applyFont="1" applyBorder="1" applyAlignment="1">
      <alignment horizontal="right"/>
      <protection/>
    </xf>
    <xf numFmtId="0" fontId="13" fillId="0" borderId="73" xfId="59" applyFont="1" applyBorder="1">
      <alignment/>
      <protection/>
    </xf>
    <xf numFmtId="0" fontId="13" fillId="0" borderId="65" xfId="59" applyFont="1" applyBorder="1">
      <alignment/>
      <protection/>
    </xf>
    <xf numFmtId="0" fontId="13" fillId="0" borderId="73" xfId="59" applyFont="1" applyBorder="1" applyAlignment="1">
      <alignment/>
      <protection/>
    </xf>
    <xf numFmtId="0" fontId="10" fillId="0" borderId="75" xfId="59" applyFont="1" applyBorder="1" applyAlignment="1">
      <alignment horizontal="right"/>
      <protection/>
    </xf>
    <xf numFmtId="0" fontId="13" fillId="0" borderId="76" xfId="59" applyFont="1" applyBorder="1">
      <alignment/>
      <protection/>
    </xf>
    <xf numFmtId="3" fontId="10" fillId="0" borderId="77" xfId="59" applyNumberFormat="1" applyFont="1" applyBorder="1" applyAlignment="1">
      <alignment horizontal="right"/>
      <protection/>
    </xf>
    <xf numFmtId="0" fontId="10" fillId="0" borderId="73" xfId="59" applyFont="1" applyBorder="1" applyAlignment="1">
      <alignment horizontal="right"/>
      <protection/>
    </xf>
    <xf numFmtId="0" fontId="10" fillId="0" borderId="74" xfId="59" applyFont="1" applyBorder="1" applyAlignment="1">
      <alignment horizontal="right"/>
      <protection/>
    </xf>
    <xf numFmtId="0" fontId="13" fillId="0" borderId="78" xfId="59" applyFont="1" applyBorder="1">
      <alignment/>
      <protection/>
    </xf>
    <xf numFmtId="0" fontId="13" fillId="0" borderId="74" xfId="59" applyFont="1" applyBorder="1">
      <alignment/>
      <protection/>
    </xf>
    <xf numFmtId="0" fontId="52" fillId="0" borderId="79" xfId="59" applyFont="1" applyBorder="1" applyAlignment="1">
      <alignment horizontal="right" vertical="center"/>
      <protection/>
    </xf>
    <xf numFmtId="0" fontId="13" fillId="0" borderId="0" xfId="59" applyFont="1">
      <alignment/>
      <protection/>
    </xf>
    <xf numFmtId="0" fontId="13" fillId="0" borderId="56" xfId="59" applyFont="1" applyBorder="1">
      <alignment/>
      <protection/>
    </xf>
    <xf numFmtId="3" fontId="52" fillId="0" borderId="0" xfId="59" applyNumberFormat="1" applyFont="1" applyBorder="1">
      <alignment/>
      <protection/>
    </xf>
    <xf numFmtId="3" fontId="52" fillId="0" borderId="69" xfId="59" applyNumberFormat="1" applyFont="1" applyBorder="1">
      <alignment/>
      <protection/>
    </xf>
    <xf numFmtId="0" fontId="13" fillId="0" borderId="0" xfId="0" applyFont="1" applyBorder="1" applyAlignment="1">
      <alignment horizontal="right"/>
    </xf>
    <xf numFmtId="0" fontId="13" fillId="0" borderId="57" xfId="59" applyFont="1" applyBorder="1">
      <alignment/>
      <protection/>
    </xf>
    <xf numFmtId="0" fontId="17" fillId="0" borderId="54" xfId="59" applyFont="1" applyBorder="1" applyAlignment="1">
      <alignment horizontal="right"/>
      <protection/>
    </xf>
    <xf numFmtId="0" fontId="13" fillId="0" borderId="53" xfId="0" applyFont="1" applyBorder="1" applyAlignment="1">
      <alignment horizontal="right"/>
    </xf>
    <xf numFmtId="3" fontId="14" fillId="0" borderId="71" xfId="59" applyNumberFormat="1" applyFont="1" applyBorder="1" applyAlignment="1">
      <alignment horizontal="right"/>
      <protection/>
    </xf>
    <xf numFmtId="3" fontId="14" fillId="0" borderId="53" xfId="59" applyNumberFormat="1" applyFont="1" applyBorder="1">
      <alignment/>
      <protection/>
    </xf>
    <xf numFmtId="3" fontId="14" fillId="0" borderId="55" xfId="59" applyNumberFormat="1" applyFont="1" applyBorder="1">
      <alignment/>
      <protection/>
    </xf>
    <xf numFmtId="3" fontId="16" fillId="0" borderId="58" xfId="59" applyNumberFormat="1" applyFont="1" applyBorder="1" applyAlignment="1">
      <alignment/>
      <protection/>
    </xf>
    <xf numFmtId="0" fontId="13" fillId="0" borderId="58" xfId="59" applyFont="1" applyBorder="1">
      <alignment/>
      <protection/>
    </xf>
    <xf numFmtId="3" fontId="52" fillId="0" borderId="54" xfId="59" applyNumberFormat="1" applyFont="1" applyBorder="1" applyAlignment="1">
      <alignment horizontal="right" vertical="center"/>
      <protection/>
    </xf>
    <xf numFmtId="3" fontId="52" fillId="0" borderId="71" xfId="59" applyNumberFormat="1" applyFont="1" applyBorder="1" applyAlignment="1">
      <alignment horizontal="right" vertical="center"/>
      <protection/>
    </xf>
    <xf numFmtId="3" fontId="52" fillId="0" borderId="80" xfId="59" applyNumberFormat="1" applyFont="1" applyBorder="1">
      <alignment/>
      <protection/>
    </xf>
    <xf numFmtId="3" fontId="52" fillId="0" borderId="54" xfId="59" applyNumberFormat="1" applyFont="1" applyBorder="1">
      <alignment/>
      <protection/>
    </xf>
    <xf numFmtId="3" fontId="52" fillId="0" borderId="71" xfId="59" applyNumberFormat="1" applyFont="1" applyBorder="1">
      <alignment/>
      <protection/>
    </xf>
    <xf numFmtId="3" fontId="52" fillId="0" borderId="55" xfId="59" applyNumberFormat="1" applyFont="1" applyBorder="1" applyAlignment="1">
      <alignment horizontal="right" vertical="center"/>
      <protection/>
    </xf>
    <xf numFmtId="3" fontId="53" fillId="0" borderId="0" xfId="59" applyNumberFormat="1" applyFont="1" applyBorder="1" applyAlignment="1">
      <alignment/>
      <protection/>
    </xf>
    <xf numFmtId="3" fontId="38" fillId="0" borderId="81" xfId="59" applyNumberFormat="1" applyFont="1" applyBorder="1" applyAlignment="1">
      <alignment horizontal="center"/>
      <protection/>
    </xf>
    <xf numFmtId="3" fontId="38" fillId="0" borderId="82" xfId="59" applyNumberFormat="1" applyFont="1" applyBorder="1">
      <alignment/>
      <protection/>
    </xf>
    <xf numFmtId="0" fontId="16" fillId="0" borderId="83" xfId="59" applyFont="1" applyBorder="1" applyAlignment="1">
      <alignment horizontal="left"/>
      <protection/>
    </xf>
    <xf numFmtId="0" fontId="13" fillId="0" borderId="83" xfId="59" applyFont="1" applyBorder="1">
      <alignment/>
      <protection/>
    </xf>
    <xf numFmtId="3" fontId="10" fillId="0" borderId="84" xfId="59" applyNumberFormat="1" applyFont="1" applyBorder="1">
      <alignment/>
      <protection/>
    </xf>
    <xf numFmtId="0" fontId="13" fillId="0" borderId="70" xfId="59" applyFont="1" applyBorder="1">
      <alignment/>
      <protection/>
    </xf>
    <xf numFmtId="3" fontId="38" fillId="0" borderId="81" xfId="59" applyNumberFormat="1" applyFont="1" applyBorder="1">
      <alignment/>
      <protection/>
    </xf>
    <xf numFmtId="3" fontId="38" fillId="0" borderId="85" xfId="59" applyNumberFormat="1" applyFont="1" applyBorder="1">
      <alignment/>
      <protection/>
    </xf>
    <xf numFmtId="0" fontId="16" fillId="0" borderId="46" xfId="59" applyFont="1" applyBorder="1">
      <alignment/>
      <protection/>
    </xf>
    <xf numFmtId="0" fontId="14" fillId="0" borderId="0" xfId="59" applyFont="1" applyAlignment="1">
      <alignment horizontal="center"/>
      <protection/>
    </xf>
    <xf numFmtId="0" fontId="14" fillId="0" borderId="0" xfId="59" applyFont="1" applyAlignment="1">
      <alignment horizontal="right"/>
      <protection/>
    </xf>
    <xf numFmtId="0" fontId="9" fillId="0" borderId="0" xfId="59" applyFont="1">
      <alignment/>
      <protection/>
    </xf>
    <xf numFmtId="0" fontId="14" fillId="0" borderId="0" xfId="59" applyFont="1" applyAlignment="1">
      <alignment horizontal="left"/>
      <protection/>
    </xf>
    <xf numFmtId="3" fontId="13" fillId="0" borderId="0" xfId="59" applyNumberFormat="1" applyFont="1">
      <alignment/>
      <protection/>
    </xf>
    <xf numFmtId="0" fontId="16" fillId="0" borderId="0" xfId="59" applyFont="1" applyFill="1" applyBorder="1">
      <alignment/>
      <protection/>
    </xf>
    <xf numFmtId="0" fontId="34" fillId="0" borderId="26" xfId="59" applyFont="1" applyBorder="1">
      <alignment/>
      <protection/>
    </xf>
    <xf numFmtId="3" fontId="13" fillId="0" borderId="26" xfId="59" applyNumberFormat="1" applyFont="1" applyBorder="1">
      <alignment/>
      <protection/>
    </xf>
    <xf numFmtId="0" fontId="13" fillId="0" borderId="26" xfId="59" applyFont="1" applyBorder="1">
      <alignment/>
      <protection/>
    </xf>
    <xf numFmtId="0" fontId="13" fillId="0" borderId="0" xfId="59" applyFont="1" applyAlignment="1">
      <alignment horizontal="right"/>
      <protection/>
    </xf>
    <xf numFmtId="0" fontId="13" fillId="0" borderId="0" xfId="59" applyFont="1" applyAlignment="1">
      <alignment/>
      <protection/>
    </xf>
    <xf numFmtId="0" fontId="13" fillId="0" borderId="0" xfId="0" applyFont="1" applyAlignment="1">
      <alignment horizontal="left"/>
    </xf>
    <xf numFmtId="0" fontId="14" fillId="0" borderId="0" xfId="59" applyFont="1">
      <alignment/>
      <protection/>
    </xf>
    <xf numFmtId="3" fontId="14" fillId="0" borderId="0" xfId="59" applyNumberFormat="1" applyFont="1">
      <alignment/>
      <protection/>
    </xf>
    <xf numFmtId="0" fontId="14" fillId="0" borderId="86" xfId="59" applyFont="1" applyBorder="1" applyAlignment="1">
      <alignment horizontal="center"/>
      <protection/>
    </xf>
    <xf numFmtId="0" fontId="14" fillId="0" borderId="87" xfId="59" applyFont="1" applyBorder="1" applyAlignment="1">
      <alignment horizontal="center" vertical="center"/>
      <protection/>
    </xf>
    <xf numFmtId="0" fontId="14" fillId="0" borderId="86" xfId="59" applyFont="1" applyBorder="1" applyAlignment="1">
      <alignment horizontal="center" vertical="center"/>
      <protection/>
    </xf>
    <xf numFmtId="49" fontId="21" fillId="0" borderId="28" xfId="0" applyNumberFormat="1" applyFont="1" applyBorder="1" applyAlignment="1">
      <alignment vertical="center" wrapText="1"/>
    </xf>
    <xf numFmtId="0" fontId="21" fillId="0" borderId="21" xfId="0" applyFont="1" applyBorder="1" applyAlignment="1">
      <alignment vertical="center"/>
    </xf>
    <xf numFmtId="0" fontId="19" fillId="5" borderId="21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6" fillId="0" borderId="66" xfId="59" applyFont="1" applyBorder="1" applyAlignment="1">
      <alignment horizontal="left" wrapText="1"/>
      <protection/>
    </xf>
    <xf numFmtId="0" fontId="53" fillId="0" borderId="66" xfId="59" applyFont="1" applyBorder="1" applyAlignment="1">
      <alignment horizontal="left" wrapText="1"/>
      <protection/>
    </xf>
    <xf numFmtId="0" fontId="53" fillId="0" borderId="0" xfId="59" applyFont="1" applyBorder="1" applyAlignment="1">
      <alignment horizontal="left" wrapText="1"/>
      <protection/>
    </xf>
    <xf numFmtId="3" fontId="16" fillId="0" borderId="58" xfId="0" applyNumberFormat="1" applyFont="1" applyBorder="1" applyAlignment="1">
      <alignment/>
    </xf>
    <xf numFmtId="3" fontId="16" fillId="0" borderId="57" xfId="0" applyNumberFormat="1" applyFont="1" applyBorder="1" applyAlignment="1">
      <alignment/>
    </xf>
    <xf numFmtId="3" fontId="52" fillId="35" borderId="88" xfId="59" applyNumberFormat="1" applyFont="1" applyFill="1" applyBorder="1" applyAlignment="1">
      <alignment horizontal="right" vertical="center"/>
      <protection/>
    </xf>
    <xf numFmtId="0" fontId="13" fillId="0" borderId="50" xfId="0" applyFont="1" applyBorder="1" applyAlignment="1">
      <alignment horizontal="right"/>
    </xf>
    <xf numFmtId="0" fontId="13" fillId="35" borderId="89" xfId="59" applyFont="1" applyFill="1" applyBorder="1" applyAlignment="1">
      <alignment vertical="center"/>
      <protection/>
    </xf>
    <xf numFmtId="3" fontId="10" fillId="35" borderId="90" xfId="59" applyNumberFormat="1" applyFont="1" applyFill="1" applyBorder="1" applyAlignment="1">
      <alignment vertical="center"/>
      <protection/>
    </xf>
    <xf numFmtId="0" fontId="13" fillId="35" borderId="91" xfId="59" applyFont="1" applyFill="1" applyBorder="1" applyAlignment="1">
      <alignment vertical="center"/>
      <protection/>
    </xf>
    <xf numFmtId="3" fontId="52" fillId="35" borderId="92" xfId="59" applyNumberFormat="1" applyFont="1" applyFill="1" applyBorder="1" applyAlignment="1">
      <alignment vertical="center"/>
      <protection/>
    </xf>
    <xf numFmtId="3" fontId="52" fillId="35" borderId="81" xfId="59" applyNumberFormat="1" applyFont="1" applyFill="1" applyBorder="1" applyAlignment="1">
      <alignment vertical="center"/>
      <protection/>
    </xf>
    <xf numFmtId="3" fontId="52" fillId="35" borderId="79" xfId="59" applyNumberFormat="1" applyFont="1" applyFill="1" applyBorder="1" applyAlignment="1">
      <alignment vertical="center"/>
      <protection/>
    </xf>
    <xf numFmtId="3" fontId="52" fillId="35" borderId="93" xfId="59" applyNumberFormat="1" applyFont="1" applyFill="1" applyBorder="1" applyAlignment="1">
      <alignment vertical="center"/>
      <protection/>
    </xf>
    <xf numFmtId="0" fontId="13" fillId="0" borderId="0" xfId="0" applyFont="1" applyBorder="1" applyAlignment="1">
      <alignment vertical="center"/>
    </xf>
    <xf numFmtId="3" fontId="16" fillId="0" borderId="0" xfId="59" applyNumberFormat="1" applyFont="1" applyBorder="1" applyAlignment="1">
      <alignment horizontal="right" vertical="center"/>
      <protection/>
    </xf>
    <xf numFmtId="3" fontId="16" fillId="0" borderId="57" xfId="59" applyNumberFormat="1" applyFont="1" applyBorder="1" applyAlignment="1">
      <alignment/>
      <protection/>
    </xf>
    <xf numFmtId="3" fontId="16" fillId="0" borderId="57" xfId="59" applyNumberFormat="1" applyFont="1" applyBorder="1" applyAlignment="1">
      <alignment vertical="center"/>
      <protection/>
    </xf>
    <xf numFmtId="3" fontId="16" fillId="0" borderId="45" xfId="59" applyNumberFormat="1" applyFont="1" applyFill="1" applyBorder="1" applyAlignment="1">
      <alignment vertical="center"/>
      <protection/>
    </xf>
    <xf numFmtId="3" fontId="16" fillId="0" borderId="57" xfId="59" applyNumberFormat="1" applyFont="1" applyFill="1" applyBorder="1" applyAlignment="1">
      <alignment vertical="center"/>
      <protection/>
    </xf>
    <xf numFmtId="3" fontId="16" fillId="0" borderId="0" xfId="59" applyNumberFormat="1" applyFont="1" applyBorder="1" applyAlignment="1">
      <alignment vertical="center"/>
      <protection/>
    </xf>
    <xf numFmtId="3" fontId="16" fillId="0" borderId="58" xfId="59" applyNumberFormat="1" applyFont="1" applyFill="1" applyBorder="1" applyAlignment="1">
      <alignment vertical="center"/>
      <protection/>
    </xf>
    <xf numFmtId="0" fontId="37" fillId="0" borderId="0" xfId="60" applyFont="1" applyFill="1" applyAlignment="1">
      <alignment vertical="center" wrapText="1"/>
      <protection/>
    </xf>
    <xf numFmtId="0" fontId="37" fillId="0" borderId="73" xfId="60" applyFont="1" applyFill="1" applyBorder="1" applyAlignment="1">
      <alignment vertical="center" wrapText="1"/>
      <protection/>
    </xf>
    <xf numFmtId="0" fontId="13" fillId="0" borderId="62" xfId="59" applyFont="1" applyBorder="1" applyAlignment="1">
      <alignment horizontal="right"/>
      <protection/>
    </xf>
    <xf numFmtId="3" fontId="16" fillId="0" borderId="94" xfId="0" applyNumberFormat="1" applyFont="1" applyBorder="1" applyAlignment="1">
      <alignment/>
    </xf>
    <xf numFmtId="3" fontId="52" fillId="0" borderId="95" xfId="60" applyNumberFormat="1" applyFont="1" applyFill="1" applyBorder="1" applyAlignment="1">
      <alignment vertical="center"/>
      <protection/>
    </xf>
    <xf numFmtId="0" fontId="34" fillId="0" borderId="0" xfId="0" applyFont="1" applyFill="1" applyAlignment="1">
      <alignment vertical="center"/>
    </xf>
    <xf numFmtId="49" fontId="34" fillId="0" borderId="0" xfId="0" applyNumberFormat="1" applyFont="1" applyFill="1" applyAlignment="1">
      <alignment vertical="center"/>
    </xf>
    <xf numFmtId="49" fontId="34" fillId="0" borderId="0" xfId="0" applyNumberFormat="1" applyFont="1" applyFill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35" fillId="0" borderId="3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49" fontId="15" fillId="0" borderId="0" xfId="0" applyNumberFormat="1" applyFont="1" applyFill="1" applyAlignment="1">
      <alignment horizontal="center" vertical="center" wrapText="1"/>
    </xf>
    <xf numFmtId="0" fontId="39" fillId="0" borderId="41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49" fontId="34" fillId="0" borderId="26" xfId="0" applyNumberFormat="1" applyFont="1" applyFill="1" applyBorder="1" applyAlignment="1">
      <alignment horizontal="center" vertical="center" wrapText="1"/>
    </xf>
    <xf numFmtId="0" fontId="34" fillId="0" borderId="36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 wrapText="1"/>
    </xf>
    <xf numFmtId="0" fontId="35" fillId="0" borderId="37" xfId="0" applyFont="1" applyFill="1" applyBorder="1" applyAlignment="1">
      <alignment horizontal="center" vertical="center" wrapText="1"/>
    </xf>
    <xf numFmtId="0" fontId="35" fillId="0" borderId="36" xfId="0" applyFont="1" applyFill="1" applyBorder="1" applyAlignment="1">
      <alignment horizontal="center" vertical="center" wrapText="1"/>
    </xf>
    <xf numFmtId="3" fontId="35" fillId="0" borderId="36" xfId="0" applyNumberFormat="1" applyFont="1" applyFill="1" applyBorder="1" applyAlignment="1">
      <alignment horizontal="center" vertical="center"/>
    </xf>
    <xf numFmtId="0" fontId="35" fillId="0" borderId="96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49" fontId="34" fillId="0" borderId="35" xfId="0" applyNumberFormat="1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vertical="center" wrapText="1"/>
    </xf>
    <xf numFmtId="3" fontId="50" fillId="0" borderId="22" xfId="0" applyNumberFormat="1" applyFont="1" applyFill="1" applyBorder="1" applyAlignment="1">
      <alignment vertical="center"/>
    </xf>
    <xf numFmtId="3" fontId="35" fillId="0" borderId="37" xfId="0" applyNumberFormat="1" applyFont="1" applyFill="1" applyBorder="1" applyAlignment="1">
      <alignment vertical="center"/>
    </xf>
    <xf numFmtId="3" fontId="35" fillId="0" borderId="36" xfId="0" applyNumberFormat="1" applyFont="1" applyFill="1" applyBorder="1" applyAlignment="1">
      <alignment vertical="center"/>
    </xf>
    <xf numFmtId="3" fontId="35" fillId="0" borderId="21" xfId="0" applyNumberFormat="1" applyFont="1" applyFill="1" applyBorder="1" applyAlignment="1">
      <alignment vertical="center"/>
    </xf>
    <xf numFmtId="3" fontId="15" fillId="0" borderId="23" xfId="0" applyNumberFormat="1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49" fontId="34" fillId="0" borderId="28" xfId="0" applyNumberFormat="1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vertical="center" wrapText="1"/>
    </xf>
    <xf numFmtId="3" fontId="50" fillId="0" borderId="11" xfId="0" applyNumberFormat="1" applyFont="1" applyFill="1" applyBorder="1" applyAlignment="1">
      <alignment vertical="center"/>
    </xf>
    <xf numFmtId="3" fontId="35" fillId="0" borderId="17" xfId="0" applyNumberFormat="1" applyFont="1" applyFill="1" applyBorder="1" applyAlignment="1">
      <alignment vertical="center"/>
    </xf>
    <xf numFmtId="3" fontId="50" fillId="0" borderId="16" xfId="0" applyNumberFormat="1" applyFont="1" applyFill="1" applyBorder="1" applyAlignment="1">
      <alignment vertical="center"/>
    </xf>
    <xf numFmtId="3" fontId="34" fillId="0" borderId="0" xfId="0" applyNumberFormat="1" applyFont="1" applyFill="1" applyAlignment="1">
      <alignment vertical="center"/>
    </xf>
    <xf numFmtId="3" fontId="50" fillId="0" borderId="21" xfId="0" applyNumberFormat="1" applyFont="1" applyFill="1" applyBorder="1" applyAlignment="1">
      <alignment vertical="center"/>
    </xf>
    <xf numFmtId="3" fontId="50" fillId="0" borderId="21" xfId="0" applyNumberFormat="1" applyFont="1" applyFill="1" applyBorder="1" applyAlignment="1">
      <alignment horizontal="right" vertical="center" wrapText="1"/>
    </xf>
    <xf numFmtId="0" fontId="15" fillId="0" borderId="21" xfId="0" applyFont="1" applyFill="1" applyBorder="1" applyAlignment="1">
      <alignment horizontal="left" vertical="center" wrapText="1"/>
    </xf>
    <xf numFmtId="3" fontId="35" fillId="0" borderId="21" xfId="0" applyNumberFormat="1" applyFont="1" applyFill="1" applyBorder="1" applyAlignment="1">
      <alignment horizontal="right" vertical="center"/>
    </xf>
    <xf numFmtId="49" fontId="34" fillId="0" borderId="42" xfId="0" applyNumberFormat="1" applyFont="1" applyFill="1" applyBorder="1" applyAlignment="1">
      <alignment horizontal="center" vertical="center"/>
    </xf>
    <xf numFmtId="3" fontId="35" fillId="0" borderId="41" xfId="0" applyNumberFormat="1" applyFont="1" applyFill="1" applyBorder="1" applyAlignment="1">
      <alignment vertical="center"/>
    </xf>
    <xf numFmtId="3" fontId="50" fillId="0" borderId="15" xfId="0" applyNumberFormat="1" applyFont="1" applyFill="1" applyBorder="1" applyAlignment="1">
      <alignment vertical="center"/>
    </xf>
    <xf numFmtId="3" fontId="35" fillId="0" borderId="24" xfId="0" applyNumberFormat="1" applyFont="1" applyFill="1" applyBorder="1" applyAlignment="1">
      <alignment vertical="center"/>
    </xf>
    <xf numFmtId="49" fontId="14" fillId="0" borderId="0" xfId="0" applyNumberFormat="1" applyFont="1" applyFill="1" applyAlignment="1">
      <alignment vertical="center"/>
    </xf>
    <xf numFmtId="0" fontId="15" fillId="0" borderId="41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49" fontId="14" fillId="0" borderId="29" xfId="0" applyNumberFormat="1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vertical="center"/>
    </xf>
    <xf numFmtId="3" fontId="56" fillId="0" borderId="32" xfId="0" applyNumberFormat="1" applyFont="1" applyFill="1" applyBorder="1" applyAlignment="1">
      <alignment vertical="center"/>
    </xf>
    <xf numFmtId="3" fontId="14" fillId="0" borderId="20" xfId="0" applyNumberFormat="1" applyFont="1" applyFill="1" applyBorder="1" applyAlignment="1">
      <alignment vertical="center"/>
    </xf>
    <xf numFmtId="3" fontId="14" fillId="0" borderId="32" xfId="0" applyNumberFormat="1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53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3" fontId="50" fillId="0" borderId="0" xfId="0" applyNumberFormat="1" applyFont="1" applyFill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34" fillId="0" borderId="21" xfId="0" applyFont="1" applyBorder="1" applyAlignment="1">
      <alignment horizontal="left"/>
    </xf>
    <xf numFmtId="49" fontId="57" fillId="33" borderId="28" xfId="0" applyNumberFormat="1" applyFont="1" applyFill="1" applyBorder="1" applyAlignment="1">
      <alignment vertical="center" wrapText="1"/>
    </xf>
    <xf numFmtId="0" fontId="57" fillId="33" borderId="21" xfId="0" applyFont="1" applyFill="1" applyBorder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0" fontId="11" fillId="0" borderId="0" xfId="0" applyFont="1" applyBorder="1" applyAlignment="1">
      <alignment/>
    </xf>
    <xf numFmtId="3" fontId="41" fillId="0" borderId="97" xfId="0" applyNumberFormat="1" applyFont="1" applyBorder="1" applyAlignment="1">
      <alignment/>
    </xf>
    <xf numFmtId="3" fontId="15" fillId="0" borderId="97" xfId="0" applyNumberFormat="1" applyFont="1" applyBorder="1" applyAlignment="1">
      <alignment/>
    </xf>
    <xf numFmtId="3" fontId="39" fillId="0" borderId="97" xfId="0" applyNumberFormat="1" applyFont="1" applyBorder="1" applyAlignment="1">
      <alignment/>
    </xf>
    <xf numFmtId="3" fontId="44" fillId="0" borderId="97" xfId="0" applyNumberFormat="1" applyFont="1" applyBorder="1" applyAlignment="1">
      <alignment/>
    </xf>
    <xf numFmtId="3" fontId="46" fillId="0" borderId="97" xfId="0" applyNumberFormat="1" applyFont="1" applyBorder="1" applyAlignment="1">
      <alignment/>
    </xf>
    <xf numFmtId="3" fontId="48" fillId="0" borderId="97" xfId="0" applyNumberFormat="1" applyFont="1" applyBorder="1" applyAlignment="1">
      <alignment/>
    </xf>
    <xf numFmtId="3" fontId="14" fillId="0" borderId="97" xfId="0" applyNumberFormat="1" applyFont="1" applyBorder="1" applyAlignment="1">
      <alignment/>
    </xf>
    <xf numFmtId="3" fontId="10" fillId="0" borderId="97" xfId="0" applyNumberFormat="1" applyFont="1" applyBorder="1" applyAlignment="1">
      <alignment/>
    </xf>
    <xf numFmtId="0" fontId="11" fillId="0" borderId="0" xfId="0" applyFont="1" applyFill="1" applyAlignment="1">
      <alignment horizontal="right" vertical="center"/>
    </xf>
    <xf numFmtId="0" fontId="11" fillId="0" borderId="0" xfId="0" applyFont="1" applyAlignment="1">
      <alignment horizontal="right"/>
    </xf>
    <xf numFmtId="0" fontId="16" fillId="0" borderId="0" xfId="59" applyFont="1" applyBorder="1" applyAlignment="1">
      <alignment horizontal="left" wrapText="1"/>
      <protection/>
    </xf>
    <xf numFmtId="0" fontId="16" fillId="0" borderId="54" xfId="59" applyFont="1" applyBorder="1" applyAlignment="1">
      <alignment horizontal="left"/>
      <protection/>
    </xf>
    <xf numFmtId="0" fontId="16" fillId="0" borderId="53" xfId="59" applyFont="1" applyBorder="1" applyAlignment="1">
      <alignment horizontal="left"/>
      <protection/>
    </xf>
    <xf numFmtId="0" fontId="13" fillId="0" borderId="51" xfId="0" applyFont="1" applyBorder="1" applyAlignment="1">
      <alignment horizontal="right"/>
    </xf>
    <xf numFmtId="0" fontId="40" fillId="0" borderId="17" xfId="58" applyFont="1" applyBorder="1" applyAlignment="1">
      <alignment horizontal="left" wrapText="1"/>
      <protection/>
    </xf>
    <xf numFmtId="3" fontId="14" fillId="0" borderId="97" xfId="58" applyNumberFormat="1" applyFont="1" applyBorder="1">
      <alignment/>
      <protection/>
    </xf>
    <xf numFmtId="3" fontId="39" fillId="0" borderId="97" xfId="58" applyNumberFormat="1" applyFont="1" applyBorder="1">
      <alignment/>
      <protection/>
    </xf>
    <xf numFmtId="0" fontId="34" fillId="0" borderId="0" xfId="0" applyFont="1" applyFill="1" applyBorder="1" applyAlignment="1">
      <alignment horizontal="center" vertical="center" wrapText="1"/>
    </xf>
    <xf numFmtId="49" fontId="34" fillId="0" borderId="0" xfId="0" applyNumberFormat="1" applyFont="1" applyFill="1" applyBorder="1" applyAlignment="1">
      <alignment horizontal="center" vertical="center" wrapText="1"/>
    </xf>
    <xf numFmtId="0" fontId="34" fillId="0" borderId="30" xfId="0" applyFont="1" applyFill="1" applyBorder="1" applyAlignment="1">
      <alignment horizontal="center" vertical="center"/>
    </xf>
    <xf numFmtId="0" fontId="35" fillId="0" borderId="51" xfId="0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 wrapText="1"/>
    </xf>
    <xf numFmtId="0" fontId="34" fillId="0" borderId="4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49" fontId="34" fillId="0" borderId="0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49" fontId="11" fillId="0" borderId="0" xfId="0" applyNumberFormat="1" applyFont="1" applyFill="1" applyAlignment="1">
      <alignment vertical="center"/>
    </xf>
    <xf numFmtId="49" fontId="11" fillId="0" borderId="28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vertical="center" wrapText="1"/>
    </xf>
    <xf numFmtId="3" fontId="11" fillId="0" borderId="17" xfId="0" applyNumberFormat="1" applyFont="1" applyFill="1" applyBorder="1" applyAlignment="1">
      <alignment vertical="center"/>
    </xf>
    <xf numFmtId="3" fontId="11" fillId="0" borderId="21" xfId="0" applyNumberFormat="1" applyFont="1" applyFill="1" applyBorder="1" applyAlignment="1">
      <alignment vertical="center"/>
    </xf>
    <xf numFmtId="3" fontId="12" fillId="0" borderId="23" xfId="0" applyNumberFormat="1" applyFont="1" applyFill="1" applyBorder="1" applyAlignment="1">
      <alignment vertical="center"/>
    </xf>
    <xf numFmtId="49" fontId="11" fillId="0" borderId="42" xfId="0" applyNumberFormat="1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vertical="center" wrapText="1"/>
    </xf>
    <xf numFmtId="3" fontId="11" fillId="0" borderId="24" xfId="0" applyNumberFormat="1" applyFont="1" applyFill="1" applyBorder="1" applyAlignment="1">
      <alignment vertical="center"/>
    </xf>
    <xf numFmtId="3" fontId="12" fillId="0" borderId="40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49" fontId="12" fillId="0" borderId="0" xfId="0" applyNumberFormat="1" applyFont="1" applyFill="1" applyAlignment="1">
      <alignment vertical="center"/>
    </xf>
    <xf numFmtId="49" fontId="12" fillId="0" borderId="95" xfId="0" applyNumberFormat="1" applyFont="1" applyFill="1" applyBorder="1" applyAlignment="1">
      <alignment horizontal="center" vertical="center"/>
    </xf>
    <xf numFmtId="0" fontId="12" fillId="0" borderId="86" xfId="0" applyFont="1" applyFill="1" applyBorder="1" applyAlignment="1">
      <alignment vertical="center"/>
    </xf>
    <xf numFmtId="3" fontId="12" fillId="0" borderId="98" xfId="0" applyNumberFormat="1" applyFont="1" applyFill="1" applyBorder="1" applyAlignment="1">
      <alignment vertical="center"/>
    </xf>
    <xf numFmtId="3" fontId="12" fillId="0" borderId="99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3" fontId="112" fillId="0" borderId="35" xfId="60" applyNumberFormat="1" applyFont="1" applyFill="1" applyBorder="1" applyAlignment="1">
      <alignment vertical="center" wrapText="1"/>
      <protection/>
    </xf>
    <xf numFmtId="3" fontId="112" fillId="0" borderId="36" xfId="60" applyNumberFormat="1" applyFont="1" applyFill="1" applyBorder="1" applyAlignment="1">
      <alignment vertical="center" wrapText="1"/>
      <protection/>
    </xf>
    <xf numFmtId="3" fontId="112" fillId="0" borderId="28" xfId="60" applyNumberFormat="1" applyFont="1" applyFill="1" applyBorder="1" applyAlignment="1">
      <alignment vertical="center" wrapText="1"/>
      <protection/>
    </xf>
    <xf numFmtId="3" fontId="112" fillId="0" borderId="21" xfId="60" applyNumberFormat="1" applyFont="1" applyFill="1" applyBorder="1" applyAlignment="1">
      <alignment vertical="center" wrapText="1"/>
      <protection/>
    </xf>
    <xf numFmtId="3" fontId="112" fillId="0" borderId="28" xfId="60" applyNumberFormat="1" applyFont="1" applyFill="1" applyBorder="1" applyAlignment="1">
      <alignment vertical="center"/>
      <protection/>
    </xf>
    <xf numFmtId="3" fontId="112" fillId="0" borderId="21" xfId="60" applyNumberFormat="1" applyFont="1" applyFill="1" applyBorder="1" applyAlignment="1">
      <alignment vertical="center"/>
      <protection/>
    </xf>
    <xf numFmtId="3" fontId="112" fillId="0" borderId="37" xfId="60" applyNumberFormat="1" applyFont="1" applyFill="1" applyBorder="1" applyAlignment="1">
      <alignment vertical="center" wrapText="1"/>
      <protection/>
    </xf>
    <xf numFmtId="3" fontId="112" fillId="0" borderId="17" xfId="60" applyNumberFormat="1" applyFont="1" applyFill="1" applyBorder="1" applyAlignment="1">
      <alignment vertical="center" wrapText="1"/>
      <protection/>
    </xf>
    <xf numFmtId="3" fontId="112" fillId="34" borderId="17" xfId="60" applyNumberFormat="1" applyFont="1" applyFill="1" applyBorder="1" applyAlignment="1">
      <alignment horizontal="right" vertical="center" wrapText="1"/>
      <protection/>
    </xf>
    <xf numFmtId="3" fontId="112" fillId="0" borderId="17" xfId="60" applyNumberFormat="1" applyFont="1" applyFill="1" applyBorder="1" applyAlignment="1">
      <alignment vertical="center"/>
      <protection/>
    </xf>
    <xf numFmtId="3" fontId="52" fillId="0" borderId="99" xfId="60" applyNumberFormat="1" applyFont="1" applyFill="1" applyBorder="1" applyAlignment="1">
      <alignment vertical="center"/>
      <protection/>
    </xf>
    <xf numFmtId="3" fontId="52" fillId="0" borderId="98" xfId="60" applyNumberFormat="1" applyFont="1" applyFill="1" applyBorder="1" applyAlignment="1">
      <alignment vertical="center"/>
      <protection/>
    </xf>
    <xf numFmtId="3" fontId="52" fillId="0" borderId="100" xfId="60" applyNumberFormat="1" applyFont="1" applyFill="1" applyBorder="1" applyAlignment="1">
      <alignment vertical="center"/>
      <protection/>
    </xf>
    <xf numFmtId="3" fontId="112" fillId="0" borderId="42" xfId="60" applyNumberFormat="1" applyFont="1" applyFill="1" applyBorder="1" applyAlignment="1">
      <alignment vertical="center"/>
      <protection/>
    </xf>
    <xf numFmtId="3" fontId="112" fillId="0" borderId="41" xfId="60" applyNumberFormat="1" applyFont="1" applyFill="1" applyBorder="1" applyAlignment="1">
      <alignment vertical="center"/>
      <protection/>
    </xf>
    <xf numFmtId="3" fontId="35" fillId="0" borderId="24" xfId="60" applyNumberFormat="1" applyFont="1" applyFill="1" applyBorder="1" applyAlignment="1">
      <alignment vertical="center"/>
      <protection/>
    </xf>
    <xf numFmtId="3" fontId="34" fillId="0" borderId="24" xfId="60" applyNumberFormat="1" applyFont="1" applyFill="1" applyBorder="1" applyAlignment="1">
      <alignment vertical="center"/>
      <protection/>
    </xf>
    <xf numFmtId="3" fontId="15" fillId="0" borderId="101" xfId="60" applyNumberFormat="1" applyFont="1" applyFill="1" applyBorder="1" applyAlignment="1">
      <alignment vertical="center"/>
      <protection/>
    </xf>
    <xf numFmtId="3" fontId="16" fillId="0" borderId="45" xfId="59" applyNumberFormat="1" applyFont="1" applyBorder="1" applyAlignment="1">
      <alignment vertical="center"/>
      <protection/>
    </xf>
    <xf numFmtId="3" fontId="38" fillId="0" borderId="79" xfId="59" applyNumberFormat="1" applyFont="1" applyBorder="1">
      <alignment/>
      <protection/>
    </xf>
    <xf numFmtId="166" fontId="2" fillId="0" borderId="39" xfId="0" applyNumberFormat="1" applyFont="1" applyFill="1" applyBorder="1" applyAlignment="1">
      <alignment vertical="center"/>
    </xf>
    <xf numFmtId="166" fontId="2" fillId="0" borderId="23" xfId="0" applyNumberFormat="1" applyFont="1" applyFill="1" applyBorder="1" applyAlignment="1">
      <alignment vertical="center"/>
    </xf>
    <xf numFmtId="0" fontId="13" fillId="0" borderId="0" xfId="0" applyFont="1" applyAlignment="1">
      <alignment horizontal="center"/>
    </xf>
    <xf numFmtId="0" fontId="9" fillId="0" borderId="0" xfId="0" applyFont="1" applyFill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3" fontId="16" fillId="0" borderId="58" xfId="59" applyNumberFormat="1" applyFont="1" applyBorder="1" applyAlignment="1">
      <alignment vertical="center"/>
      <protection/>
    </xf>
    <xf numFmtId="3" fontId="16" fillId="0" borderId="94" xfId="59" applyNumberFormat="1" applyFont="1" applyBorder="1" applyAlignment="1">
      <alignment vertical="center"/>
      <protection/>
    </xf>
    <xf numFmtId="3" fontId="16" fillId="0" borderId="102" xfId="59" applyNumberFormat="1" applyFont="1" applyBorder="1" applyAlignment="1">
      <alignment vertical="center"/>
      <protection/>
    </xf>
    <xf numFmtId="3" fontId="16" fillId="0" borderId="0" xfId="59" applyNumberFormat="1" applyFont="1" applyFill="1" applyBorder="1" applyAlignment="1">
      <alignment vertical="center"/>
      <protection/>
    </xf>
    <xf numFmtId="0" fontId="16" fillId="35" borderId="89" xfId="59" applyFont="1" applyFill="1" applyBorder="1" applyAlignment="1">
      <alignment horizontal="left" vertical="center" wrapText="1"/>
      <protection/>
    </xf>
    <xf numFmtId="3" fontId="14" fillId="35" borderId="103" xfId="59" applyNumberFormat="1" applyFont="1" applyFill="1" applyBorder="1" applyAlignment="1">
      <alignment horizontal="right" vertical="center"/>
      <protection/>
    </xf>
    <xf numFmtId="3" fontId="14" fillId="35" borderId="91" xfId="59" applyNumberFormat="1" applyFont="1" applyFill="1" applyBorder="1" applyAlignment="1">
      <alignment vertical="center"/>
      <protection/>
    </xf>
    <xf numFmtId="3" fontId="14" fillId="35" borderId="88" xfId="59" applyNumberFormat="1" applyFont="1" applyFill="1" applyBorder="1" applyAlignment="1">
      <alignment vertical="center"/>
      <protection/>
    </xf>
    <xf numFmtId="0" fontId="16" fillId="35" borderId="104" xfId="59" applyFont="1" applyFill="1" applyBorder="1" applyAlignment="1">
      <alignment horizontal="left" vertical="center"/>
      <protection/>
    </xf>
    <xf numFmtId="3" fontId="10" fillId="35" borderId="90" xfId="59" applyNumberFormat="1" applyFont="1" applyFill="1" applyBorder="1" applyAlignment="1">
      <alignment horizontal="right" vertical="center"/>
      <protection/>
    </xf>
    <xf numFmtId="3" fontId="10" fillId="35" borderId="105" xfId="59" applyNumberFormat="1" applyFont="1" applyFill="1" applyBorder="1" applyAlignment="1">
      <alignment horizontal="right" vertical="center"/>
      <protection/>
    </xf>
    <xf numFmtId="3" fontId="52" fillId="35" borderId="91" xfId="59" applyNumberFormat="1" applyFont="1" applyFill="1" applyBorder="1" applyAlignment="1">
      <alignment horizontal="right" vertical="center"/>
      <protection/>
    </xf>
    <xf numFmtId="3" fontId="52" fillId="35" borderId="103" xfId="59" applyNumberFormat="1" applyFont="1" applyFill="1" applyBorder="1" applyAlignment="1">
      <alignment horizontal="right" vertical="center"/>
      <protection/>
    </xf>
    <xf numFmtId="3" fontId="52" fillId="35" borderId="106" xfId="59" applyNumberFormat="1" applyFont="1" applyFill="1" applyBorder="1" applyAlignment="1">
      <alignment vertical="center"/>
      <protection/>
    </xf>
    <xf numFmtId="3" fontId="52" fillId="35" borderId="104" xfId="59" applyNumberFormat="1" applyFont="1" applyFill="1" applyBorder="1" applyAlignment="1">
      <alignment vertical="center"/>
      <protection/>
    </xf>
    <xf numFmtId="3" fontId="52" fillId="35" borderId="103" xfId="59" applyNumberFormat="1" applyFont="1" applyFill="1" applyBorder="1" applyAlignment="1">
      <alignment vertical="center"/>
      <protection/>
    </xf>
    <xf numFmtId="0" fontId="13" fillId="0" borderId="0" xfId="0" applyFont="1" applyBorder="1" applyAlignment="1">
      <alignment horizontal="center"/>
    </xf>
    <xf numFmtId="0" fontId="14" fillId="0" borderId="107" xfId="59" applyFont="1" applyBorder="1" applyAlignment="1">
      <alignment horizontal="center" vertical="center"/>
      <protection/>
    </xf>
    <xf numFmtId="3" fontId="10" fillId="0" borderId="83" xfId="59" applyNumberFormat="1" applyFont="1" applyBorder="1">
      <alignment/>
      <protection/>
    </xf>
    <xf numFmtId="3" fontId="38" fillId="0" borderId="92" xfId="59" applyNumberFormat="1" applyFont="1" applyBorder="1">
      <alignment/>
      <protection/>
    </xf>
    <xf numFmtId="3" fontId="52" fillId="0" borderId="69" xfId="59" applyNumberFormat="1" applyFont="1" applyBorder="1" applyAlignment="1">
      <alignment horizontal="right" vertical="center"/>
      <protection/>
    </xf>
    <xf numFmtId="0" fontId="10" fillId="0" borderId="108" xfId="59" applyFont="1" applyBorder="1" applyAlignment="1">
      <alignment horizontal="right" vertical="center"/>
      <protection/>
    </xf>
    <xf numFmtId="0" fontId="14" fillId="0" borderId="47" xfId="59" applyFont="1" applyBorder="1" applyAlignment="1">
      <alignment horizontal="center" vertical="center"/>
      <protection/>
    </xf>
    <xf numFmtId="0" fontId="14" fillId="0" borderId="109" xfId="60" applyFont="1" applyFill="1" applyBorder="1" applyAlignment="1">
      <alignment horizontal="center" vertical="center" wrapText="1"/>
      <protection/>
    </xf>
    <xf numFmtId="0" fontId="14" fillId="0" borderId="110" xfId="59" applyFont="1" applyBorder="1" applyAlignment="1">
      <alignment horizontal="center" vertical="center"/>
      <protection/>
    </xf>
    <xf numFmtId="0" fontId="14" fillId="0" borderId="111" xfId="59" applyFont="1" applyBorder="1" applyAlignment="1">
      <alignment horizontal="center" vertical="center"/>
      <protection/>
    </xf>
    <xf numFmtId="0" fontId="17" fillId="0" borderId="72" xfId="59" applyFont="1" applyBorder="1" applyAlignment="1">
      <alignment horizontal="right" vertical="center"/>
      <protection/>
    </xf>
    <xf numFmtId="3" fontId="14" fillId="0" borderId="74" xfId="59" applyNumberFormat="1" applyFont="1" applyBorder="1" applyAlignment="1">
      <alignment horizontal="right" vertical="center"/>
      <protection/>
    </xf>
    <xf numFmtId="3" fontId="14" fillId="0" borderId="73" xfId="59" applyNumberFormat="1" applyFont="1" applyBorder="1" applyAlignment="1">
      <alignment vertical="center"/>
      <protection/>
    </xf>
    <xf numFmtId="3" fontId="14" fillId="0" borderId="65" xfId="59" applyNumberFormat="1" applyFont="1" applyBorder="1" applyAlignment="1">
      <alignment vertical="center"/>
      <protection/>
    </xf>
    <xf numFmtId="3" fontId="53" fillId="0" borderId="73" xfId="59" applyNumberFormat="1" applyFont="1" applyBorder="1" applyAlignment="1">
      <alignment vertical="center"/>
      <protection/>
    </xf>
    <xf numFmtId="3" fontId="17" fillId="0" borderId="73" xfId="59" applyNumberFormat="1" applyFont="1" applyFill="1" applyBorder="1" applyAlignment="1">
      <alignment vertical="center"/>
      <protection/>
    </xf>
    <xf numFmtId="3" fontId="10" fillId="0" borderId="76" xfId="59" applyNumberFormat="1" applyFont="1" applyBorder="1" applyAlignment="1">
      <alignment vertical="center"/>
      <protection/>
    </xf>
    <xf numFmtId="3" fontId="52" fillId="0" borderId="72" xfId="59" applyNumberFormat="1" applyFont="1" applyBorder="1" applyAlignment="1">
      <alignment vertical="center"/>
      <protection/>
    </xf>
    <xf numFmtId="3" fontId="52" fillId="0" borderId="74" xfId="59" applyNumberFormat="1" applyFont="1" applyBorder="1" applyAlignment="1">
      <alignment vertical="center"/>
      <protection/>
    </xf>
    <xf numFmtId="3" fontId="52" fillId="0" borderId="78" xfId="59" applyNumberFormat="1" applyFont="1" applyBorder="1" applyAlignment="1">
      <alignment vertical="center"/>
      <protection/>
    </xf>
    <xf numFmtId="0" fontId="14" fillId="0" borderId="112" xfId="59" applyFont="1" applyBorder="1" applyAlignment="1">
      <alignment horizontal="center"/>
      <protection/>
    </xf>
    <xf numFmtId="0" fontId="14" fillId="0" borderId="112" xfId="59" applyFont="1" applyBorder="1" applyAlignment="1">
      <alignment horizontal="center" vertical="center"/>
      <protection/>
    </xf>
    <xf numFmtId="0" fontId="16" fillId="0" borderId="66" xfId="59" applyFont="1" applyBorder="1" applyAlignment="1">
      <alignment horizontal="left" vertical="center"/>
      <protection/>
    </xf>
    <xf numFmtId="0" fontId="16" fillId="0" borderId="0" xfId="59" applyFont="1" applyBorder="1" applyAlignment="1">
      <alignment horizontal="left" vertical="center"/>
      <protection/>
    </xf>
    <xf numFmtId="3" fontId="12" fillId="0" borderId="100" xfId="0" applyNumberFormat="1" applyFont="1" applyFill="1" applyBorder="1" applyAlignment="1">
      <alignment vertical="center"/>
    </xf>
    <xf numFmtId="0" fontId="16" fillId="0" borderId="0" xfId="59" applyFont="1" applyBorder="1" applyAlignment="1">
      <alignment horizontal="left" vertical="center" wrapText="1"/>
      <protection/>
    </xf>
    <xf numFmtId="3" fontId="35" fillId="0" borderId="42" xfId="60" applyNumberFormat="1" applyFont="1" applyFill="1" applyBorder="1" applyAlignment="1">
      <alignment vertical="center"/>
      <protection/>
    </xf>
    <xf numFmtId="3" fontId="35" fillId="0" borderId="41" xfId="60" applyNumberFormat="1" applyFont="1" applyFill="1" applyBorder="1" applyAlignment="1">
      <alignment vertical="center"/>
      <protection/>
    </xf>
    <xf numFmtId="49" fontId="34" fillId="0" borderId="29" xfId="60" applyNumberFormat="1" applyFont="1" applyFill="1" applyBorder="1" applyAlignment="1">
      <alignment horizontal="center" vertical="center"/>
      <protection/>
    </xf>
    <xf numFmtId="0" fontId="13" fillId="0" borderId="69" xfId="59" applyFont="1" applyBorder="1">
      <alignment/>
      <protection/>
    </xf>
    <xf numFmtId="0" fontId="0" fillId="0" borderId="0" xfId="0" applyFont="1" applyAlignment="1">
      <alignment/>
    </xf>
    <xf numFmtId="3" fontId="10" fillId="0" borderId="113" xfId="59" applyNumberFormat="1" applyFont="1" applyBorder="1" applyAlignment="1">
      <alignment horizontal="right" vertical="center"/>
      <protection/>
    </xf>
    <xf numFmtId="3" fontId="14" fillId="35" borderId="103" xfId="59" applyNumberFormat="1" applyFont="1" applyFill="1" applyBorder="1" applyAlignment="1">
      <alignment vertical="center"/>
      <protection/>
    </xf>
    <xf numFmtId="3" fontId="14" fillId="35" borderId="114" xfId="59" applyNumberFormat="1" applyFont="1" applyFill="1" applyBorder="1" applyAlignment="1">
      <alignment vertical="center"/>
      <protection/>
    </xf>
    <xf numFmtId="3" fontId="14" fillId="35" borderId="115" xfId="59" applyNumberFormat="1" applyFont="1" applyFill="1" applyBorder="1" applyAlignment="1">
      <alignment vertical="center"/>
      <protection/>
    </xf>
    <xf numFmtId="3" fontId="113" fillId="0" borderId="21" xfId="58" applyNumberFormat="1" applyFont="1" applyBorder="1">
      <alignment/>
      <protection/>
    </xf>
    <xf numFmtId="0" fontId="35" fillId="0" borderId="21" xfId="0" applyFont="1" applyBorder="1" applyAlignment="1">
      <alignment vertical="center"/>
    </xf>
    <xf numFmtId="3" fontId="114" fillId="0" borderId="21" xfId="0" applyNumberFormat="1" applyFont="1" applyBorder="1" applyAlignment="1">
      <alignment/>
    </xf>
    <xf numFmtId="49" fontId="21" fillId="34" borderId="28" xfId="0" applyNumberFormat="1" applyFont="1" applyFill="1" applyBorder="1" applyAlignment="1">
      <alignment/>
    </xf>
    <xf numFmtId="0" fontId="21" fillId="34" borderId="21" xfId="0" applyFont="1" applyFill="1" applyBorder="1" applyAlignment="1">
      <alignment/>
    </xf>
    <xf numFmtId="0" fontId="0" fillId="34" borderId="0" xfId="0" applyFill="1" applyAlignment="1">
      <alignment/>
    </xf>
    <xf numFmtId="166" fontId="2" fillId="34" borderId="39" xfId="0" applyNumberFormat="1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3" fontId="16" fillId="34" borderId="57" xfId="59" applyNumberFormat="1" applyFont="1" applyFill="1" applyBorder="1" applyAlignment="1">
      <alignment vertical="center"/>
      <protection/>
    </xf>
    <xf numFmtId="3" fontId="16" fillId="34" borderId="57" xfId="59" applyNumberFormat="1" applyFont="1" applyFill="1" applyBorder="1" applyAlignment="1">
      <alignment horizontal="right" vertical="center"/>
      <protection/>
    </xf>
    <xf numFmtId="3" fontId="16" fillId="34" borderId="58" xfId="59" applyNumberFormat="1" applyFont="1" applyFill="1" applyBorder="1" applyAlignment="1">
      <alignment/>
      <protection/>
    </xf>
    <xf numFmtId="3" fontId="16" fillId="34" borderId="57" xfId="59" applyNumberFormat="1" applyFont="1" applyFill="1" applyBorder="1" applyAlignment="1">
      <alignment/>
      <protection/>
    </xf>
    <xf numFmtId="3" fontId="16" fillId="34" borderId="0" xfId="59" applyNumberFormat="1" applyFont="1" applyFill="1" applyBorder="1" applyAlignment="1">
      <alignment vertical="center"/>
      <protection/>
    </xf>
    <xf numFmtId="3" fontId="40" fillId="0" borderId="21" xfId="58" applyNumberFormat="1" applyFont="1" applyBorder="1" applyAlignment="1">
      <alignment vertical="center"/>
      <protection/>
    </xf>
    <xf numFmtId="3" fontId="39" fillId="0" borderId="21" xfId="58" applyNumberFormat="1" applyFont="1" applyBorder="1" applyAlignment="1">
      <alignment vertical="center"/>
      <protection/>
    </xf>
    <xf numFmtId="3" fontId="13" fillId="0" borderId="21" xfId="58" applyNumberFormat="1" applyFont="1" applyBorder="1">
      <alignment/>
      <protection/>
    </xf>
    <xf numFmtId="3" fontId="35" fillId="0" borderId="21" xfId="0" applyNumberFormat="1" applyFont="1" applyBorder="1" applyAlignment="1">
      <alignment vertical="center"/>
    </xf>
    <xf numFmtId="3" fontId="39" fillId="0" borderId="21" xfId="0" applyNumberFormat="1" applyFont="1" applyBorder="1" applyAlignment="1">
      <alignment vertical="center"/>
    </xf>
    <xf numFmtId="0" fontId="13" fillId="0" borderId="14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6" xfId="0" applyFont="1" applyBorder="1" applyAlignment="1">
      <alignment/>
    </xf>
    <xf numFmtId="3" fontId="24" fillId="0" borderId="21" xfId="42" applyNumberFormat="1" applyFont="1" applyBorder="1" applyAlignment="1">
      <alignment horizontal="right" vertical="center"/>
    </xf>
    <xf numFmtId="0" fontId="24" fillId="0" borderId="21" xfId="57" applyFont="1" applyBorder="1" applyAlignment="1">
      <alignment vertical="center"/>
      <protection/>
    </xf>
    <xf numFmtId="3" fontId="45" fillId="0" borderId="23" xfId="60" applyNumberFormat="1" applyFont="1" applyFill="1" applyBorder="1" applyAlignment="1">
      <alignment horizontal="left" vertical="center" wrapText="1"/>
      <protection/>
    </xf>
    <xf numFmtId="0" fontId="15" fillId="0" borderId="18" xfId="60" applyFont="1" applyFill="1" applyBorder="1" applyAlignment="1">
      <alignment vertical="center" wrapText="1"/>
      <protection/>
    </xf>
    <xf numFmtId="3" fontId="115" fillId="0" borderId="95" xfId="60" applyNumberFormat="1" applyFont="1" applyFill="1" applyBorder="1" applyAlignment="1">
      <alignment vertical="center"/>
      <protection/>
    </xf>
    <xf numFmtId="3" fontId="115" fillId="0" borderId="98" xfId="60" applyNumberFormat="1" applyFont="1" applyFill="1" applyBorder="1" applyAlignment="1">
      <alignment vertical="center"/>
      <protection/>
    </xf>
    <xf numFmtId="3" fontId="115" fillId="0" borderId="99" xfId="60" applyNumberFormat="1" applyFont="1" applyFill="1" applyBorder="1" applyAlignment="1">
      <alignment vertical="center"/>
      <protection/>
    </xf>
    <xf numFmtId="0" fontId="116" fillId="0" borderId="0" xfId="0" applyFont="1" applyAlignment="1">
      <alignment/>
    </xf>
    <xf numFmtId="3" fontId="116" fillId="0" borderId="0" xfId="0" applyNumberFormat="1" applyFont="1" applyAlignment="1">
      <alignment/>
    </xf>
    <xf numFmtId="3" fontId="115" fillId="0" borderId="110" xfId="60" applyNumberFormat="1" applyFont="1" applyFill="1" applyBorder="1" applyAlignment="1">
      <alignment horizontal="right" vertical="center"/>
      <protection/>
    </xf>
    <xf numFmtId="3" fontId="115" fillId="0" borderId="86" xfId="60" applyNumberFormat="1" applyFont="1" applyFill="1" applyBorder="1" applyAlignment="1">
      <alignment horizontal="right" vertical="center"/>
      <protection/>
    </xf>
    <xf numFmtId="3" fontId="115" fillId="0" borderId="112" xfId="60" applyNumberFormat="1" applyFont="1" applyFill="1" applyBorder="1" applyAlignment="1">
      <alignment horizontal="right" vertical="center"/>
      <protection/>
    </xf>
    <xf numFmtId="3" fontId="115" fillId="0" borderId="43" xfId="60" applyNumberFormat="1" applyFont="1" applyFill="1" applyBorder="1" applyAlignment="1">
      <alignment vertical="center"/>
      <protection/>
    </xf>
    <xf numFmtId="0" fontId="117" fillId="0" borderId="0" xfId="0" applyFont="1" applyAlignment="1">
      <alignment/>
    </xf>
    <xf numFmtId="3" fontId="116" fillId="0" borderId="0" xfId="0" applyNumberFormat="1" applyFont="1" applyAlignment="1">
      <alignment vertical="center"/>
    </xf>
    <xf numFmtId="0" fontId="19" fillId="5" borderId="28" xfId="0" applyFont="1" applyFill="1" applyBorder="1" applyAlignment="1">
      <alignment vertical="center" wrapText="1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3" fontId="10" fillId="0" borderId="66" xfId="59" applyNumberFormat="1" applyFont="1" applyBorder="1" applyAlignment="1">
      <alignment horizontal="right" vertical="center"/>
      <protection/>
    </xf>
    <xf numFmtId="0" fontId="16" fillId="0" borderId="53" xfId="59" applyFont="1" applyBorder="1" applyAlignment="1">
      <alignment horizontal="left" vertical="center" wrapText="1"/>
      <protection/>
    </xf>
    <xf numFmtId="0" fontId="16" fillId="0" borderId="54" xfId="59" applyFont="1" applyBorder="1" applyAlignment="1">
      <alignment horizontal="left" vertical="center" wrapText="1"/>
      <protection/>
    </xf>
    <xf numFmtId="3" fontId="14" fillId="0" borderId="30" xfId="59" applyNumberFormat="1" applyFont="1" applyBorder="1" applyAlignment="1">
      <alignment horizontal="right" vertical="center"/>
      <protection/>
    </xf>
    <xf numFmtId="3" fontId="14" fillId="0" borderId="52" xfId="59" applyNumberFormat="1" applyFont="1" applyBorder="1" applyAlignment="1">
      <alignment horizontal="right" vertical="center"/>
      <protection/>
    </xf>
    <xf numFmtId="3" fontId="52" fillId="0" borderId="69" xfId="59" applyNumberFormat="1" applyFont="1" applyBorder="1" applyAlignment="1">
      <alignment horizontal="center" vertical="center"/>
      <protection/>
    </xf>
    <xf numFmtId="3" fontId="52" fillId="0" borderId="53" xfId="59" applyNumberFormat="1" applyFont="1" applyBorder="1" applyAlignment="1">
      <alignment horizontal="right" vertical="center"/>
      <protection/>
    </xf>
    <xf numFmtId="3" fontId="16" fillId="0" borderId="57" xfId="59" applyNumberFormat="1" applyFont="1" applyBorder="1" applyAlignment="1">
      <alignment horizontal="right" vertical="center"/>
      <protection/>
    </xf>
    <xf numFmtId="0" fontId="16" fillId="0" borderId="66" xfId="59" applyFont="1" applyBorder="1" applyAlignment="1">
      <alignment horizontal="left" vertical="center" wrapText="1"/>
      <protection/>
    </xf>
    <xf numFmtId="0" fontId="16" fillId="0" borderId="49" xfId="59" applyFont="1" applyBorder="1" applyAlignment="1">
      <alignment horizontal="center" vertical="center"/>
      <protection/>
    </xf>
    <xf numFmtId="0" fontId="16" fillId="0" borderId="0" xfId="59" applyFont="1" applyBorder="1" applyAlignment="1">
      <alignment horizontal="center" vertical="center"/>
      <protection/>
    </xf>
    <xf numFmtId="3" fontId="16" fillId="0" borderId="57" xfId="0" applyNumberFormat="1" applyFont="1" applyBorder="1" applyAlignment="1">
      <alignment horizontal="center" vertical="center"/>
    </xf>
    <xf numFmtId="3" fontId="14" fillId="0" borderId="86" xfId="59" applyNumberFormat="1" applyFont="1" applyBorder="1" applyAlignment="1">
      <alignment horizontal="right"/>
      <protection/>
    </xf>
    <xf numFmtId="3" fontId="13" fillId="0" borderId="112" xfId="59" applyNumberFormat="1" applyFont="1" applyBorder="1">
      <alignment/>
      <protection/>
    </xf>
    <xf numFmtId="3" fontId="14" fillId="0" borderId="48" xfId="59" applyNumberFormat="1" applyFont="1" applyBorder="1">
      <alignment/>
      <protection/>
    </xf>
    <xf numFmtId="0" fontId="16" fillId="0" borderId="112" xfId="59" applyFont="1" applyBorder="1" applyAlignment="1">
      <alignment horizontal="left"/>
      <protection/>
    </xf>
    <xf numFmtId="0" fontId="16" fillId="0" borderId="112" xfId="0" applyFont="1" applyFill="1" applyBorder="1" applyAlignment="1">
      <alignment/>
    </xf>
    <xf numFmtId="3" fontId="10" fillId="0" borderId="43" xfId="59" applyNumberFormat="1" applyFont="1" applyBorder="1" applyAlignment="1">
      <alignment horizontal="right" vertical="center"/>
      <protection/>
    </xf>
    <xf numFmtId="0" fontId="16" fillId="0" borderId="110" xfId="59" applyFont="1" applyBorder="1" applyAlignment="1">
      <alignment horizontal="left" vertical="center" wrapText="1"/>
      <protection/>
    </xf>
    <xf numFmtId="0" fontId="16" fillId="0" borderId="112" xfId="59" applyFont="1" applyBorder="1" applyAlignment="1">
      <alignment horizontal="left" vertical="center" wrapText="1"/>
      <protection/>
    </xf>
    <xf numFmtId="3" fontId="16" fillId="0" borderId="100" xfId="59" applyNumberFormat="1" applyFont="1" applyBorder="1" applyAlignment="1">
      <alignment vertical="center"/>
      <protection/>
    </xf>
    <xf numFmtId="3" fontId="16" fillId="0" borderId="112" xfId="59" applyNumberFormat="1" applyFont="1" applyBorder="1" applyAlignment="1">
      <alignment vertical="center"/>
      <protection/>
    </xf>
    <xf numFmtId="3" fontId="10" fillId="0" borderId="116" xfId="59" applyNumberFormat="1" applyFont="1" applyBorder="1" applyAlignment="1">
      <alignment horizontal="right" vertical="center"/>
      <protection/>
    </xf>
    <xf numFmtId="3" fontId="52" fillId="0" borderId="112" xfId="59" applyNumberFormat="1" applyFont="1" applyBorder="1" applyAlignment="1">
      <alignment horizontal="right" vertical="center"/>
      <protection/>
    </xf>
    <xf numFmtId="3" fontId="52" fillId="0" borderId="86" xfId="59" applyNumberFormat="1" applyFont="1" applyBorder="1" applyAlignment="1">
      <alignment horizontal="right" vertical="center"/>
      <protection/>
    </xf>
    <xf numFmtId="3" fontId="52" fillId="0" borderId="48" xfId="59" applyNumberFormat="1" applyFont="1" applyBorder="1" applyAlignment="1">
      <alignment horizontal="right" vertical="center"/>
      <protection/>
    </xf>
    <xf numFmtId="3" fontId="16" fillId="0" borderId="47" xfId="59" applyNumberFormat="1" applyFont="1" applyBorder="1">
      <alignment/>
      <protection/>
    </xf>
    <xf numFmtId="3" fontId="16" fillId="0" borderId="86" xfId="59" applyNumberFormat="1" applyFont="1" applyBorder="1">
      <alignment/>
      <protection/>
    </xf>
    <xf numFmtId="0" fontId="13" fillId="0" borderId="46" xfId="0" applyFont="1" applyBorder="1" applyAlignment="1">
      <alignment horizontal="center"/>
    </xf>
    <xf numFmtId="0" fontId="14" fillId="0" borderId="11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0" borderId="118" xfId="0" applyFont="1" applyBorder="1" applyAlignment="1">
      <alignment horizontal="center" vertical="center"/>
    </xf>
    <xf numFmtId="0" fontId="14" fillId="0" borderId="119" xfId="0" applyFont="1" applyBorder="1" applyAlignment="1">
      <alignment horizontal="center" vertical="center"/>
    </xf>
    <xf numFmtId="0" fontId="14" fillId="0" borderId="120" xfId="0" applyFont="1" applyBorder="1" applyAlignment="1">
      <alignment horizontal="center" vertical="center"/>
    </xf>
    <xf numFmtId="0" fontId="15" fillId="0" borderId="121" xfId="0" applyFont="1" applyBorder="1" applyAlignment="1">
      <alignment horizontal="center" vertical="center" wrapText="1"/>
    </xf>
    <xf numFmtId="0" fontId="14" fillId="0" borderId="122" xfId="0" applyFont="1" applyBorder="1" applyAlignment="1">
      <alignment horizontal="center" vertical="center" wrapText="1"/>
    </xf>
    <xf numFmtId="0" fontId="13" fillId="36" borderId="84" xfId="0" applyFont="1" applyFill="1" applyBorder="1" applyAlignment="1">
      <alignment horizontal="center"/>
    </xf>
    <xf numFmtId="0" fontId="13" fillId="0" borderId="117" xfId="0" applyFont="1" applyBorder="1" applyAlignment="1">
      <alignment horizontal="center" vertical="center"/>
    </xf>
    <xf numFmtId="0" fontId="13" fillId="0" borderId="123" xfId="0" applyFont="1" applyBorder="1" applyAlignment="1">
      <alignment horizontal="center" vertical="center"/>
    </xf>
    <xf numFmtId="0" fontId="0" fillId="0" borderId="94" xfId="0" applyBorder="1" applyAlignment="1">
      <alignment vertical="center"/>
    </xf>
    <xf numFmtId="0" fontId="13" fillId="0" borderId="124" xfId="0" applyFont="1" applyBorder="1" applyAlignment="1">
      <alignment horizontal="center"/>
    </xf>
    <xf numFmtId="0" fontId="0" fillId="0" borderId="125" xfId="0" applyBorder="1" applyAlignment="1">
      <alignment/>
    </xf>
    <xf numFmtId="3" fontId="8" fillId="4" borderId="33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 horizontal="right" vertical="center"/>
    </xf>
    <xf numFmtId="3" fontId="0" fillId="4" borderId="126" xfId="0" applyNumberFormat="1" applyFill="1" applyBorder="1" applyAlignment="1">
      <alignment/>
    </xf>
    <xf numFmtId="0" fontId="13" fillId="0" borderId="38" xfId="0" applyFont="1" applyBorder="1" applyAlignment="1">
      <alignment horizontal="center" vertical="center"/>
    </xf>
    <xf numFmtId="0" fontId="0" fillId="0" borderId="127" xfId="0" applyBorder="1" applyAlignment="1">
      <alignment/>
    </xf>
    <xf numFmtId="3" fontId="8" fillId="4" borderId="42" xfId="0" applyNumberFormat="1" applyFont="1" applyFill="1" applyBorder="1" applyAlignment="1">
      <alignment/>
    </xf>
    <xf numFmtId="3" fontId="0" fillId="0" borderId="17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4" borderId="38" xfId="0" applyNumberFormat="1" applyFill="1" applyBorder="1" applyAlignment="1">
      <alignment/>
    </xf>
    <xf numFmtId="0" fontId="13" fillId="0" borderId="38" xfId="0" applyFont="1" applyBorder="1" applyAlignment="1">
      <alignment horizontal="center"/>
    </xf>
    <xf numFmtId="0" fontId="19" fillId="0" borderId="43" xfId="0" applyFont="1" applyBorder="1" applyAlignment="1">
      <alignment/>
    </xf>
    <xf numFmtId="3" fontId="19" fillId="4" borderId="110" xfId="0" applyNumberFormat="1" applyFont="1" applyFill="1" applyBorder="1" applyAlignment="1">
      <alignment/>
    </xf>
    <xf numFmtId="3" fontId="19" fillId="37" borderId="86" xfId="0" applyNumberFormat="1" applyFont="1" applyFill="1" applyBorder="1" applyAlignment="1">
      <alignment/>
    </xf>
    <xf numFmtId="3" fontId="19" fillId="4" borderId="95" xfId="0" applyNumberFormat="1" applyFont="1" applyFill="1" applyBorder="1" applyAlignment="1">
      <alignment/>
    </xf>
    <xf numFmtId="0" fontId="0" fillId="0" borderId="57" xfId="0" applyBorder="1" applyAlignment="1">
      <alignment/>
    </xf>
    <xf numFmtId="0" fontId="13" fillId="0" borderId="28" xfId="0" applyFont="1" applyBorder="1" applyAlignment="1">
      <alignment horizontal="center"/>
    </xf>
    <xf numFmtId="0" fontId="0" fillId="0" borderId="33" xfId="0" applyBorder="1" applyAlignment="1">
      <alignment horizontal="left"/>
    </xf>
    <xf numFmtId="3" fontId="0" fillId="4" borderId="33" xfId="0" applyNumberFormat="1" applyFill="1" applyBorder="1" applyAlignment="1">
      <alignment/>
    </xf>
    <xf numFmtId="3" fontId="0" fillId="34" borderId="17" xfId="0" applyNumberFormat="1" applyFill="1" applyBorder="1" applyAlignment="1">
      <alignment/>
    </xf>
    <xf numFmtId="0" fontId="13" fillId="0" borderId="101" xfId="0" applyFont="1" applyBorder="1" applyAlignment="1">
      <alignment horizontal="center"/>
    </xf>
    <xf numFmtId="0" fontId="0" fillId="0" borderId="42" xfId="0" applyBorder="1" applyAlignment="1">
      <alignment horizontal="left"/>
    </xf>
    <xf numFmtId="3" fontId="0" fillId="4" borderId="28" xfId="0" applyNumberFormat="1" applyFill="1" applyBorder="1" applyAlignment="1">
      <alignment/>
    </xf>
    <xf numFmtId="0" fontId="0" fillId="0" borderId="35" xfId="0" applyBorder="1" applyAlignment="1">
      <alignment horizontal="left"/>
    </xf>
    <xf numFmtId="3" fontId="0" fillId="4" borderId="29" xfId="0" applyNumberFormat="1" applyFill="1" applyBorder="1" applyAlignment="1">
      <alignment/>
    </xf>
    <xf numFmtId="3" fontId="0" fillId="34" borderId="51" xfId="0" applyNumberFormat="1" applyFill="1" applyBorder="1" applyAlignment="1">
      <alignment/>
    </xf>
    <xf numFmtId="3" fontId="0" fillId="4" borderId="117" xfId="0" applyNumberFormat="1" applyFill="1" applyBorder="1" applyAlignment="1">
      <alignment/>
    </xf>
    <xf numFmtId="0" fontId="13" fillId="0" borderId="121" xfId="0" applyFont="1" applyBorder="1" applyAlignment="1">
      <alignment horizontal="center"/>
    </xf>
    <xf numFmtId="0" fontId="19" fillId="0" borderId="90" xfId="0" applyFont="1" applyBorder="1" applyAlignment="1">
      <alignment/>
    </xf>
    <xf numFmtId="3" fontId="19" fillId="4" borderId="89" xfId="0" applyNumberFormat="1" applyFont="1" applyFill="1" applyBorder="1" applyAlignment="1">
      <alignment/>
    </xf>
    <xf numFmtId="3" fontId="19" fillId="37" borderId="103" xfId="0" applyNumberFormat="1" applyFont="1" applyFill="1" applyBorder="1" applyAlignment="1">
      <alignment/>
    </xf>
    <xf numFmtId="3" fontId="19" fillId="4" borderId="90" xfId="0" applyNumberFormat="1" applyFont="1" applyFill="1" applyBorder="1" applyAlignment="1">
      <alignment/>
    </xf>
    <xf numFmtId="0" fontId="13" fillId="0" borderId="84" xfId="0" applyFont="1" applyBorder="1" applyAlignment="1">
      <alignment horizontal="center" vertical="center"/>
    </xf>
    <xf numFmtId="0" fontId="0" fillId="0" borderId="126" xfId="0" applyBorder="1" applyAlignment="1">
      <alignment/>
    </xf>
    <xf numFmtId="3" fontId="0" fillId="0" borderId="128" xfId="0" applyNumberFormat="1" applyBorder="1" applyAlignment="1">
      <alignment/>
    </xf>
    <xf numFmtId="3" fontId="0" fillId="38" borderId="71" xfId="0" applyNumberFormat="1" applyFill="1" applyBorder="1" applyAlignment="1">
      <alignment/>
    </xf>
    <xf numFmtId="3" fontId="0" fillId="38" borderId="18" xfId="0" applyNumberFormat="1" applyFill="1" applyBorder="1" applyAlignment="1">
      <alignment/>
    </xf>
    <xf numFmtId="3" fontId="0" fillId="38" borderId="32" xfId="0" applyNumberFormat="1" applyFill="1" applyBorder="1" applyAlignment="1">
      <alignment/>
    </xf>
    <xf numFmtId="3" fontId="0" fillId="38" borderId="34" xfId="0" applyNumberFormat="1" applyFill="1" applyBorder="1" applyAlignment="1">
      <alignment/>
    </xf>
    <xf numFmtId="3" fontId="0" fillId="4" borderId="129" xfId="0" applyNumberFormat="1" applyFill="1" applyBorder="1" applyAlignment="1">
      <alignment/>
    </xf>
    <xf numFmtId="3" fontId="0" fillId="0" borderId="34" xfId="0" applyNumberFormat="1" applyBorder="1" applyAlignment="1">
      <alignment/>
    </xf>
    <xf numFmtId="0" fontId="0" fillId="0" borderId="21" xfId="0" applyBorder="1" applyAlignment="1">
      <alignment horizontal="right"/>
    </xf>
    <xf numFmtId="0" fontId="0" fillId="0" borderId="130" xfId="0" applyBorder="1" applyAlignment="1">
      <alignment/>
    </xf>
    <xf numFmtId="3" fontId="0" fillId="38" borderId="86" xfId="0" applyNumberFormat="1" applyFill="1" applyBorder="1" applyAlignment="1">
      <alignment/>
    </xf>
    <xf numFmtId="3" fontId="0" fillId="38" borderId="99" xfId="0" applyNumberFormat="1" applyFill="1" applyBorder="1" applyAlignment="1">
      <alignment/>
    </xf>
    <xf numFmtId="0" fontId="0" fillId="0" borderId="131" xfId="0" applyBorder="1" applyAlignment="1">
      <alignment horizontal="left"/>
    </xf>
    <xf numFmtId="3" fontId="0" fillId="38" borderId="103" xfId="0" applyNumberFormat="1" applyFill="1" applyBorder="1" applyAlignment="1">
      <alignment/>
    </xf>
    <xf numFmtId="3" fontId="0" fillId="38" borderId="34" xfId="0" applyNumberFormat="1" applyFill="1" applyBorder="1" applyAlignment="1">
      <alignment horizontal="right" vertical="center"/>
    </xf>
    <xf numFmtId="3" fontId="0" fillId="38" borderId="17" xfId="0" applyNumberFormat="1" applyFill="1" applyBorder="1" applyAlignment="1">
      <alignment/>
    </xf>
    <xf numFmtId="3" fontId="19" fillId="38" borderId="86" xfId="0" applyNumberFormat="1" applyFont="1" applyFill="1" applyBorder="1" applyAlignment="1">
      <alignment/>
    </xf>
    <xf numFmtId="3" fontId="0" fillId="38" borderId="132" xfId="0" applyNumberFormat="1" applyFill="1" applyBorder="1" applyAlignment="1">
      <alignment horizontal="right" vertical="center"/>
    </xf>
    <xf numFmtId="0" fontId="13" fillId="0" borderId="133" xfId="0" applyFont="1" applyBorder="1" applyAlignment="1">
      <alignment horizontal="center"/>
    </xf>
    <xf numFmtId="0" fontId="0" fillId="0" borderId="33" xfId="0" applyBorder="1" applyAlignment="1">
      <alignment horizontal="left" wrapText="1"/>
    </xf>
    <xf numFmtId="3" fontId="0" fillId="38" borderId="97" xfId="0" applyNumberFormat="1" applyFill="1" applyBorder="1" applyAlignment="1">
      <alignment horizontal="right" vertical="center"/>
    </xf>
    <xf numFmtId="3" fontId="0" fillId="0" borderId="36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4" borderId="124" xfId="0" applyNumberFormat="1" applyFill="1" applyBorder="1" applyAlignment="1">
      <alignment/>
    </xf>
    <xf numFmtId="3" fontId="0" fillId="4" borderId="130" xfId="0" applyNumberFormat="1" applyFill="1" applyBorder="1" applyAlignment="1">
      <alignment horizontal="right" vertical="center"/>
    </xf>
    <xf numFmtId="3" fontId="0" fillId="4" borderId="127" xfId="0" applyNumberFormat="1" applyFill="1" applyBorder="1" applyAlignment="1">
      <alignment/>
    </xf>
    <xf numFmtId="3" fontId="0" fillId="38" borderId="14" xfId="0" applyNumberFormat="1" applyFill="1" applyBorder="1" applyAlignment="1">
      <alignment/>
    </xf>
    <xf numFmtId="0" fontId="0" fillId="0" borderId="38" xfId="0" applyBorder="1" applyAlignment="1">
      <alignment horizontal="left"/>
    </xf>
    <xf numFmtId="3" fontId="0" fillId="4" borderId="130" xfId="0" applyNumberFormat="1" applyFill="1" applyBorder="1" applyAlignment="1">
      <alignment/>
    </xf>
    <xf numFmtId="3" fontId="19" fillId="38" borderId="14" xfId="0" applyNumberFormat="1" applyFont="1" applyFill="1" applyBorder="1" applyAlignment="1">
      <alignment/>
    </xf>
    <xf numFmtId="0" fontId="0" fillId="0" borderId="134" xfId="0" applyBorder="1" applyAlignment="1">
      <alignment horizontal="left"/>
    </xf>
    <xf numFmtId="3" fontId="0" fillId="38" borderId="135" xfId="0" applyNumberFormat="1" applyFill="1" applyBorder="1" applyAlignment="1">
      <alignment horizontal="right" vertical="center"/>
    </xf>
    <xf numFmtId="3" fontId="0" fillId="0" borderId="18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4" borderId="134" xfId="0" applyNumberFormat="1" applyFill="1" applyBorder="1" applyAlignment="1">
      <alignment/>
    </xf>
    <xf numFmtId="3" fontId="0" fillId="4" borderId="35" xfId="0" applyNumberFormat="1" applyFill="1" applyBorder="1" applyAlignment="1">
      <alignment/>
    </xf>
    <xf numFmtId="3" fontId="0" fillId="38" borderId="10" xfId="0" applyNumberFormat="1" applyFill="1" applyBorder="1" applyAlignment="1">
      <alignment/>
    </xf>
    <xf numFmtId="3" fontId="19" fillId="38" borderId="21" xfId="0" applyNumberFormat="1" applyFont="1" applyFill="1" applyBorder="1" applyAlignment="1">
      <alignment/>
    </xf>
    <xf numFmtId="3" fontId="0" fillId="38" borderId="21" xfId="0" applyNumberFormat="1" applyFill="1" applyBorder="1" applyAlignment="1">
      <alignment/>
    </xf>
    <xf numFmtId="3" fontId="0" fillId="38" borderId="23" xfId="0" applyNumberFormat="1" applyFill="1" applyBorder="1" applyAlignment="1">
      <alignment/>
    </xf>
    <xf numFmtId="3" fontId="19" fillId="38" borderId="18" xfId="0" applyNumberFormat="1" applyFont="1" applyFill="1" applyBorder="1" applyAlignment="1">
      <alignment/>
    </xf>
    <xf numFmtId="0" fontId="0" fillId="0" borderId="18" xfId="0" applyBorder="1" applyAlignment="1">
      <alignment horizontal="right"/>
    </xf>
    <xf numFmtId="3" fontId="0" fillId="38" borderId="41" xfId="0" applyNumberFormat="1" applyFill="1" applyBorder="1" applyAlignment="1">
      <alignment/>
    </xf>
    <xf numFmtId="3" fontId="0" fillId="38" borderId="40" xfId="0" applyNumberFormat="1" applyFill="1" applyBorder="1" applyAlignment="1">
      <alignment/>
    </xf>
    <xf numFmtId="3" fontId="0" fillId="0" borderId="21" xfId="0" applyNumberFormat="1" applyBorder="1" applyAlignment="1">
      <alignment horizontal="right"/>
    </xf>
    <xf numFmtId="3" fontId="0" fillId="34" borderId="34" xfId="0" applyNumberFormat="1" applyFill="1" applyBorder="1" applyAlignment="1">
      <alignment/>
    </xf>
    <xf numFmtId="0" fontId="19" fillId="0" borderId="76" xfId="0" applyFont="1" applyBorder="1" applyAlignment="1">
      <alignment/>
    </xf>
    <xf numFmtId="3" fontId="19" fillId="34" borderId="73" xfId="0" applyNumberFormat="1" applyFont="1" applyFill="1" applyBorder="1" applyAlignment="1">
      <alignment/>
    </xf>
    <xf numFmtId="3" fontId="0" fillId="34" borderId="73" xfId="0" applyNumberFormat="1" applyFill="1" applyBorder="1" applyAlignment="1">
      <alignment/>
    </xf>
    <xf numFmtId="3" fontId="0" fillId="34" borderId="73" xfId="0" applyNumberFormat="1" applyFill="1" applyBorder="1" applyAlignment="1">
      <alignment horizontal="center"/>
    </xf>
    <xf numFmtId="3" fontId="19" fillId="34" borderId="102" xfId="0" applyNumberFormat="1" applyFont="1" applyFill="1" applyBorder="1" applyAlignment="1">
      <alignment/>
    </xf>
    <xf numFmtId="3" fontId="0" fillId="34" borderId="71" xfId="0" applyNumberFormat="1" applyFill="1" applyBorder="1" applyAlignment="1">
      <alignment/>
    </xf>
    <xf numFmtId="3" fontId="0" fillId="34" borderId="18" xfId="0" applyNumberFormat="1" applyFill="1" applyBorder="1" applyAlignment="1">
      <alignment/>
    </xf>
    <xf numFmtId="3" fontId="0" fillId="34" borderId="32" xfId="0" applyNumberFormat="1" applyFill="1" applyBorder="1" applyAlignment="1">
      <alignment/>
    </xf>
    <xf numFmtId="3" fontId="0" fillId="34" borderId="36" xfId="0" applyNumberFormat="1" applyFill="1" applyBorder="1" applyAlignment="1">
      <alignment/>
    </xf>
    <xf numFmtId="3" fontId="0" fillId="34" borderId="21" xfId="0" applyNumberFormat="1" applyFill="1" applyBorder="1" applyAlignment="1">
      <alignment/>
    </xf>
    <xf numFmtId="0" fontId="0" fillId="0" borderId="57" xfId="0" applyBorder="1" applyAlignment="1">
      <alignment vertical="center"/>
    </xf>
    <xf numFmtId="3" fontId="19" fillId="4" borderId="125" xfId="0" applyNumberFormat="1" applyFont="1" applyFill="1" applyBorder="1" applyAlignment="1">
      <alignment/>
    </xf>
    <xf numFmtId="3" fontId="19" fillId="4" borderId="136" xfId="0" applyNumberFormat="1" applyFont="1" applyFill="1" applyBorder="1" applyAlignment="1">
      <alignment/>
    </xf>
    <xf numFmtId="3" fontId="19" fillId="38" borderId="99" xfId="0" applyNumberFormat="1" applyFont="1" applyFill="1" applyBorder="1" applyAlignment="1">
      <alignment/>
    </xf>
    <xf numFmtId="0" fontId="13" fillId="0" borderId="121" xfId="0" applyFont="1" applyBorder="1" applyAlignment="1">
      <alignment horizontal="center" vertical="center"/>
    </xf>
    <xf numFmtId="0" fontId="19" fillId="0" borderId="89" xfId="0" applyFont="1" applyBorder="1" applyAlignment="1">
      <alignment/>
    </xf>
    <xf numFmtId="3" fontId="19" fillId="37" borderId="137" xfId="0" applyNumberFormat="1" applyFont="1" applyFill="1" applyBorder="1" applyAlignment="1">
      <alignment horizontal="right"/>
    </xf>
    <xf numFmtId="0" fontId="19" fillId="34" borderId="76" xfId="0" applyFont="1" applyFill="1" applyBorder="1" applyAlignment="1">
      <alignment/>
    </xf>
    <xf numFmtId="0" fontId="13" fillId="36" borderId="84" xfId="0" applyFont="1" applyFill="1" applyBorder="1" applyAlignment="1">
      <alignment horizontal="center" vertical="center"/>
    </xf>
    <xf numFmtId="0" fontId="0" fillId="0" borderId="138" xfId="0" applyBorder="1" applyAlignment="1">
      <alignment vertical="center"/>
    </xf>
    <xf numFmtId="3" fontId="8" fillId="4" borderId="35" xfId="0" applyNumberFormat="1" applyFont="1" applyFill="1" applyBorder="1" applyAlignment="1">
      <alignment horizontal="right"/>
    </xf>
    <xf numFmtId="3" fontId="0" fillId="38" borderId="36" xfId="0" applyNumberFormat="1" applyFill="1" applyBorder="1" applyAlignment="1">
      <alignment horizontal="right" vertical="center"/>
    </xf>
    <xf numFmtId="3" fontId="0" fillId="0" borderId="36" xfId="0" applyNumberFormat="1" applyBorder="1" applyAlignment="1">
      <alignment horizontal="right" vertical="center"/>
    </xf>
    <xf numFmtId="0" fontId="0" fillId="0" borderId="46" xfId="0" applyBorder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2" fillId="0" borderId="2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5" fillId="0" borderId="21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1" fillId="0" borderId="21" xfId="0" applyFont="1" applyBorder="1" applyAlignment="1">
      <alignment horizontal="right" vertical="center"/>
    </xf>
    <xf numFmtId="0" fontId="11" fillId="0" borderId="21" xfId="0" applyFont="1" applyBorder="1" applyAlignment="1">
      <alignment vertical="center" wrapText="1"/>
    </xf>
    <xf numFmtId="166" fontId="11" fillId="0" borderId="21" xfId="0" applyNumberFormat="1" applyFont="1" applyBorder="1" applyAlignment="1">
      <alignment vertical="center"/>
    </xf>
    <xf numFmtId="166" fontId="12" fillId="0" borderId="21" xfId="0" applyNumberFormat="1" applyFont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166" fontId="118" fillId="0" borderId="21" xfId="0" applyNumberFormat="1" applyFont="1" applyBorder="1" applyAlignment="1">
      <alignment vertical="center"/>
    </xf>
    <xf numFmtId="3" fontId="8" fillId="4" borderId="131" xfId="0" applyNumberFormat="1" applyFont="1" applyFill="1" applyBorder="1" applyAlignment="1">
      <alignment horizontal="right"/>
    </xf>
    <xf numFmtId="3" fontId="0" fillId="38" borderId="37" xfId="0" applyNumberFormat="1" applyFill="1" applyBorder="1" applyAlignment="1">
      <alignment horizontal="right" vertical="center"/>
    </xf>
    <xf numFmtId="3" fontId="0" fillId="38" borderId="30" xfId="0" applyNumberFormat="1" applyFill="1" applyBorder="1" applyAlignment="1">
      <alignment/>
    </xf>
    <xf numFmtId="3" fontId="0" fillId="38" borderId="97" xfId="0" applyNumberFormat="1" applyFill="1" applyBorder="1" applyAlignment="1">
      <alignment/>
    </xf>
    <xf numFmtId="3" fontId="0" fillId="38" borderId="36" xfId="0" applyNumberFormat="1" applyFill="1" applyBorder="1" applyAlignment="1">
      <alignment/>
    </xf>
    <xf numFmtId="0" fontId="0" fillId="0" borderId="37" xfId="0" applyBorder="1" applyAlignment="1">
      <alignment horizontal="right"/>
    </xf>
    <xf numFmtId="3" fontId="0" fillId="38" borderId="39" xfId="0" applyNumberFormat="1" applyFill="1" applyBorder="1" applyAlignment="1">
      <alignment/>
    </xf>
    <xf numFmtId="0" fontId="13" fillId="0" borderId="84" xfId="0" applyFont="1" applyBorder="1" applyAlignment="1">
      <alignment horizontal="center"/>
    </xf>
    <xf numFmtId="0" fontId="2" fillId="0" borderId="17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/>
    </xf>
    <xf numFmtId="0" fontId="16" fillId="0" borderId="49" xfId="59" applyFont="1" applyBorder="1" applyAlignment="1">
      <alignment horizontal="left" vertical="center" wrapText="1"/>
      <protection/>
    </xf>
    <xf numFmtId="0" fontId="62" fillId="0" borderId="21" xfId="0" applyFont="1" applyBorder="1" applyAlignment="1">
      <alignment horizontal="right" vertical="center"/>
    </xf>
    <xf numFmtId="0" fontId="62" fillId="0" borderId="21" xfId="0" applyFont="1" applyBorder="1" applyAlignment="1">
      <alignment horizontal="right" vertical="center" wrapText="1"/>
    </xf>
    <xf numFmtId="166" fontId="62" fillId="0" borderId="21" xfId="0" applyNumberFormat="1" applyFont="1" applyBorder="1" applyAlignment="1">
      <alignment vertical="center"/>
    </xf>
    <xf numFmtId="0" fontId="0" fillId="0" borderId="126" xfId="0" applyBorder="1" applyAlignment="1">
      <alignment horizontal="left"/>
    </xf>
    <xf numFmtId="3" fontId="19" fillId="38" borderId="96" xfId="0" applyNumberFormat="1" applyFont="1" applyFill="1" applyBorder="1" applyAlignment="1">
      <alignment/>
    </xf>
    <xf numFmtId="0" fontId="16" fillId="0" borderId="66" xfId="59" applyFont="1" applyBorder="1" applyAlignment="1">
      <alignment horizontal="left"/>
      <protection/>
    </xf>
    <xf numFmtId="0" fontId="11" fillId="34" borderId="0" xfId="0" applyFont="1" applyFill="1" applyAlignment="1">
      <alignment vertical="center"/>
    </xf>
    <xf numFmtId="49" fontId="11" fillId="34" borderId="0" xfId="0" applyNumberFormat="1" applyFont="1" applyFill="1" applyAlignment="1">
      <alignment vertical="center"/>
    </xf>
    <xf numFmtId="49" fontId="11" fillId="34" borderId="28" xfId="0" applyNumberFormat="1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vertical="center" wrapText="1"/>
    </xf>
    <xf numFmtId="3" fontId="11" fillId="34" borderId="17" xfId="0" applyNumberFormat="1" applyFont="1" applyFill="1" applyBorder="1" applyAlignment="1">
      <alignment vertical="center"/>
    </xf>
    <xf numFmtId="3" fontId="11" fillId="34" borderId="21" xfId="0" applyNumberFormat="1" applyFont="1" applyFill="1" applyBorder="1" applyAlignment="1">
      <alignment vertical="center"/>
    </xf>
    <xf numFmtId="3" fontId="12" fillId="34" borderId="23" xfId="0" applyNumberFormat="1" applyFont="1" applyFill="1" applyBorder="1" applyAlignment="1">
      <alignment vertical="center"/>
    </xf>
    <xf numFmtId="49" fontId="11" fillId="34" borderId="131" xfId="0" applyNumberFormat="1" applyFont="1" applyFill="1" applyBorder="1" applyAlignment="1">
      <alignment horizontal="center" vertical="center"/>
    </xf>
    <xf numFmtId="3" fontId="11" fillId="34" borderId="51" xfId="0" applyNumberFormat="1" applyFont="1" applyFill="1" applyBorder="1" applyAlignment="1">
      <alignment vertical="center"/>
    </xf>
    <xf numFmtId="3" fontId="12" fillId="34" borderId="0" xfId="0" applyNumberFormat="1" applyFont="1" applyFill="1" applyBorder="1" applyAlignment="1">
      <alignment vertical="center"/>
    </xf>
    <xf numFmtId="0" fontId="12" fillId="34" borderId="0" xfId="0" applyFont="1" applyFill="1" applyAlignment="1">
      <alignment vertical="center"/>
    </xf>
    <xf numFmtId="49" fontId="12" fillId="34" borderId="0" xfId="0" applyNumberFormat="1" applyFont="1" applyFill="1" applyAlignment="1">
      <alignment vertical="center"/>
    </xf>
    <xf numFmtId="49" fontId="12" fillId="34" borderId="95" xfId="0" applyNumberFormat="1" applyFont="1" applyFill="1" applyBorder="1" applyAlignment="1">
      <alignment horizontal="center" vertical="center"/>
    </xf>
    <xf numFmtId="0" fontId="12" fillId="34" borderId="86" xfId="0" applyFont="1" applyFill="1" applyBorder="1" applyAlignment="1">
      <alignment vertical="center"/>
    </xf>
    <xf numFmtId="3" fontId="12" fillId="34" borderId="98" xfId="0" applyNumberFormat="1" applyFont="1" applyFill="1" applyBorder="1" applyAlignment="1">
      <alignment vertical="center"/>
    </xf>
    <xf numFmtId="0" fontId="12" fillId="34" borderId="0" xfId="0" applyFont="1" applyFill="1" applyBorder="1" applyAlignment="1">
      <alignment vertical="center"/>
    </xf>
    <xf numFmtId="0" fontId="15" fillId="0" borderId="96" xfId="60" applyFont="1" applyFill="1" applyBorder="1" applyAlignment="1">
      <alignment vertical="center" wrapText="1"/>
      <protection/>
    </xf>
    <xf numFmtId="0" fontId="19" fillId="5" borderId="139" xfId="0" applyFont="1" applyFill="1" applyBorder="1" applyAlignment="1">
      <alignment vertical="center" wrapText="1"/>
    </xf>
    <xf numFmtId="49" fontId="8" fillId="0" borderId="0" xfId="61" applyNumberFormat="1">
      <alignment/>
      <protection/>
    </xf>
    <xf numFmtId="0" fontId="8" fillId="0" borderId="0" xfId="61">
      <alignment/>
      <protection/>
    </xf>
    <xf numFmtId="0" fontId="11" fillId="0" borderId="0" xfId="61" applyFont="1" applyAlignment="1">
      <alignment/>
      <protection/>
    </xf>
    <xf numFmtId="0" fontId="8" fillId="0" borderId="0" xfId="61" applyAlignment="1">
      <alignment/>
      <protection/>
    </xf>
    <xf numFmtId="0" fontId="13" fillId="0" borderId="0" xfId="61" applyFont="1" applyAlignment="1">
      <alignment/>
      <protection/>
    </xf>
    <xf numFmtId="0" fontId="64" fillId="0" borderId="0" xfId="0" applyFont="1" applyAlignment="1">
      <alignment horizontal="right" vertical="center"/>
    </xf>
    <xf numFmtId="0" fontId="65" fillId="0" borderId="0" xfId="61" applyFont="1">
      <alignment/>
      <protection/>
    </xf>
    <xf numFmtId="0" fontId="65" fillId="0" borderId="0" xfId="61" applyFont="1" applyAlignment="1">
      <alignment horizontal="center"/>
      <protection/>
    </xf>
    <xf numFmtId="0" fontId="63" fillId="0" borderId="0" xfId="61" applyFont="1" applyAlignment="1">
      <alignment horizontal="center" vertical="center"/>
      <protection/>
    </xf>
    <xf numFmtId="0" fontId="63" fillId="0" borderId="14" xfId="61" applyFont="1" applyBorder="1" applyAlignment="1">
      <alignment horizontal="center" vertical="center"/>
      <protection/>
    </xf>
    <xf numFmtId="0" fontId="63" fillId="0" borderId="28" xfId="61" applyFont="1" applyBorder="1" applyAlignment="1">
      <alignment horizontal="center" vertical="center" wrapText="1"/>
      <protection/>
    </xf>
    <xf numFmtId="0" fontId="63" fillId="0" borderId="21" xfId="61" applyFont="1" applyBorder="1" applyAlignment="1">
      <alignment horizontal="center" vertical="center" wrapText="1"/>
      <protection/>
    </xf>
    <xf numFmtId="0" fontId="63" fillId="0" borderId="23" xfId="61" applyFont="1" applyBorder="1" applyAlignment="1">
      <alignment horizontal="center" vertical="center" wrapText="1"/>
      <protection/>
    </xf>
    <xf numFmtId="0" fontId="63" fillId="0" borderId="17" xfId="61" applyFont="1" applyBorder="1" applyAlignment="1">
      <alignment horizontal="center" vertical="center" wrapText="1"/>
      <protection/>
    </xf>
    <xf numFmtId="0" fontId="66" fillId="0" borderId="14" xfId="61" applyFont="1" applyBorder="1" applyAlignment="1">
      <alignment horizontal="center" vertical="center"/>
      <protection/>
    </xf>
    <xf numFmtId="0" fontId="66" fillId="0" borderId="28" xfId="61" applyFont="1" applyBorder="1" applyAlignment="1">
      <alignment horizontal="center" vertical="center" wrapText="1"/>
      <protection/>
    </xf>
    <xf numFmtId="0" fontId="66" fillId="0" borderId="21" xfId="61" applyFont="1" applyBorder="1" applyAlignment="1">
      <alignment horizontal="center" vertical="center" wrapText="1"/>
      <protection/>
    </xf>
    <xf numFmtId="0" fontId="66" fillId="0" borderId="23" xfId="61" applyFont="1" applyBorder="1" applyAlignment="1">
      <alignment horizontal="center" vertical="center" wrapText="1"/>
      <protection/>
    </xf>
    <xf numFmtId="0" fontId="66" fillId="0" borderId="17" xfId="61" applyFont="1" applyBorder="1" applyAlignment="1">
      <alignment horizontal="center" vertical="center" wrapText="1"/>
      <protection/>
    </xf>
    <xf numFmtId="0" fontId="67" fillId="0" borderId="124" xfId="61" applyFont="1" applyBorder="1" applyAlignment="1">
      <alignment horizontal="center" vertical="center" wrapText="1"/>
      <protection/>
    </xf>
    <xf numFmtId="0" fontId="66" fillId="0" borderId="0" xfId="61" applyFont="1" applyAlignment="1">
      <alignment horizontal="center" vertical="center"/>
      <protection/>
    </xf>
    <xf numFmtId="0" fontId="19" fillId="39" borderId="21" xfId="61" applyFont="1" applyFill="1" applyBorder="1" applyAlignment="1">
      <alignment vertical="center"/>
      <protection/>
    </xf>
    <xf numFmtId="0" fontId="19" fillId="39" borderId="14" xfId="61" applyFont="1" applyFill="1" applyBorder="1" applyAlignment="1">
      <alignment vertical="center" wrapText="1"/>
      <protection/>
    </xf>
    <xf numFmtId="3" fontId="19" fillId="39" borderId="28" xfId="61" applyNumberFormat="1" applyFont="1" applyFill="1" applyBorder="1" applyAlignment="1">
      <alignment vertical="center"/>
      <protection/>
    </xf>
    <xf numFmtId="3" fontId="19" fillId="39" borderId="21" xfId="61" applyNumberFormat="1" applyFont="1" applyFill="1" applyBorder="1" applyAlignment="1">
      <alignment vertical="center"/>
      <protection/>
    </xf>
    <xf numFmtId="3" fontId="19" fillId="39" borderId="23" xfId="61" applyNumberFormat="1" applyFont="1" applyFill="1" applyBorder="1" applyAlignment="1">
      <alignment vertical="center"/>
      <protection/>
    </xf>
    <xf numFmtId="3" fontId="19" fillId="39" borderId="17" xfId="61" applyNumberFormat="1" applyFont="1" applyFill="1" applyBorder="1" applyAlignment="1">
      <alignment vertical="center"/>
      <protection/>
    </xf>
    <xf numFmtId="3" fontId="19" fillId="39" borderId="38" xfId="61" applyNumberFormat="1" applyFont="1" applyFill="1" applyBorder="1" applyAlignment="1">
      <alignment vertical="center"/>
      <protection/>
    </xf>
    <xf numFmtId="3" fontId="19" fillId="0" borderId="0" xfId="61" applyNumberFormat="1" applyFont="1" applyAlignment="1">
      <alignment vertical="center"/>
      <protection/>
    </xf>
    <xf numFmtId="3" fontId="119" fillId="0" borderId="0" xfId="61" applyNumberFormat="1" applyFont="1" applyAlignment="1">
      <alignment vertical="center"/>
      <protection/>
    </xf>
    <xf numFmtId="0" fontId="19" fillId="0" borderId="0" xfId="61" applyFont="1" applyAlignment="1">
      <alignment vertical="center"/>
      <protection/>
    </xf>
    <xf numFmtId="49" fontId="19" fillId="39" borderId="28" xfId="61" applyNumberFormat="1" applyFont="1" applyFill="1" applyBorder="1" applyAlignment="1">
      <alignment horizontal="center" vertical="center"/>
      <protection/>
    </xf>
    <xf numFmtId="0" fontId="19" fillId="0" borderId="21" xfId="61" applyFont="1" applyBorder="1">
      <alignment/>
      <protection/>
    </xf>
    <xf numFmtId="0" fontId="19" fillId="0" borderId="14" xfId="61" applyFont="1" applyBorder="1" applyAlignment="1">
      <alignment wrapText="1"/>
      <protection/>
    </xf>
    <xf numFmtId="4" fontId="19" fillId="0" borderId="28" xfId="61" applyNumberFormat="1" applyFont="1" applyBorder="1" applyAlignment="1">
      <alignment vertical="center"/>
      <protection/>
    </xf>
    <xf numFmtId="3" fontId="19" fillId="0" borderId="21" xfId="61" applyNumberFormat="1" applyFont="1" applyBorder="1" applyAlignment="1">
      <alignment vertical="center"/>
      <protection/>
    </xf>
    <xf numFmtId="3" fontId="19" fillId="0" borderId="23" xfId="61" applyNumberFormat="1" applyFont="1" applyBorder="1" applyAlignment="1">
      <alignment vertical="center"/>
      <protection/>
    </xf>
    <xf numFmtId="3" fontId="19" fillId="0" borderId="28" xfId="61" applyNumberFormat="1" applyFont="1" applyBorder="1" applyAlignment="1">
      <alignment vertical="center"/>
      <protection/>
    </xf>
    <xf numFmtId="3" fontId="19" fillId="0" borderId="17" xfId="61" applyNumberFormat="1" applyFont="1" applyBorder="1" applyAlignment="1">
      <alignment vertical="center"/>
      <protection/>
    </xf>
    <xf numFmtId="3" fontId="19" fillId="0" borderId="38" xfId="61" applyNumberFormat="1" applyFont="1" applyBorder="1" applyAlignment="1">
      <alignment vertical="center"/>
      <protection/>
    </xf>
    <xf numFmtId="3" fontId="19" fillId="0" borderId="0" xfId="61" applyNumberFormat="1" applyFont="1">
      <alignment/>
      <protection/>
    </xf>
    <xf numFmtId="3" fontId="8" fillId="0" borderId="0" xfId="61" applyNumberFormat="1" applyFont="1">
      <alignment/>
      <protection/>
    </xf>
    <xf numFmtId="0" fontId="19" fillId="0" borderId="0" xfId="61" applyFont="1">
      <alignment/>
      <protection/>
    </xf>
    <xf numFmtId="49" fontId="19" fillId="0" borderId="28" xfId="61" applyNumberFormat="1" applyFont="1" applyBorder="1" applyAlignment="1">
      <alignment vertical="center"/>
      <protection/>
    </xf>
    <xf numFmtId="49" fontId="8" fillId="0" borderId="28" xfId="61" applyNumberFormat="1" applyBorder="1" applyAlignment="1">
      <alignment vertical="center"/>
      <protection/>
    </xf>
    <xf numFmtId="0" fontId="8" fillId="0" borderId="21" xfId="61" applyFont="1" applyBorder="1">
      <alignment/>
      <protection/>
    </xf>
    <xf numFmtId="0" fontId="8" fillId="0" borderId="14" xfId="61" applyFont="1" applyBorder="1">
      <alignment/>
      <protection/>
    </xf>
    <xf numFmtId="3" fontId="8" fillId="0" borderId="28" xfId="61" applyNumberFormat="1" applyBorder="1" applyAlignment="1">
      <alignment vertical="center"/>
      <protection/>
    </xf>
    <xf numFmtId="3" fontId="8" fillId="0" borderId="21" xfId="61" applyNumberFormat="1" applyBorder="1" applyAlignment="1">
      <alignment vertical="center"/>
      <protection/>
    </xf>
    <xf numFmtId="3" fontId="8" fillId="0" borderId="23" xfId="61" applyNumberFormat="1" applyBorder="1" applyAlignment="1">
      <alignment vertical="center"/>
      <protection/>
    </xf>
    <xf numFmtId="3" fontId="8" fillId="0" borderId="17" xfId="61" applyNumberFormat="1" applyBorder="1" applyAlignment="1">
      <alignment vertical="center"/>
      <protection/>
    </xf>
    <xf numFmtId="3" fontId="8" fillId="0" borderId="38" xfId="61" applyNumberFormat="1" applyBorder="1" applyAlignment="1">
      <alignment vertical="center"/>
      <protection/>
    </xf>
    <xf numFmtId="3" fontId="8" fillId="0" borderId="0" xfId="61" applyNumberFormat="1">
      <alignment/>
      <protection/>
    </xf>
    <xf numFmtId="0" fontId="19" fillId="0" borderId="14" xfId="61" applyFont="1" applyBorder="1">
      <alignment/>
      <protection/>
    </xf>
    <xf numFmtId="3" fontId="19" fillId="0" borderId="28" xfId="61" applyNumberFormat="1" applyFont="1" applyFill="1" applyBorder="1" applyAlignment="1">
      <alignment vertical="center"/>
      <protection/>
    </xf>
    <xf numFmtId="3" fontId="19" fillId="0" borderId="21" xfId="61" applyNumberFormat="1" applyFont="1" applyFill="1" applyBorder="1" applyAlignment="1">
      <alignment vertical="center"/>
      <protection/>
    </xf>
    <xf numFmtId="171" fontId="19" fillId="0" borderId="28" xfId="61" applyNumberFormat="1" applyFont="1" applyBorder="1" applyAlignment="1">
      <alignment vertical="center"/>
      <protection/>
    </xf>
    <xf numFmtId="171" fontId="19" fillId="0" borderId="17" xfId="61" applyNumberFormat="1" applyFont="1" applyBorder="1" applyAlignment="1">
      <alignment vertical="center"/>
      <protection/>
    </xf>
    <xf numFmtId="0" fontId="8" fillId="39" borderId="21" xfId="61" applyFill="1" applyBorder="1">
      <alignment/>
      <protection/>
    </xf>
    <xf numFmtId="3" fontId="8" fillId="39" borderId="28" xfId="61" applyNumberFormat="1" applyFill="1" applyBorder="1" applyAlignment="1">
      <alignment vertical="center"/>
      <protection/>
    </xf>
    <xf numFmtId="3" fontId="8" fillId="39" borderId="21" xfId="61" applyNumberFormat="1" applyFill="1" applyBorder="1" applyAlignment="1">
      <alignment vertical="center"/>
      <protection/>
    </xf>
    <xf numFmtId="3" fontId="8" fillId="39" borderId="17" xfId="61" applyNumberFormat="1" applyFill="1" applyBorder="1" applyAlignment="1">
      <alignment vertical="center"/>
      <protection/>
    </xf>
    <xf numFmtId="3" fontId="119" fillId="0" borderId="0" xfId="61" applyNumberFormat="1" applyFont="1">
      <alignment/>
      <protection/>
    </xf>
    <xf numFmtId="171" fontId="8" fillId="0" borderId="28" xfId="61" applyNumberFormat="1" applyBorder="1" applyAlignment="1">
      <alignment vertical="center"/>
      <protection/>
    </xf>
    <xf numFmtId="171" fontId="8" fillId="0" borderId="17" xfId="61" applyNumberFormat="1" applyBorder="1" applyAlignment="1">
      <alignment vertical="center"/>
      <protection/>
    </xf>
    <xf numFmtId="0" fontId="8" fillId="0" borderId="14" xfId="61" applyFont="1" applyBorder="1" applyAlignment="1">
      <alignment wrapText="1"/>
      <protection/>
    </xf>
    <xf numFmtId="0" fontId="19" fillId="39" borderId="21" xfId="61" applyFont="1" applyFill="1" applyBorder="1">
      <alignment/>
      <protection/>
    </xf>
    <xf numFmtId="4" fontId="19" fillId="39" borderId="28" xfId="61" applyNumberFormat="1" applyFont="1" applyFill="1" applyBorder="1" applyAlignment="1">
      <alignment vertical="center"/>
      <protection/>
    </xf>
    <xf numFmtId="4" fontId="19" fillId="39" borderId="17" xfId="61" applyNumberFormat="1" applyFont="1" applyFill="1" applyBorder="1" applyAlignment="1">
      <alignment vertical="center"/>
      <protection/>
    </xf>
    <xf numFmtId="2" fontId="8" fillId="0" borderId="28" xfId="61" applyNumberFormat="1" applyBorder="1" applyAlignment="1">
      <alignment vertical="center"/>
      <protection/>
    </xf>
    <xf numFmtId="2" fontId="8" fillId="0" borderId="17" xfId="61" applyNumberFormat="1" applyBorder="1" applyAlignment="1">
      <alignment vertical="center"/>
      <protection/>
    </xf>
    <xf numFmtId="4" fontId="8" fillId="0" borderId="28" xfId="61" applyNumberFormat="1" applyBorder="1" applyAlignment="1">
      <alignment vertical="center"/>
      <protection/>
    </xf>
    <xf numFmtId="3" fontId="8" fillId="0" borderId="38" xfId="61" applyNumberFormat="1" applyFont="1" applyBorder="1" applyAlignment="1">
      <alignment vertical="center"/>
      <protection/>
    </xf>
    <xf numFmtId="3" fontId="8" fillId="34" borderId="23" xfId="61" applyNumberFormat="1" applyFill="1" applyBorder="1" applyAlignment="1">
      <alignment vertical="center"/>
      <protection/>
    </xf>
    <xf numFmtId="3" fontId="8" fillId="0" borderId="21" xfId="61" applyNumberFormat="1" applyFill="1" applyBorder="1" applyAlignment="1">
      <alignment vertical="center"/>
      <protection/>
    </xf>
    <xf numFmtId="3" fontId="8" fillId="0" borderId="28" xfId="61" applyNumberFormat="1" applyFont="1" applyFill="1" applyBorder="1" applyAlignment="1">
      <alignment vertical="center"/>
      <protection/>
    </xf>
    <xf numFmtId="3" fontId="8" fillId="0" borderId="21" xfId="61" applyNumberFormat="1" applyFont="1" applyFill="1" applyBorder="1" applyAlignment="1">
      <alignment vertical="center"/>
      <protection/>
    </xf>
    <xf numFmtId="3" fontId="8" fillId="0" borderId="23" xfId="61" applyNumberFormat="1" applyFont="1" applyBorder="1" applyAlignment="1">
      <alignment vertical="center"/>
      <protection/>
    </xf>
    <xf numFmtId="4" fontId="8" fillId="0" borderId="28" xfId="61" applyNumberFormat="1" applyFill="1" applyBorder="1" applyAlignment="1">
      <alignment vertical="center"/>
      <protection/>
    </xf>
    <xf numFmtId="3" fontId="8" fillId="0" borderId="17" xfId="61" applyNumberFormat="1" applyFill="1" applyBorder="1" applyAlignment="1">
      <alignment vertical="center"/>
      <protection/>
    </xf>
    <xf numFmtId="3" fontId="68" fillId="0" borderId="0" xfId="61" applyNumberFormat="1" applyFont="1">
      <alignment/>
      <protection/>
    </xf>
    <xf numFmtId="3" fontId="63" fillId="0" borderId="0" xfId="61" applyNumberFormat="1" applyFont="1">
      <alignment/>
      <protection/>
    </xf>
    <xf numFmtId="0" fontId="68" fillId="0" borderId="0" xfId="61" applyFont="1">
      <alignment/>
      <protection/>
    </xf>
    <xf numFmtId="3" fontId="69" fillId="39" borderId="29" xfId="61" applyNumberFormat="1" applyFont="1" applyFill="1" applyBorder="1" applyAlignment="1">
      <alignment horizontal="center" vertical="center"/>
      <protection/>
    </xf>
    <xf numFmtId="3" fontId="69" fillId="39" borderId="18" xfId="61" applyNumberFormat="1" applyFont="1" applyFill="1" applyBorder="1" applyAlignment="1">
      <alignment horizontal="center" vertical="center"/>
      <protection/>
    </xf>
    <xf numFmtId="3" fontId="69" fillId="39" borderId="32" xfId="61" applyNumberFormat="1" applyFont="1" applyFill="1" applyBorder="1" applyAlignment="1">
      <alignment vertical="center"/>
      <protection/>
    </xf>
    <xf numFmtId="3" fontId="69" fillId="39" borderId="20" xfId="61" applyNumberFormat="1" applyFont="1" applyFill="1" applyBorder="1" applyAlignment="1">
      <alignment horizontal="center" vertical="center"/>
      <protection/>
    </xf>
    <xf numFmtId="3" fontId="70" fillId="39" borderId="134" xfId="61" applyNumberFormat="1" applyFont="1" applyFill="1" applyBorder="1" applyAlignment="1">
      <alignment vertical="center"/>
      <protection/>
    </xf>
    <xf numFmtId="49" fontId="19" fillId="39" borderId="28" xfId="61" applyNumberFormat="1" applyFont="1" applyFill="1" applyBorder="1" applyAlignment="1">
      <alignment horizontal="left" vertical="center"/>
      <protection/>
    </xf>
    <xf numFmtId="0" fontId="19" fillId="0" borderId="21" xfId="61" applyFont="1" applyBorder="1" applyAlignment="1">
      <alignment horizontal="left" vertical="center"/>
      <protection/>
    </xf>
    <xf numFmtId="0" fontId="19" fillId="0" borderId="14" xfId="61" applyFont="1" applyBorder="1" applyAlignment="1">
      <alignment horizontal="left" vertical="center" wrapText="1"/>
      <protection/>
    </xf>
    <xf numFmtId="3" fontId="8" fillId="38" borderId="140" xfId="0" applyNumberFormat="1" applyFont="1" applyFill="1" applyBorder="1" applyAlignment="1">
      <alignment/>
    </xf>
    <xf numFmtId="0" fontId="0" fillId="0" borderId="28" xfId="0" applyBorder="1" applyAlignment="1">
      <alignment horizontal="left"/>
    </xf>
    <xf numFmtId="0" fontId="0" fillId="0" borderId="21" xfId="0" applyBorder="1" applyAlignment="1">
      <alignment/>
    </xf>
    <xf numFmtId="0" fontId="34" fillId="0" borderId="21" xfId="0" applyFont="1" applyBorder="1" applyAlignment="1">
      <alignment horizontal="left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21" xfId="0" applyFont="1" applyBorder="1" applyAlignment="1">
      <alignment horizontal="left"/>
    </xf>
    <xf numFmtId="0" fontId="41" fillId="0" borderId="21" xfId="0" applyFont="1" applyBorder="1" applyAlignment="1">
      <alignment horizontal="left"/>
    </xf>
    <xf numFmtId="0" fontId="34" fillId="0" borderId="21" xfId="0" applyFont="1" applyBorder="1" applyAlignment="1">
      <alignment horizontal="left" wrapText="1"/>
    </xf>
    <xf numFmtId="0" fontId="35" fillId="0" borderId="21" xfId="0" applyFont="1" applyBorder="1" applyAlignment="1">
      <alignment horizontal="left" wrapText="1"/>
    </xf>
    <xf numFmtId="0" fontId="35" fillId="0" borderId="14" xfId="0" applyFont="1" applyBorder="1" applyAlignment="1">
      <alignment horizontal="left"/>
    </xf>
    <xf numFmtId="0" fontId="35" fillId="0" borderId="17" xfId="0" applyFont="1" applyBorder="1" applyAlignment="1">
      <alignment horizontal="left"/>
    </xf>
    <xf numFmtId="0" fontId="38" fillId="0" borderId="14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34" fillId="0" borderId="14" xfId="58" applyFont="1" applyBorder="1" applyAlignment="1">
      <alignment horizontal="left" wrapText="1"/>
      <protection/>
    </xf>
    <xf numFmtId="0" fontId="34" fillId="0" borderId="17" xfId="58" applyFont="1" applyBorder="1" applyAlignment="1">
      <alignment horizontal="left" wrapText="1"/>
      <protection/>
    </xf>
    <xf numFmtId="0" fontId="34" fillId="0" borderId="14" xfId="58" applyFont="1" applyBorder="1" applyAlignment="1">
      <alignment horizontal="left"/>
      <protection/>
    </xf>
    <xf numFmtId="0" fontId="34" fillId="0" borderId="17" xfId="58" applyFont="1" applyBorder="1" applyAlignment="1">
      <alignment horizontal="left"/>
      <protection/>
    </xf>
    <xf numFmtId="0" fontId="34" fillId="0" borderId="16" xfId="58" applyFont="1" applyBorder="1" applyAlignment="1">
      <alignment horizontal="left"/>
      <protection/>
    </xf>
    <xf numFmtId="0" fontId="34" fillId="0" borderId="21" xfId="58" applyFont="1" applyBorder="1" applyAlignment="1">
      <alignment horizontal="left"/>
      <protection/>
    </xf>
    <xf numFmtId="0" fontId="14" fillId="0" borderId="14" xfId="58" applyFont="1" applyBorder="1" applyAlignment="1">
      <alignment horizontal="left"/>
      <protection/>
    </xf>
    <xf numFmtId="0" fontId="14" fillId="0" borderId="16" xfId="58" applyFont="1" applyBorder="1" applyAlignment="1">
      <alignment horizontal="left"/>
      <protection/>
    </xf>
    <xf numFmtId="0" fontId="14" fillId="0" borderId="17" xfId="58" applyFont="1" applyBorder="1" applyAlignment="1">
      <alignment horizontal="left"/>
      <protection/>
    </xf>
    <xf numFmtId="0" fontId="35" fillId="0" borderId="14" xfId="58" applyFont="1" applyBorder="1" applyAlignment="1">
      <alignment horizontal="left" wrapText="1"/>
      <protection/>
    </xf>
    <xf numFmtId="0" fontId="35" fillId="0" borderId="17" xfId="58" applyFont="1" applyBorder="1" applyAlignment="1">
      <alignment horizontal="left" wrapText="1"/>
      <protection/>
    </xf>
    <xf numFmtId="0" fontId="13" fillId="0" borderId="0" xfId="58" applyFont="1" applyAlignment="1">
      <alignment horizontal="right" vertical="center"/>
      <protection/>
    </xf>
    <xf numFmtId="0" fontId="37" fillId="0" borderId="0" xfId="58" applyFont="1" applyFill="1" applyAlignment="1">
      <alignment horizontal="center" vertical="center"/>
      <protection/>
    </xf>
    <xf numFmtId="0" fontId="38" fillId="0" borderId="14" xfId="58" applyFont="1" applyFill="1" applyBorder="1" applyAlignment="1">
      <alignment horizontal="center" vertical="center" wrapText="1"/>
      <protection/>
    </xf>
    <xf numFmtId="0" fontId="14" fillId="0" borderId="16" xfId="58" applyFont="1" applyFill="1" applyBorder="1" applyAlignment="1">
      <alignment horizontal="center" vertical="center" wrapText="1"/>
      <protection/>
    </xf>
    <xf numFmtId="0" fontId="14" fillId="0" borderId="17" xfId="58" applyFont="1" applyFill="1" applyBorder="1" applyAlignment="1">
      <alignment horizontal="center" vertical="center" wrapText="1"/>
      <protection/>
    </xf>
    <xf numFmtId="0" fontId="11" fillId="0" borderId="14" xfId="58" applyFont="1" applyFill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7" xfId="58" applyFont="1" applyBorder="1" applyAlignment="1">
      <alignment horizontal="center" vertical="center" wrapText="1"/>
      <protection/>
    </xf>
    <xf numFmtId="0" fontId="14" fillId="0" borderId="21" xfId="58" applyFont="1" applyBorder="1" applyAlignment="1">
      <alignment horizontal="left"/>
      <protection/>
    </xf>
    <xf numFmtId="0" fontId="34" fillId="0" borderId="14" xfId="58" applyFont="1" applyBorder="1" applyAlignment="1">
      <alignment horizontal="left" vertical="center" wrapText="1"/>
      <protection/>
    </xf>
    <xf numFmtId="0" fontId="34" fillId="0" borderId="17" xfId="58" applyFont="1" applyBorder="1" applyAlignment="1">
      <alignment horizontal="left" vertical="center" wrapText="1"/>
      <protection/>
    </xf>
    <xf numFmtId="0" fontId="10" fillId="0" borderId="14" xfId="58" applyFont="1" applyBorder="1" applyAlignment="1">
      <alignment horizontal="left"/>
      <protection/>
    </xf>
    <xf numFmtId="0" fontId="10" fillId="0" borderId="16" xfId="58" applyFont="1" applyBorder="1" applyAlignment="1">
      <alignment horizontal="left"/>
      <protection/>
    </xf>
    <xf numFmtId="0" fontId="10" fillId="0" borderId="17" xfId="58" applyFont="1" applyBorder="1" applyAlignment="1">
      <alignment horizontal="left"/>
      <protection/>
    </xf>
    <xf numFmtId="0" fontId="15" fillId="0" borderId="14" xfId="57" applyFont="1" applyBorder="1" applyAlignment="1">
      <alignment horizontal="center" vertical="center" wrapText="1"/>
      <protection/>
    </xf>
    <xf numFmtId="0" fontId="15" fillId="0" borderId="16" xfId="57" applyFont="1" applyBorder="1" applyAlignment="1">
      <alignment horizontal="center" vertical="center" wrapText="1"/>
      <protection/>
    </xf>
    <xf numFmtId="0" fontId="15" fillId="0" borderId="17" xfId="57" applyFont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right" vertical="center"/>
    </xf>
    <xf numFmtId="0" fontId="33" fillId="0" borderId="0" xfId="0" applyFont="1" applyAlignment="1">
      <alignment horizontal="right"/>
    </xf>
    <xf numFmtId="0" fontId="10" fillId="0" borderId="0" xfId="57" applyFont="1" applyAlignment="1">
      <alignment horizontal="center"/>
      <protection/>
    </xf>
    <xf numFmtId="0" fontId="10" fillId="0" borderId="21" xfId="57" applyFont="1" applyBorder="1" applyAlignment="1">
      <alignment horizontal="center" vertical="center"/>
      <protection/>
    </xf>
    <xf numFmtId="0" fontId="15" fillId="0" borderId="21" xfId="57" applyFont="1" applyBorder="1" applyAlignment="1">
      <alignment horizontal="center" vertical="center"/>
      <protection/>
    </xf>
    <xf numFmtId="0" fontId="15" fillId="0" borderId="14" xfId="57" applyFont="1" applyBorder="1" applyAlignment="1">
      <alignment horizontal="center"/>
      <protection/>
    </xf>
    <xf numFmtId="0" fontId="15" fillId="0" borderId="16" xfId="57" applyFont="1" applyBorder="1" applyAlignment="1">
      <alignment horizontal="center"/>
      <protection/>
    </xf>
    <xf numFmtId="0" fontId="15" fillId="0" borderId="17" xfId="57" applyFont="1" applyBorder="1" applyAlignment="1">
      <alignment horizontal="center"/>
      <protection/>
    </xf>
    <xf numFmtId="0" fontId="12" fillId="0" borderId="14" xfId="57" applyFont="1" applyBorder="1" applyAlignment="1">
      <alignment horizontal="right" vertical="center"/>
      <protection/>
    </xf>
    <xf numFmtId="0" fontId="12" fillId="0" borderId="16" xfId="57" applyFont="1" applyBorder="1" applyAlignment="1">
      <alignment horizontal="right" vertical="center"/>
      <protection/>
    </xf>
    <xf numFmtId="49" fontId="35" fillId="0" borderId="28" xfId="0" applyNumberFormat="1" applyFont="1" applyFill="1" applyBorder="1" applyAlignment="1">
      <alignment horizontal="center" textRotation="90"/>
    </xf>
    <xf numFmtId="0" fontId="39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 vertical="center"/>
    </xf>
    <xf numFmtId="0" fontId="11" fillId="0" borderId="0" xfId="0" applyFont="1" applyAlignment="1">
      <alignment horizontal="right"/>
    </xf>
    <xf numFmtId="0" fontId="12" fillId="0" borderId="0" xfId="0" applyFont="1" applyFill="1" applyAlignment="1">
      <alignment horizontal="center" vertical="center"/>
    </xf>
    <xf numFmtId="49" fontId="15" fillId="0" borderId="129" xfId="0" applyNumberFormat="1" applyFont="1" applyFill="1" applyBorder="1" applyAlignment="1">
      <alignment horizontal="center" vertical="center"/>
    </xf>
    <xf numFmtId="49" fontId="15" fillId="0" borderId="131" xfId="0" applyNumberFormat="1" applyFont="1" applyFill="1" applyBorder="1" applyAlignment="1">
      <alignment horizontal="center" vertical="center"/>
    </xf>
    <xf numFmtId="49" fontId="15" fillId="0" borderId="35" xfId="0" applyNumberFormat="1" applyFont="1" applyFill="1" applyBorder="1" applyAlignment="1">
      <alignment horizontal="center" vertical="center"/>
    </xf>
    <xf numFmtId="0" fontId="15" fillId="0" borderId="71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55" fillId="0" borderId="132" xfId="0" applyFont="1" applyFill="1" applyBorder="1" applyAlignment="1">
      <alignment horizontal="center" vertical="center" wrapText="1"/>
    </xf>
    <xf numFmtId="0" fontId="55" fillId="0" borderId="97" xfId="0" applyFont="1" applyFill="1" applyBorder="1" applyAlignment="1">
      <alignment horizontal="center" vertical="center" wrapText="1"/>
    </xf>
    <xf numFmtId="0" fontId="55" fillId="0" borderId="96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center" vertical="center" wrapText="1"/>
    </xf>
    <xf numFmtId="0" fontId="15" fillId="0" borderId="140" xfId="0" applyFont="1" applyFill="1" applyBorder="1" applyAlignment="1">
      <alignment horizontal="center" vertical="center"/>
    </xf>
    <xf numFmtId="0" fontId="15" fillId="0" borderId="141" xfId="0" applyFont="1" applyFill="1" applyBorder="1" applyAlignment="1">
      <alignment horizontal="center" vertical="center"/>
    </xf>
    <xf numFmtId="0" fontId="15" fillId="0" borderId="128" xfId="0" applyFont="1" applyFill="1" applyBorder="1" applyAlignment="1">
      <alignment horizontal="center" vertical="center"/>
    </xf>
    <xf numFmtId="0" fontId="15" fillId="0" borderId="142" xfId="0" applyFont="1" applyFill="1" applyBorder="1" applyAlignment="1">
      <alignment horizontal="center" vertical="center" wrapText="1"/>
    </xf>
    <xf numFmtId="0" fontId="15" fillId="0" borderId="143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9" fontId="38" fillId="0" borderId="127" xfId="0" applyNumberFormat="1" applyFont="1" applyFill="1" applyBorder="1" applyAlignment="1">
      <alignment horizontal="left" vertical="center"/>
    </xf>
    <xf numFmtId="49" fontId="38" fillId="0" borderId="16" xfId="0" applyNumberFormat="1" applyFont="1" applyFill="1" applyBorder="1" applyAlignment="1">
      <alignment horizontal="left" vertical="center"/>
    </xf>
    <xf numFmtId="49" fontId="38" fillId="0" borderId="11" xfId="0" applyNumberFormat="1" applyFont="1" applyFill="1" applyBorder="1" applyAlignment="1">
      <alignment horizontal="left" vertical="center"/>
    </xf>
    <xf numFmtId="49" fontId="38" fillId="0" borderId="130" xfId="0" applyNumberFormat="1" applyFont="1" applyFill="1" applyBorder="1" applyAlignment="1">
      <alignment horizontal="left" vertical="center"/>
    </xf>
    <xf numFmtId="49" fontId="38" fillId="0" borderId="26" xfId="0" applyNumberFormat="1" applyFont="1" applyFill="1" applyBorder="1" applyAlignment="1">
      <alignment horizontal="left" vertical="center"/>
    </xf>
    <xf numFmtId="49" fontId="38" fillId="0" borderId="22" xfId="0" applyNumberFormat="1" applyFont="1" applyFill="1" applyBorder="1" applyAlignment="1">
      <alignment horizontal="left" vertical="center"/>
    </xf>
    <xf numFmtId="49" fontId="38" fillId="0" borderId="125" xfId="0" applyNumberFormat="1" applyFont="1" applyFill="1" applyBorder="1" applyAlignment="1">
      <alignment horizontal="left" vertical="center"/>
    </xf>
    <xf numFmtId="49" fontId="38" fillId="0" borderId="141" xfId="0" applyNumberFormat="1" applyFont="1" applyFill="1" applyBorder="1" applyAlignment="1">
      <alignment horizontal="left" vertical="center"/>
    </xf>
    <xf numFmtId="49" fontId="38" fillId="0" borderId="144" xfId="0" applyNumberFormat="1" applyFont="1" applyFill="1" applyBorder="1" applyAlignment="1">
      <alignment horizontal="left" vertical="center"/>
    </xf>
    <xf numFmtId="0" fontId="52" fillId="0" borderId="136" xfId="60" applyFont="1" applyFill="1" applyBorder="1" applyAlignment="1">
      <alignment horizontal="left" vertical="center"/>
      <protection/>
    </xf>
    <xf numFmtId="0" fontId="52" fillId="0" borderId="27" xfId="60" applyFont="1" applyFill="1" applyBorder="1" applyAlignment="1">
      <alignment horizontal="left" vertical="center"/>
      <protection/>
    </xf>
    <xf numFmtId="0" fontId="52" fillId="0" borderId="13" xfId="60" applyFont="1" applyFill="1" applyBorder="1" applyAlignment="1">
      <alignment horizontal="left" vertical="center"/>
      <protection/>
    </xf>
    <xf numFmtId="0" fontId="115" fillId="0" borderId="110" xfId="60" applyFont="1" applyFill="1" applyBorder="1" applyAlignment="1">
      <alignment horizontal="left" vertical="center"/>
      <protection/>
    </xf>
    <xf numFmtId="0" fontId="115" fillId="0" borderId="112" xfId="60" applyFont="1" applyFill="1" applyBorder="1" applyAlignment="1">
      <alignment horizontal="left" vertical="center"/>
      <protection/>
    </xf>
    <xf numFmtId="0" fontId="115" fillId="0" borderId="100" xfId="60" applyFont="1" applyFill="1" applyBorder="1" applyAlignment="1">
      <alignment horizontal="left" vertical="center"/>
      <protection/>
    </xf>
    <xf numFmtId="0" fontId="15" fillId="0" borderId="37" xfId="60" applyFont="1" applyFill="1" applyBorder="1" applyAlignment="1">
      <alignment horizontal="center" vertical="center" wrapText="1"/>
      <protection/>
    </xf>
    <xf numFmtId="0" fontId="15" fillId="0" borderId="36" xfId="60" applyFont="1" applyFill="1" applyBorder="1" applyAlignment="1">
      <alignment horizontal="center" vertical="center" wrapText="1"/>
      <protection/>
    </xf>
    <xf numFmtId="0" fontId="15" fillId="0" borderId="39" xfId="60" applyFont="1" applyFill="1" applyBorder="1" applyAlignment="1">
      <alignment horizontal="center" vertical="center" wrapText="1"/>
      <protection/>
    </xf>
    <xf numFmtId="0" fontId="15" fillId="0" borderId="17" xfId="60" applyFont="1" applyFill="1" applyBorder="1" applyAlignment="1">
      <alignment horizontal="center" vertical="center" wrapText="1"/>
      <protection/>
    </xf>
    <xf numFmtId="0" fontId="15" fillId="0" borderId="21" xfId="60" applyFont="1" applyFill="1" applyBorder="1" applyAlignment="1">
      <alignment horizontal="center" vertical="center" wrapText="1"/>
      <protection/>
    </xf>
    <xf numFmtId="0" fontId="15" fillId="0" borderId="23" xfId="60" applyFont="1" applyFill="1" applyBorder="1" applyAlignment="1">
      <alignment horizontal="center" vertical="center" wrapText="1"/>
      <protection/>
    </xf>
    <xf numFmtId="0" fontId="115" fillId="0" borderId="110" xfId="60" applyFont="1" applyFill="1" applyBorder="1" applyAlignment="1">
      <alignment horizontal="left" vertical="center" wrapText="1"/>
      <protection/>
    </xf>
    <xf numFmtId="0" fontId="115" fillId="0" borderId="112" xfId="60" applyFont="1" applyFill="1" applyBorder="1" applyAlignment="1">
      <alignment horizontal="left" vertical="center" wrapText="1"/>
      <protection/>
    </xf>
    <xf numFmtId="0" fontId="115" fillId="0" borderId="100" xfId="60" applyFont="1" applyFill="1" applyBorder="1" applyAlignment="1">
      <alignment horizontal="left" vertical="center" wrapText="1"/>
      <protection/>
    </xf>
    <xf numFmtId="0" fontId="15" fillId="0" borderId="71" xfId="60" applyFont="1" applyFill="1" applyBorder="1" applyAlignment="1">
      <alignment horizontal="center" vertical="center"/>
      <protection/>
    </xf>
    <xf numFmtId="0" fontId="15" fillId="0" borderId="30" xfId="60" applyFont="1" applyFill="1" applyBorder="1" applyAlignment="1">
      <alignment horizontal="center" vertical="center"/>
      <protection/>
    </xf>
    <xf numFmtId="0" fontId="15" fillId="0" borderId="145" xfId="60" applyFont="1" applyFill="1" applyBorder="1" applyAlignment="1">
      <alignment horizontal="center" vertical="center"/>
      <protection/>
    </xf>
    <xf numFmtId="49" fontId="15" fillId="0" borderId="129" xfId="60" applyNumberFormat="1" applyFont="1" applyFill="1" applyBorder="1" applyAlignment="1">
      <alignment horizontal="center" vertical="center"/>
      <protection/>
    </xf>
    <xf numFmtId="49" fontId="15" fillId="0" borderId="131" xfId="60" applyNumberFormat="1" applyFont="1" applyFill="1" applyBorder="1" applyAlignment="1">
      <alignment horizontal="center" vertical="center"/>
      <protection/>
    </xf>
    <xf numFmtId="49" fontId="15" fillId="0" borderId="146" xfId="60" applyNumberFormat="1" applyFont="1" applyFill="1" applyBorder="1" applyAlignment="1">
      <alignment horizontal="center" vertical="center"/>
      <protection/>
    </xf>
    <xf numFmtId="0" fontId="10" fillId="0" borderId="112" xfId="60" applyFont="1" applyFill="1" applyBorder="1" applyAlignment="1">
      <alignment horizontal="center" vertical="center"/>
      <protection/>
    </xf>
    <xf numFmtId="0" fontId="10" fillId="0" borderId="100" xfId="60" applyFont="1" applyFill="1" applyBorder="1" applyAlignment="1">
      <alignment horizontal="center" vertical="center"/>
      <protection/>
    </xf>
    <xf numFmtId="3" fontId="35" fillId="0" borderId="40" xfId="60" applyNumberFormat="1" applyFont="1" applyFill="1" applyBorder="1" applyAlignment="1">
      <alignment horizontal="center" vertical="center"/>
      <protection/>
    </xf>
    <xf numFmtId="3" fontId="35" fillId="0" borderId="39" xfId="60" applyNumberFormat="1" applyFont="1" applyFill="1" applyBorder="1" applyAlignment="1">
      <alignment horizontal="center" vertical="center"/>
      <protection/>
    </xf>
    <xf numFmtId="0" fontId="13" fillId="0" borderId="0" xfId="60" applyFont="1" applyFill="1" applyAlignment="1">
      <alignment horizontal="right" vertical="center"/>
      <protection/>
    </xf>
    <xf numFmtId="0" fontId="13" fillId="0" borderId="0" xfId="60" applyFont="1" applyAlignment="1">
      <alignment horizontal="right"/>
      <protection/>
    </xf>
    <xf numFmtId="0" fontId="12" fillId="0" borderId="147" xfId="60" applyFont="1" applyFill="1" applyBorder="1" applyAlignment="1">
      <alignment horizontal="center" vertical="center" wrapText="1"/>
      <protection/>
    </xf>
    <xf numFmtId="0" fontId="12" fillId="0" borderId="117" xfId="60" applyFont="1" applyFill="1" applyBorder="1" applyAlignment="1">
      <alignment horizontal="center" vertical="center" wrapText="1"/>
      <protection/>
    </xf>
    <xf numFmtId="0" fontId="12" fillId="0" borderId="148" xfId="60" applyFont="1" applyFill="1" applyBorder="1" applyAlignment="1">
      <alignment horizontal="center" vertical="center" wrapText="1"/>
      <protection/>
    </xf>
    <xf numFmtId="0" fontId="10" fillId="0" borderId="0" xfId="60" applyFont="1" applyFill="1" applyAlignment="1">
      <alignment horizontal="center" vertical="center" wrapText="1"/>
      <protection/>
    </xf>
    <xf numFmtId="0" fontId="15" fillId="0" borderId="58" xfId="60" applyFont="1" applyFill="1" applyBorder="1" applyAlignment="1">
      <alignment horizontal="center" vertical="center" wrapText="1"/>
      <protection/>
    </xf>
    <xf numFmtId="0" fontId="15" fillId="0" borderId="57" xfId="60" applyFont="1" applyFill="1" applyBorder="1" applyAlignment="1">
      <alignment horizontal="center" vertical="center" wrapText="1"/>
      <protection/>
    </xf>
    <xf numFmtId="0" fontId="15" fillId="0" borderId="45" xfId="60" applyFont="1" applyFill="1" applyBorder="1" applyAlignment="1">
      <alignment horizontal="center" vertical="center" wrapText="1"/>
      <protection/>
    </xf>
    <xf numFmtId="3" fontId="10" fillId="0" borderId="149" xfId="59" applyNumberFormat="1" applyFont="1" applyBorder="1" applyAlignment="1">
      <alignment horizontal="center" vertical="center"/>
      <protection/>
    </xf>
    <xf numFmtId="3" fontId="10" fillId="0" borderId="150" xfId="59" applyNumberFormat="1" applyFont="1" applyBorder="1" applyAlignment="1">
      <alignment horizontal="center" vertical="center"/>
      <protection/>
    </xf>
    <xf numFmtId="0" fontId="16" fillId="0" borderId="66" xfId="59" applyFont="1" applyBorder="1" applyAlignment="1">
      <alignment horizontal="left" vertical="center" wrapText="1"/>
      <protection/>
    </xf>
    <xf numFmtId="0" fontId="16" fillId="0" borderId="0" xfId="59" applyFont="1" applyBorder="1" applyAlignment="1">
      <alignment horizontal="left" vertical="center" wrapText="1"/>
      <protection/>
    </xf>
    <xf numFmtId="0" fontId="16" fillId="0" borderId="66" xfId="59" applyFont="1" applyBorder="1" applyAlignment="1">
      <alignment horizontal="left" vertical="center"/>
      <protection/>
    </xf>
    <xf numFmtId="0" fontId="16" fillId="0" borderId="0" xfId="59" applyFont="1" applyBorder="1" applyAlignment="1">
      <alignment horizontal="left" vertical="center"/>
      <protection/>
    </xf>
    <xf numFmtId="3" fontId="16" fillId="0" borderId="58" xfId="59" applyNumberFormat="1" applyFont="1" applyBorder="1" applyAlignment="1">
      <alignment horizontal="right" vertical="center"/>
      <protection/>
    </xf>
    <xf numFmtId="3" fontId="16" fillId="0" borderId="57" xfId="59" applyNumberFormat="1" applyFont="1" applyBorder="1" applyAlignment="1">
      <alignment horizontal="right" vertical="center"/>
      <protection/>
    </xf>
    <xf numFmtId="3" fontId="10" fillId="0" borderId="147" xfId="59" applyNumberFormat="1" applyFont="1" applyBorder="1" applyAlignment="1">
      <alignment horizontal="right" vertical="center"/>
      <protection/>
    </xf>
    <xf numFmtId="3" fontId="10" fillId="0" borderId="117" xfId="59" applyNumberFormat="1" applyFont="1" applyBorder="1" applyAlignment="1">
      <alignment horizontal="right" vertical="center"/>
      <protection/>
    </xf>
    <xf numFmtId="0" fontId="52" fillId="35" borderId="91" xfId="59" applyFont="1" applyFill="1" applyBorder="1" applyAlignment="1">
      <alignment vertical="center"/>
      <protection/>
    </xf>
    <xf numFmtId="0" fontId="52" fillId="35" borderId="151" xfId="59" applyFont="1" applyFill="1" applyBorder="1" applyAlignment="1">
      <alignment vertical="center"/>
      <protection/>
    </xf>
    <xf numFmtId="3" fontId="10" fillId="0" borderId="152" xfId="59" applyNumberFormat="1" applyFont="1" applyBorder="1" applyAlignment="1">
      <alignment horizontal="center" vertical="center"/>
      <protection/>
    </xf>
    <xf numFmtId="0" fontId="16" fillId="0" borderId="66" xfId="59" applyFont="1" applyBorder="1" applyAlignment="1">
      <alignment horizontal="left" wrapText="1"/>
      <protection/>
    </xf>
    <xf numFmtId="0" fontId="16" fillId="0" borderId="0" xfId="59" applyFont="1" applyBorder="1" applyAlignment="1">
      <alignment horizontal="left" wrapText="1"/>
      <protection/>
    </xf>
    <xf numFmtId="0" fontId="52" fillId="0" borderId="61" xfId="60" applyFont="1" applyFill="1" applyBorder="1" applyAlignment="1">
      <alignment horizontal="center" vertical="center" wrapText="1"/>
      <protection/>
    </xf>
    <xf numFmtId="0" fontId="13" fillId="0" borderId="46" xfId="0" applyFont="1" applyBorder="1" applyAlignment="1">
      <alignment/>
    </xf>
    <xf numFmtId="0" fontId="13" fillId="0" borderId="64" xfId="0" applyFont="1" applyBorder="1" applyAlignment="1">
      <alignment/>
    </xf>
    <xf numFmtId="0" fontId="13" fillId="0" borderId="153" xfId="0" applyFont="1" applyBorder="1" applyAlignment="1">
      <alignment/>
    </xf>
    <xf numFmtId="0" fontId="13" fillId="0" borderId="31" xfId="0" applyFont="1" applyBorder="1" applyAlignment="1">
      <alignment/>
    </xf>
    <xf numFmtId="0" fontId="16" fillId="0" borderId="113" xfId="59" applyFont="1" applyBorder="1" applyAlignment="1">
      <alignment horizontal="left" wrapText="1"/>
      <protection/>
    </xf>
    <xf numFmtId="0" fontId="16" fillId="0" borderId="53" xfId="59" applyFont="1" applyBorder="1" applyAlignment="1">
      <alignment horizontal="left" wrapText="1"/>
      <protection/>
    </xf>
    <xf numFmtId="3" fontId="10" fillId="0" borderId="66" xfId="59" applyNumberFormat="1" applyFont="1" applyBorder="1" applyAlignment="1">
      <alignment horizontal="right" vertical="center"/>
      <protection/>
    </xf>
    <xf numFmtId="3" fontId="10" fillId="0" borderId="149" xfId="59" applyNumberFormat="1" applyFont="1" applyBorder="1" applyAlignment="1">
      <alignment horizontal="right" vertical="center"/>
      <protection/>
    </xf>
    <xf numFmtId="3" fontId="10" fillId="0" borderId="150" xfId="59" applyNumberFormat="1" applyFont="1" applyBorder="1" applyAlignment="1">
      <alignment horizontal="right" vertical="center"/>
      <protection/>
    </xf>
    <xf numFmtId="0" fontId="16" fillId="0" borderId="113" xfId="59" applyFont="1" applyBorder="1" applyAlignment="1">
      <alignment horizontal="center" wrapText="1"/>
      <protection/>
    </xf>
    <xf numFmtId="0" fontId="16" fillId="0" borderId="53" xfId="59" applyFont="1" applyBorder="1" applyAlignment="1">
      <alignment horizontal="center" wrapText="1"/>
      <protection/>
    </xf>
    <xf numFmtId="3" fontId="10" fillId="0" borderId="154" xfId="59" applyNumberFormat="1" applyFont="1" applyBorder="1" applyAlignment="1">
      <alignment horizontal="right" vertical="center"/>
      <protection/>
    </xf>
    <xf numFmtId="3" fontId="10" fillId="0" borderId="148" xfId="59" applyNumberFormat="1" applyFont="1" applyBorder="1" applyAlignment="1">
      <alignment horizontal="right" vertical="center"/>
      <protection/>
    </xf>
    <xf numFmtId="0" fontId="16" fillId="0" borderId="113" xfId="59" applyFont="1" applyBorder="1" applyAlignment="1">
      <alignment horizontal="left" vertical="center"/>
      <protection/>
    </xf>
    <xf numFmtId="0" fontId="16" fillId="0" borderId="53" xfId="59" applyFont="1" applyBorder="1" applyAlignment="1">
      <alignment horizontal="left" vertical="center"/>
      <protection/>
    </xf>
    <xf numFmtId="0" fontId="16" fillId="0" borderId="49" xfId="59" applyFont="1" applyBorder="1" applyAlignment="1">
      <alignment horizontal="left" wrapText="1"/>
      <protection/>
    </xf>
    <xf numFmtId="0" fontId="16" fillId="0" borderId="113" xfId="59" applyFont="1" applyBorder="1" applyAlignment="1">
      <alignment horizontal="left" vertical="center" wrapText="1"/>
      <protection/>
    </xf>
    <xf numFmtId="0" fontId="16" fillId="0" borderId="53" xfId="59" applyFont="1" applyBorder="1" applyAlignment="1">
      <alignment horizontal="left" vertical="center" wrapText="1"/>
      <protection/>
    </xf>
    <xf numFmtId="0" fontId="13" fillId="0" borderId="94" xfId="0" applyFont="1" applyBorder="1" applyAlignment="1">
      <alignment/>
    </xf>
    <xf numFmtId="0" fontId="13" fillId="0" borderId="45" xfId="0" applyFont="1" applyBorder="1" applyAlignment="1">
      <alignment/>
    </xf>
    <xf numFmtId="0" fontId="16" fillId="0" borderId="66" xfId="59" applyFont="1" applyBorder="1" applyAlignment="1">
      <alignment horizontal="left"/>
      <protection/>
    </xf>
    <xf numFmtId="0" fontId="16" fillId="0" borderId="0" xfId="59" applyFont="1" applyBorder="1" applyAlignment="1">
      <alignment horizontal="left"/>
      <protection/>
    </xf>
    <xf numFmtId="0" fontId="52" fillId="0" borderId="62" xfId="59" applyFont="1" applyBorder="1" applyAlignment="1">
      <alignment horizontal="center" wrapText="1"/>
      <protection/>
    </xf>
    <xf numFmtId="0" fontId="52" fillId="0" borderId="46" xfId="59" applyFont="1" applyBorder="1" applyAlignment="1">
      <alignment horizontal="center" wrapText="1"/>
      <protection/>
    </xf>
    <xf numFmtId="0" fontId="52" fillId="0" borderId="87" xfId="59" applyFont="1" applyBorder="1" applyAlignment="1">
      <alignment horizontal="center" wrapText="1"/>
      <protection/>
    </xf>
    <xf numFmtId="0" fontId="52" fillId="0" borderId="31" xfId="59" applyFont="1" applyBorder="1" applyAlignment="1">
      <alignment horizontal="center" wrapText="1"/>
      <protection/>
    </xf>
    <xf numFmtId="0" fontId="11" fillId="0" borderId="0" xfId="60" applyFont="1" applyFill="1" applyAlignment="1">
      <alignment horizontal="right" vertical="center"/>
      <protection/>
    </xf>
    <xf numFmtId="0" fontId="11" fillId="0" borderId="0" xfId="60" applyFont="1" applyAlignment="1">
      <alignment horizontal="right"/>
      <protection/>
    </xf>
    <xf numFmtId="0" fontId="11" fillId="0" borderId="0" xfId="0" applyFont="1" applyAlignment="1">
      <alignment/>
    </xf>
    <xf numFmtId="0" fontId="10" fillId="0" borderId="62" xfId="60" applyFont="1" applyFill="1" applyBorder="1" applyAlignment="1">
      <alignment horizontal="center" vertical="center" wrapText="1"/>
      <protection/>
    </xf>
    <xf numFmtId="0" fontId="13" fillId="0" borderId="46" xfId="0" applyFont="1" applyBorder="1" applyAlignment="1">
      <alignment horizontal="center" vertical="center" wrapText="1"/>
    </xf>
    <xf numFmtId="0" fontId="10" fillId="0" borderId="155" xfId="60" applyFont="1" applyFill="1" applyBorder="1" applyAlignment="1">
      <alignment horizontal="center" vertical="center" wrapText="1"/>
      <protection/>
    </xf>
    <xf numFmtId="0" fontId="13" fillId="0" borderId="156" xfId="0" applyFont="1" applyBorder="1" applyAlignment="1">
      <alignment horizontal="center" vertical="center" wrapText="1"/>
    </xf>
    <xf numFmtId="0" fontId="13" fillId="0" borderId="157" xfId="0" applyFont="1" applyBorder="1" applyAlignment="1">
      <alignment horizontal="center" vertical="center" wrapText="1"/>
    </xf>
    <xf numFmtId="0" fontId="37" fillId="0" borderId="0" xfId="60" applyFont="1" applyFill="1" applyAlignment="1">
      <alignment horizontal="center" vertical="center" wrapText="1"/>
      <protection/>
    </xf>
    <xf numFmtId="0" fontId="16" fillId="0" borderId="76" xfId="59" applyFont="1" applyBorder="1" applyAlignment="1">
      <alignment horizontal="left" vertical="center"/>
      <protection/>
    </xf>
    <xf numFmtId="0" fontId="16" fillId="0" borderId="73" xfId="59" applyFont="1" applyBorder="1" applyAlignment="1">
      <alignment horizontal="left" vertical="center"/>
      <protection/>
    </xf>
    <xf numFmtId="0" fontId="16" fillId="0" borderId="153" xfId="59" applyFont="1" applyBorder="1" applyAlignment="1">
      <alignment horizontal="left" wrapText="1"/>
      <protection/>
    </xf>
    <xf numFmtId="0" fontId="16" fillId="0" borderId="31" xfId="59" applyFont="1" applyBorder="1" applyAlignment="1">
      <alignment horizontal="left" wrapText="1"/>
      <protection/>
    </xf>
    <xf numFmtId="3" fontId="10" fillId="0" borderId="113" xfId="59" applyNumberFormat="1" applyFont="1" applyBorder="1" applyAlignment="1">
      <alignment horizontal="right" vertical="center"/>
      <protection/>
    </xf>
    <xf numFmtId="0" fontId="10" fillId="0" borderId="68" xfId="60" applyFont="1" applyFill="1" applyBorder="1" applyAlignment="1">
      <alignment horizontal="center" vertical="center" wrapText="1"/>
      <protection/>
    </xf>
    <xf numFmtId="0" fontId="52" fillId="0" borderId="62" xfId="59" applyFont="1" applyBorder="1" applyAlignment="1">
      <alignment horizontal="center" vertical="center"/>
      <protection/>
    </xf>
    <xf numFmtId="0" fontId="13" fillId="0" borderId="46" xfId="59" applyFont="1" applyBorder="1" applyAlignment="1">
      <alignment horizontal="center" vertical="center"/>
      <protection/>
    </xf>
    <xf numFmtId="0" fontId="13" fillId="0" borderId="94" xfId="59" applyFont="1" applyBorder="1" applyAlignment="1">
      <alignment horizontal="center" vertical="center"/>
      <protection/>
    </xf>
    <xf numFmtId="0" fontId="13" fillId="0" borderId="87" xfId="59" applyFont="1" applyBorder="1" applyAlignment="1">
      <alignment horizontal="center" vertical="center"/>
      <protection/>
    </xf>
    <xf numFmtId="0" fontId="13" fillId="0" borderId="31" xfId="59" applyFont="1" applyBorder="1" applyAlignment="1">
      <alignment horizontal="center" vertical="center"/>
      <protection/>
    </xf>
    <xf numFmtId="0" fontId="13" fillId="0" borderId="45" xfId="59" applyFont="1" applyBorder="1" applyAlignment="1">
      <alignment horizontal="center" vertical="center"/>
      <protection/>
    </xf>
    <xf numFmtId="3" fontId="10" fillId="0" borderId="147" xfId="59" applyNumberFormat="1" applyFont="1" applyBorder="1" applyAlignment="1">
      <alignment horizontal="right" vertical="center" wrapText="1"/>
      <protection/>
    </xf>
    <xf numFmtId="3" fontId="10" fillId="0" borderId="117" xfId="59" applyNumberFormat="1" applyFont="1" applyBorder="1" applyAlignment="1">
      <alignment horizontal="right" vertical="center" wrapText="1"/>
      <protection/>
    </xf>
    <xf numFmtId="0" fontId="16" fillId="0" borderId="54" xfId="59" applyFont="1" applyBorder="1" applyAlignment="1">
      <alignment horizontal="left" wrapText="1"/>
      <protection/>
    </xf>
    <xf numFmtId="0" fontId="16" fillId="0" borderId="113" xfId="59" applyFont="1" applyBorder="1" applyAlignment="1">
      <alignment horizontal="left"/>
      <protection/>
    </xf>
    <xf numFmtId="0" fontId="16" fillId="0" borderId="53" xfId="59" applyFont="1" applyBorder="1" applyAlignment="1">
      <alignment horizontal="left"/>
      <protection/>
    </xf>
    <xf numFmtId="0" fontId="16" fillId="0" borderId="61" xfId="59" applyFont="1" applyBorder="1" applyAlignment="1">
      <alignment horizontal="left" vertical="center"/>
      <protection/>
    </xf>
    <xf numFmtId="0" fontId="16" fillId="0" borderId="46" xfId="59" applyFont="1" applyBorder="1" applyAlignment="1">
      <alignment horizontal="left" vertical="center"/>
      <protection/>
    </xf>
    <xf numFmtId="0" fontId="52" fillId="0" borderId="46" xfId="60" applyFont="1" applyFill="1" applyBorder="1" applyAlignment="1">
      <alignment horizontal="center" vertical="center" wrapText="1"/>
      <protection/>
    </xf>
    <xf numFmtId="0" fontId="52" fillId="0" borderId="94" xfId="60" applyFont="1" applyFill="1" applyBorder="1" applyAlignment="1">
      <alignment horizontal="center" vertical="center" wrapText="1"/>
      <protection/>
    </xf>
    <xf numFmtId="0" fontId="52" fillId="0" borderId="153" xfId="60" applyFont="1" applyFill="1" applyBorder="1" applyAlignment="1">
      <alignment horizontal="center" vertical="center" wrapText="1"/>
      <protection/>
    </xf>
    <xf numFmtId="0" fontId="52" fillId="0" borderId="31" xfId="60" applyFont="1" applyFill="1" applyBorder="1" applyAlignment="1">
      <alignment horizontal="center" vertical="center" wrapText="1"/>
      <protection/>
    </xf>
    <xf numFmtId="0" fontId="52" fillId="0" borderId="45" xfId="60" applyFont="1" applyFill="1" applyBorder="1" applyAlignment="1">
      <alignment horizontal="center" vertical="center" wrapText="1"/>
      <protection/>
    </xf>
    <xf numFmtId="0" fontId="13" fillId="0" borderId="158" xfId="0" applyFont="1" applyBorder="1" applyAlignment="1">
      <alignment/>
    </xf>
    <xf numFmtId="0" fontId="10" fillId="0" borderId="61" xfId="60" applyFont="1" applyFill="1" applyBorder="1" applyAlignment="1">
      <alignment horizontal="center" vertical="center" wrapText="1"/>
      <protection/>
    </xf>
    <xf numFmtId="0" fontId="10" fillId="35" borderId="104" xfId="59" applyFont="1" applyFill="1" applyBorder="1" applyAlignment="1">
      <alignment horizontal="right" vertical="center" wrapText="1"/>
      <protection/>
    </xf>
    <xf numFmtId="0" fontId="13" fillId="35" borderId="91" xfId="0" applyFont="1" applyFill="1" applyBorder="1" applyAlignment="1">
      <alignment horizontal="right" vertical="center" wrapText="1"/>
    </xf>
    <xf numFmtId="0" fontId="13" fillId="35" borderId="114" xfId="0" applyFont="1" applyFill="1" applyBorder="1" applyAlignment="1">
      <alignment horizontal="right" vertical="center" wrapText="1"/>
    </xf>
    <xf numFmtId="0" fontId="10" fillId="35" borderId="91" xfId="59" applyFont="1" applyFill="1" applyBorder="1" applyAlignment="1">
      <alignment vertical="center"/>
      <protection/>
    </xf>
    <xf numFmtId="0" fontId="10" fillId="35" borderId="91" xfId="0" applyFont="1" applyFill="1" applyBorder="1" applyAlignment="1">
      <alignment vertical="center"/>
    </xf>
    <xf numFmtId="0" fontId="10" fillId="35" borderId="151" xfId="0" applyFont="1" applyFill="1" applyBorder="1" applyAlignment="1">
      <alignment vertical="center"/>
    </xf>
    <xf numFmtId="0" fontId="16" fillId="0" borderId="62" xfId="59" applyFont="1" applyBorder="1" applyAlignment="1">
      <alignment horizontal="left"/>
      <protection/>
    </xf>
    <xf numFmtId="0" fontId="16" fillId="0" borderId="46" xfId="59" applyFont="1" applyBorder="1" applyAlignment="1">
      <alignment horizontal="left"/>
      <protection/>
    </xf>
    <xf numFmtId="0" fontId="53" fillId="0" borderId="72" xfId="59" applyFont="1" applyBorder="1" applyAlignment="1">
      <alignment horizontal="left" vertical="center"/>
      <protection/>
    </xf>
    <xf numFmtId="0" fontId="53" fillId="0" borderId="73" xfId="59" applyFont="1" applyBorder="1" applyAlignment="1">
      <alignment horizontal="left" vertical="center"/>
      <protection/>
    </xf>
    <xf numFmtId="3" fontId="10" fillId="0" borderId="75" xfId="59" applyNumberFormat="1" applyFont="1" applyBorder="1" applyAlignment="1">
      <alignment horizontal="right" vertical="center"/>
      <protection/>
    </xf>
    <xf numFmtId="0" fontId="17" fillId="0" borderId="73" xfId="59" applyFont="1" applyBorder="1" applyAlignment="1">
      <alignment horizontal="right" vertical="center"/>
      <protection/>
    </xf>
    <xf numFmtId="0" fontId="17" fillId="0" borderId="159" xfId="59" applyFont="1" applyBorder="1" applyAlignment="1">
      <alignment horizontal="right" vertical="center"/>
      <protection/>
    </xf>
    <xf numFmtId="3" fontId="10" fillId="0" borderId="61" xfId="59" applyNumberFormat="1" applyFont="1" applyBorder="1" applyAlignment="1">
      <alignment horizontal="right" vertical="center"/>
      <protection/>
    </xf>
    <xf numFmtId="3" fontId="10" fillId="0" borderId="153" xfId="59" applyNumberFormat="1" applyFont="1" applyBorder="1" applyAlignment="1">
      <alignment horizontal="right" vertical="center"/>
      <protection/>
    </xf>
    <xf numFmtId="0" fontId="17" fillId="0" borderId="49" xfId="59" applyFont="1" applyBorder="1" applyAlignment="1">
      <alignment horizontal="right"/>
      <protection/>
    </xf>
    <xf numFmtId="0" fontId="17" fillId="0" borderId="0" xfId="59" applyFont="1" applyBorder="1" applyAlignment="1">
      <alignment horizontal="right"/>
      <protection/>
    </xf>
    <xf numFmtId="0" fontId="17" fillId="0" borderId="51" xfId="59" applyFont="1" applyBorder="1" applyAlignment="1">
      <alignment horizontal="right"/>
      <protection/>
    </xf>
    <xf numFmtId="0" fontId="52" fillId="0" borderId="62" xfId="59" applyFont="1" applyBorder="1" applyAlignment="1">
      <alignment horizontal="center" vertical="center" wrapText="1"/>
      <protection/>
    </xf>
    <xf numFmtId="0" fontId="13" fillId="0" borderId="46" xfId="0" applyFont="1" applyBorder="1" applyAlignment="1">
      <alignment vertical="center"/>
    </xf>
    <xf numFmtId="0" fontId="13" fillId="0" borderId="59" xfId="0" applyFont="1" applyBorder="1" applyAlignment="1">
      <alignment vertical="center"/>
    </xf>
    <xf numFmtId="0" fontId="13" fillId="0" borderId="87" xfId="0" applyFont="1" applyBorder="1" applyAlignment="1">
      <alignment vertical="center"/>
    </xf>
    <xf numFmtId="0" fontId="13" fillId="0" borderId="31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87" xfId="0" applyFont="1" applyBorder="1" applyAlignment="1">
      <alignment/>
    </xf>
    <xf numFmtId="0" fontId="13" fillId="0" borderId="0" xfId="0" applyFont="1" applyBorder="1" applyAlignment="1">
      <alignment/>
    </xf>
    <xf numFmtId="3" fontId="10" fillId="0" borderId="58" xfId="59" applyNumberFormat="1" applyFont="1" applyBorder="1" applyAlignment="1">
      <alignment horizontal="right" vertical="center"/>
      <protection/>
    </xf>
    <xf numFmtId="0" fontId="16" fillId="0" borderId="54" xfId="59" applyFont="1" applyBorder="1" applyAlignment="1">
      <alignment horizontal="center" vertical="center"/>
      <protection/>
    </xf>
    <xf numFmtId="0" fontId="16" fillId="0" borderId="53" xfId="59" applyFont="1" applyBorder="1" applyAlignment="1">
      <alignment horizontal="center" vertical="center"/>
      <protection/>
    </xf>
    <xf numFmtId="0" fontId="16" fillId="0" borderId="49" xfId="59" applyFont="1" applyBorder="1" applyAlignment="1">
      <alignment horizontal="center" vertical="center"/>
      <protection/>
    </xf>
    <xf numFmtId="0" fontId="16" fillId="0" borderId="0" xfId="59" applyFont="1" applyBorder="1" applyAlignment="1">
      <alignment horizontal="center" vertical="center"/>
      <protection/>
    </xf>
    <xf numFmtId="3" fontId="16" fillId="0" borderId="58" xfId="0" applyNumberFormat="1" applyFont="1" applyBorder="1" applyAlignment="1">
      <alignment horizontal="center" vertical="center"/>
    </xf>
    <xf numFmtId="3" fontId="16" fillId="0" borderId="57" xfId="0" applyNumberFormat="1" applyFont="1" applyBorder="1" applyAlignment="1">
      <alignment horizontal="center" vertical="center"/>
    </xf>
    <xf numFmtId="0" fontId="16" fillId="0" borderId="49" xfId="59" applyFont="1" applyBorder="1" applyAlignment="1">
      <alignment horizontal="left" vertical="center" wrapText="1"/>
      <protection/>
    </xf>
    <xf numFmtId="0" fontId="16" fillId="0" borderId="49" xfId="59" applyFont="1" applyBorder="1" applyAlignment="1">
      <alignment horizontal="left" vertical="center"/>
      <protection/>
    </xf>
    <xf numFmtId="0" fontId="38" fillId="0" borderId="160" xfId="59" applyFont="1" applyBorder="1" applyAlignment="1">
      <alignment horizontal="center"/>
      <protection/>
    </xf>
    <xf numFmtId="0" fontId="13" fillId="0" borderId="70" xfId="0" applyFont="1" applyBorder="1" applyAlignment="1">
      <alignment horizontal="center"/>
    </xf>
    <xf numFmtId="0" fontId="13" fillId="0" borderId="93" xfId="0" applyFont="1" applyBorder="1" applyAlignment="1">
      <alignment horizontal="center"/>
    </xf>
    <xf numFmtId="0" fontId="38" fillId="0" borderId="46" xfId="59" applyFont="1" applyBorder="1" applyAlignment="1">
      <alignment horizontal="center"/>
      <protection/>
    </xf>
    <xf numFmtId="0" fontId="13" fillId="0" borderId="46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51" xfId="0" applyFont="1" applyBorder="1" applyAlignment="1">
      <alignment horizontal="right"/>
    </xf>
    <xf numFmtId="0" fontId="52" fillId="35" borderId="104" xfId="59" applyFont="1" applyFill="1" applyBorder="1" applyAlignment="1">
      <alignment vertical="center" wrapText="1"/>
      <protection/>
    </xf>
    <xf numFmtId="0" fontId="9" fillId="35" borderId="91" xfId="0" applyFont="1" applyFill="1" applyBorder="1" applyAlignment="1">
      <alignment vertical="center" wrapText="1"/>
    </xf>
    <xf numFmtId="0" fontId="9" fillId="35" borderId="114" xfId="0" applyFont="1" applyFill="1" applyBorder="1" applyAlignment="1">
      <alignment vertical="center" wrapText="1"/>
    </xf>
    <xf numFmtId="0" fontId="10" fillId="0" borderId="73" xfId="59" applyFont="1" applyBorder="1" applyAlignment="1">
      <alignment/>
      <protection/>
    </xf>
    <xf numFmtId="0" fontId="10" fillId="0" borderId="73" xfId="0" applyFont="1" applyBorder="1" applyAlignment="1">
      <alignment/>
    </xf>
    <xf numFmtId="0" fontId="10" fillId="0" borderId="102" xfId="0" applyFont="1" applyBorder="1" applyAlignment="1">
      <alignment/>
    </xf>
    <xf numFmtId="0" fontId="17" fillId="0" borderId="49" xfId="59" applyFont="1" applyBorder="1" applyAlignment="1">
      <alignment horizontal="right" vertical="center"/>
      <protection/>
    </xf>
    <xf numFmtId="0" fontId="17" fillId="0" borderId="0" xfId="59" applyFont="1" applyBorder="1" applyAlignment="1">
      <alignment horizontal="right" vertical="center"/>
      <protection/>
    </xf>
    <xf numFmtId="0" fontId="17" fillId="0" borderId="51" xfId="59" applyFont="1" applyBorder="1" applyAlignment="1">
      <alignment horizontal="right" vertical="center"/>
      <protection/>
    </xf>
    <xf numFmtId="0" fontId="52" fillId="0" borderId="46" xfId="59" applyFont="1" applyBorder="1" applyAlignment="1">
      <alignment horizontal="center" vertical="center"/>
      <protection/>
    </xf>
    <xf numFmtId="0" fontId="52" fillId="0" borderId="94" xfId="59" applyFont="1" applyBorder="1" applyAlignment="1">
      <alignment horizontal="center" vertical="center"/>
      <protection/>
    </xf>
    <xf numFmtId="0" fontId="52" fillId="0" borderId="87" xfId="59" applyFont="1" applyBorder="1" applyAlignment="1">
      <alignment horizontal="center" vertical="center"/>
      <protection/>
    </xf>
    <xf numFmtId="0" fontId="52" fillId="0" borderId="31" xfId="59" applyFont="1" applyBorder="1" applyAlignment="1">
      <alignment horizontal="center" vertical="center"/>
      <protection/>
    </xf>
    <xf numFmtId="0" fontId="52" fillId="0" borderId="45" xfId="59" applyFont="1" applyBorder="1" applyAlignment="1">
      <alignment horizontal="center" vertical="center"/>
      <protection/>
    </xf>
    <xf numFmtId="0" fontId="14" fillId="0" borderId="0" xfId="59" applyFont="1" applyAlignment="1">
      <alignment horizontal="center"/>
      <protection/>
    </xf>
    <xf numFmtId="0" fontId="13" fillId="0" borderId="0" xfId="0" applyFont="1" applyAlignment="1">
      <alignment/>
    </xf>
    <xf numFmtId="0" fontId="52" fillId="0" borderId="73" xfId="59" applyFont="1" applyBorder="1" applyAlignment="1">
      <alignment/>
      <protection/>
    </xf>
    <xf numFmtId="0" fontId="52" fillId="0" borderId="102" xfId="59" applyFont="1" applyBorder="1" applyAlignment="1">
      <alignment/>
      <protection/>
    </xf>
    <xf numFmtId="0" fontId="13" fillId="0" borderId="0" xfId="59" applyFont="1" applyAlignment="1">
      <alignment horizontal="center"/>
      <protection/>
    </xf>
    <xf numFmtId="0" fontId="52" fillId="0" borderId="64" xfId="60" applyFont="1" applyFill="1" applyBorder="1" applyAlignment="1">
      <alignment horizontal="center" vertical="center" wrapText="1"/>
      <protection/>
    </xf>
    <xf numFmtId="0" fontId="52" fillId="0" borderId="158" xfId="60" applyFont="1" applyFill="1" applyBorder="1" applyAlignment="1">
      <alignment horizontal="center" vertical="center" wrapText="1"/>
      <protection/>
    </xf>
    <xf numFmtId="0" fontId="53" fillId="0" borderId="66" xfId="59" applyFont="1" applyBorder="1" applyAlignment="1">
      <alignment horizontal="left" wrapText="1"/>
      <protection/>
    </xf>
    <xf numFmtId="0" fontId="53" fillId="0" borderId="0" xfId="59" applyFont="1" applyBorder="1" applyAlignment="1">
      <alignment horizontal="left" wrapText="1"/>
      <protection/>
    </xf>
    <xf numFmtId="3" fontId="10" fillId="0" borderId="147" xfId="59" applyNumberFormat="1" applyFont="1" applyBorder="1" applyAlignment="1">
      <alignment horizontal="center" vertical="center"/>
      <protection/>
    </xf>
    <xf numFmtId="3" fontId="10" fillId="0" borderId="117" xfId="59" applyNumberFormat="1" applyFont="1" applyBorder="1" applyAlignment="1">
      <alignment horizontal="center" vertical="center"/>
      <protection/>
    </xf>
    <xf numFmtId="3" fontId="10" fillId="0" borderId="113" xfId="59" applyNumberFormat="1" applyFont="1" applyBorder="1" applyAlignment="1">
      <alignment horizontal="center" vertical="center"/>
      <protection/>
    </xf>
    <xf numFmtId="3" fontId="10" fillId="0" borderId="66" xfId="59" applyNumberFormat="1" applyFont="1" applyBorder="1" applyAlignment="1">
      <alignment horizontal="center" vertical="center"/>
      <protection/>
    </xf>
    <xf numFmtId="3" fontId="10" fillId="0" borderId="153" xfId="59" applyNumberFormat="1" applyFont="1" applyBorder="1" applyAlignment="1">
      <alignment horizontal="center" vertical="center"/>
      <protection/>
    </xf>
    <xf numFmtId="0" fontId="16" fillId="0" borderId="49" xfId="59" applyFont="1" applyBorder="1" applyAlignment="1">
      <alignment horizontal="left"/>
      <protection/>
    </xf>
    <xf numFmtId="0" fontId="17" fillId="0" borderId="47" xfId="59" applyFont="1" applyBorder="1" applyAlignment="1">
      <alignment horizontal="right"/>
      <protection/>
    </xf>
    <xf numFmtId="0" fontId="17" fillId="0" borderId="112" xfId="59" applyFont="1" applyBorder="1" applyAlignment="1">
      <alignment horizontal="right"/>
      <protection/>
    </xf>
    <xf numFmtId="0" fontId="17" fillId="0" borderId="98" xfId="59" applyFont="1" applyBorder="1" applyAlignment="1">
      <alignment horizontal="right"/>
      <protection/>
    </xf>
    <xf numFmtId="0" fontId="16" fillId="0" borderId="110" xfId="59" applyFont="1" applyBorder="1" applyAlignment="1">
      <alignment horizontal="left" vertical="center"/>
      <protection/>
    </xf>
    <xf numFmtId="0" fontId="16" fillId="0" borderId="112" xfId="59" applyFont="1" applyBorder="1" applyAlignment="1">
      <alignment horizontal="left" vertical="center"/>
      <protection/>
    </xf>
    <xf numFmtId="0" fontId="16" fillId="0" borderId="54" xfId="59" applyFont="1" applyBorder="1" applyAlignment="1">
      <alignment horizontal="left"/>
      <protection/>
    </xf>
    <xf numFmtId="0" fontId="19" fillId="0" borderId="0" xfId="0" applyFont="1" applyAlignment="1">
      <alignment horizontal="center"/>
    </xf>
    <xf numFmtId="0" fontId="33" fillId="0" borderId="0" xfId="0" applyFont="1" applyAlignment="1">
      <alignment/>
    </xf>
    <xf numFmtId="0" fontId="3" fillId="0" borderId="26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54" fillId="0" borderId="0" xfId="0" applyFont="1" applyFill="1" applyAlignment="1">
      <alignment horizontal="center" vertical="center"/>
    </xf>
    <xf numFmtId="0" fontId="3" fillId="0" borderId="128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12" fillId="0" borderId="21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63" fillId="0" borderId="147" xfId="61" applyFont="1" applyBorder="1" applyAlignment="1">
      <alignment horizontal="center" vertical="center" wrapText="1"/>
      <protection/>
    </xf>
    <xf numFmtId="0" fontId="8" fillId="0" borderId="124" xfId="61" applyBorder="1" applyAlignment="1">
      <alignment horizontal="center" vertical="center" wrapText="1"/>
      <protection/>
    </xf>
    <xf numFmtId="0" fontId="63" fillId="0" borderId="133" xfId="61" applyFont="1" applyBorder="1" applyAlignment="1">
      <alignment horizontal="center" vertical="center"/>
      <protection/>
    </xf>
    <xf numFmtId="0" fontId="63" fillId="0" borderId="24" xfId="61" applyFont="1" applyBorder="1" applyAlignment="1">
      <alignment horizontal="center" vertical="center"/>
      <protection/>
    </xf>
    <xf numFmtId="0" fontId="63" fillId="0" borderId="28" xfId="61" applyFont="1" applyBorder="1" applyAlignment="1">
      <alignment horizontal="center" vertical="center"/>
      <protection/>
    </xf>
    <xf numFmtId="0" fontId="63" fillId="0" borderId="21" xfId="61" applyFont="1" applyBorder="1" applyAlignment="1">
      <alignment horizontal="center" vertical="center"/>
      <protection/>
    </xf>
    <xf numFmtId="0" fontId="69" fillId="39" borderId="29" xfId="61" applyFont="1" applyFill="1" applyBorder="1" applyAlignment="1">
      <alignment horizontal="left"/>
      <protection/>
    </xf>
    <xf numFmtId="0" fontId="69" fillId="39" borderId="18" xfId="61" applyFont="1" applyFill="1" applyBorder="1" applyAlignment="1">
      <alignment horizontal="left"/>
      <protection/>
    </xf>
    <xf numFmtId="0" fontId="69" fillId="39" borderId="135" xfId="61" applyFont="1" applyFill="1" applyBorder="1" applyAlignment="1">
      <alignment horizontal="left"/>
      <protection/>
    </xf>
    <xf numFmtId="0" fontId="63" fillId="0" borderId="0" xfId="61" applyFont="1" applyAlignment="1">
      <alignment horizontal="center" wrapText="1"/>
      <protection/>
    </xf>
    <xf numFmtId="0" fontId="63" fillId="0" borderId="0" xfId="61" applyFont="1" applyAlignment="1">
      <alignment horizontal="center"/>
      <protection/>
    </xf>
    <xf numFmtId="0" fontId="63" fillId="0" borderId="33" xfId="61" applyFont="1" applyBorder="1" applyAlignment="1">
      <alignment horizontal="center" vertical="center"/>
      <protection/>
    </xf>
    <xf numFmtId="0" fontId="63" fillId="0" borderId="34" xfId="61" applyFont="1" applyBorder="1" applyAlignment="1">
      <alignment horizontal="center" vertical="center"/>
      <protection/>
    </xf>
    <xf numFmtId="0" fontId="63" fillId="0" borderId="140" xfId="61" applyFont="1" applyBorder="1" applyAlignment="1">
      <alignment horizontal="center" vertical="center"/>
      <protection/>
    </xf>
    <xf numFmtId="0" fontId="63" fillId="0" borderId="10" xfId="61" applyFont="1" applyBorder="1" applyAlignment="1">
      <alignment horizontal="center" vertical="center"/>
      <protection/>
    </xf>
    <xf numFmtId="0" fontId="63" fillId="0" borderId="33" xfId="61" applyFont="1" applyBorder="1" applyAlignment="1">
      <alignment horizontal="center" vertical="center" wrapText="1"/>
      <protection/>
    </xf>
    <xf numFmtId="0" fontId="63" fillId="0" borderId="128" xfId="61" applyFont="1" applyBorder="1" applyAlignment="1">
      <alignment horizontal="center" vertical="center" wrapText="1"/>
      <protection/>
    </xf>
    <xf numFmtId="0" fontId="63" fillId="0" borderId="34" xfId="61" applyFont="1" applyBorder="1" applyAlignment="1">
      <alignment horizontal="center" vertical="center" wrapText="1"/>
      <protection/>
    </xf>
    <xf numFmtId="0" fontId="63" fillId="0" borderId="10" xfId="61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3" fontId="19" fillId="34" borderId="160" xfId="0" applyNumberFormat="1" applyFont="1" applyFill="1" applyBorder="1" applyAlignment="1">
      <alignment horizontal="center"/>
    </xf>
    <xf numFmtId="3" fontId="19" fillId="34" borderId="70" xfId="0" applyNumberFormat="1" applyFont="1" applyFill="1" applyBorder="1" applyAlignment="1">
      <alignment horizontal="center"/>
    </xf>
    <xf numFmtId="3" fontId="19" fillId="34" borderId="85" xfId="0" applyNumberFormat="1" applyFont="1" applyFill="1" applyBorder="1" applyAlignment="1">
      <alignment horizontal="center"/>
    </xf>
    <xf numFmtId="0" fontId="60" fillId="0" borderId="61" xfId="0" applyFont="1" applyBorder="1" applyAlignment="1">
      <alignment horizontal="left" vertical="center" wrapText="1"/>
    </xf>
    <xf numFmtId="0" fontId="60" fillId="0" borderId="46" xfId="0" applyFont="1" applyBorder="1" applyAlignment="1">
      <alignment horizontal="left" vertical="center" wrapText="1"/>
    </xf>
    <xf numFmtId="0" fontId="60" fillId="0" borderId="94" xfId="0" applyFont="1" applyBorder="1" applyAlignment="1">
      <alignment horizontal="left" vertical="center" wrapText="1"/>
    </xf>
    <xf numFmtId="3" fontId="0" fillId="38" borderId="147" xfId="0" applyNumberFormat="1" applyFill="1" applyBorder="1" applyAlignment="1">
      <alignment horizontal="center"/>
    </xf>
    <xf numFmtId="3" fontId="0" fillId="38" borderId="117" xfId="0" applyNumberFormat="1" applyFill="1" applyBorder="1" applyAlignment="1">
      <alignment horizontal="center"/>
    </xf>
    <xf numFmtId="3" fontId="0" fillId="38" borderId="148" xfId="0" applyNumberFormat="1" applyFill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57" xfId="0" applyBorder="1" applyAlignment="1">
      <alignment horizontal="center"/>
    </xf>
    <xf numFmtId="3" fontId="0" fillId="38" borderId="75" xfId="0" applyNumberFormat="1" applyFill="1" applyBorder="1" applyAlignment="1">
      <alignment horizontal="center"/>
    </xf>
    <xf numFmtId="0" fontId="60" fillId="0" borderId="161" xfId="0" applyFont="1" applyBorder="1" applyAlignment="1">
      <alignment horizontal="left" vertical="center" wrapText="1"/>
    </xf>
    <xf numFmtId="0" fontId="60" fillId="0" borderId="156" xfId="0" applyFont="1" applyBorder="1" applyAlignment="1">
      <alignment horizontal="left" vertical="center" wrapText="1"/>
    </xf>
    <xf numFmtId="0" fontId="59" fillId="40" borderId="83" xfId="0" applyFont="1" applyFill="1" applyBorder="1" applyAlignment="1">
      <alignment horizontal="center" vertical="center"/>
    </xf>
    <xf numFmtId="0" fontId="59" fillId="40" borderId="70" xfId="0" applyFont="1" applyFill="1" applyBorder="1" applyAlignment="1">
      <alignment horizontal="center" vertical="center"/>
    </xf>
    <xf numFmtId="0" fontId="59" fillId="40" borderId="162" xfId="0" applyFont="1" applyFill="1" applyBorder="1" applyAlignment="1">
      <alignment horizontal="center" vertical="center"/>
    </xf>
    <xf numFmtId="0" fontId="60" fillId="0" borderId="163" xfId="0" applyFont="1" applyBorder="1" applyAlignment="1">
      <alignment horizontal="left" vertical="center"/>
    </xf>
    <xf numFmtId="0" fontId="60" fillId="0" borderId="164" xfId="0" applyFont="1" applyBorder="1" applyAlignment="1">
      <alignment horizontal="left" vertical="center"/>
    </xf>
    <xf numFmtId="0" fontId="60" fillId="0" borderId="165" xfId="0" applyFont="1" applyBorder="1" applyAlignment="1">
      <alignment horizontal="left" vertical="center"/>
    </xf>
    <xf numFmtId="0" fontId="19" fillId="0" borderId="61" xfId="0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19" fillId="0" borderId="94" xfId="0" applyFont="1" applyBorder="1" applyAlignment="1">
      <alignment horizontal="center"/>
    </xf>
    <xf numFmtId="0" fontId="0" fillId="0" borderId="11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1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34" borderId="83" xfId="0" applyFill="1" applyBorder="1" applyAlignment="1">
      <alignment horizontal="center"/>
    </xf>
    <xf numFmtId="0" fontId="0" fillId="34" borderId="70" xfId="0" applyFill="1" applyBorder="1" applyAlignment="1">
      <alignment horizontal="center"/>
    </xf>
    <xf numFmtId="0" fontId="0" fillId="34" borderId="162" xfId="0" applyFill="1" applyBorder="1" applyAlignment="1">
      <alignment horizontal="center"/>
    </xf>
    <xf numFmtId="3" fontId="0" fillId="38" borderId="58" xfId="0" applyNumberFormat="1" applyFill="1" applyBorder="1" applyAlignment="1">
      <alignment horizontal="center"/>
    </xf>
    <xf numFmtId="3" fontId="0" fillId="38" borderId="57" xfId="0" applyNumberFormat="1" applyFill="1" applyBorder="1" applyAlignment="1">
      <alignment horizontal="center"/>
    </xf>
    <xf numFmtId="0" fontId="60" fillId="0" borderId="163" xfId="0" applyFont="1" applyBorder="1" applyAlignment="1">
      <alignment horizontal="left" vertical="center" wrapText="1"/>
    </xf>
    <xf numFmtId="0" fontId="60" fillId="0" borderId="164" xfId="0" applyFont="1" applyBorder="1" applyAlignment="1">
      <alignment horizontal="left" vertical="center" wrapText="1"/>
    </xf>
    <xf numFmtId="0" fontId="60" fillId="0" borderId="165" xfId="0" applyFont="1" applyBorder="1" applyAlignment="1">
      <alignment horizontal="left" vertical="center" wrapText="1"/>
    </xf>
    <xf numFmtId="3" fontId="0" fillId="4" borderId="129" xfId="0" applyNumberFormat="1" applyFill="1" applyBorder="1" applyAlignment="1">
      <alignment horizontal="right" vertical="center"/>
    </xf>
    <xf numFmtId="3" fontId="0" fillId="4" borderId="35" xfId="0" applyNumberForma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8" fillId="0" borderId="0" xfId="0" applyFont="1" applyAlignment="1">
      <alignment horizontal="center" wrapText="1"/>
    </xf>
    <xf numFmtId="0" fontId="14" fillId="0" borderId="147" xfId="0" applyFont="1" applyBorder="1" applyAlignment="1">
      <alignment horizontal="center" vertical="center" wrapText="1"/>
    </xf>
    <xf numFmtId="0" fontId="14" fillId="0" borderId="117" xfId="0" applyFont="1" applyBorder="1" applyAlignment="1">
      <alignment horizontal="center" vertical="center" wrapText="1"/>
    </xf>
    <xf numFmtId="0" fontId="14" fillId="0" borderId="124" xfId="0" applyFont="1" applyBorder="1" applyAlignment="1">
      <alignment horizontal="center" vertical="center" wrapText="1"/>
    </xf>
    <xf numFmtId="0" fontId="57" fillId="0" borderId="113" xfId="0" applyFont="1" applyBorder="1" applyAlignment="1">
      <alignment horizontal="center" vertical="center"/>
    </xf>
    <xf numFmtId="0" fontId="57" fillId="0" borderId="66" xfId="0" applyFont="1" applyBorder="1" applyAlignment="1">
      <alignment horizontal="center" vertical="center"/>
    </xf>
    <xf numFmtId="0" fontId="57" fillId="0" borderId="130" xfId="0" applyFont="1" applyBorder="1" applyAlignment="1">
      <alignment horizontal="center" vertical="center"/>
    </xf>
    <xf numFmtId="0" fontId="57" fillId="0" borderId="33" xfId="0" applyFont="1" applyBorder="1" applyAlignment="1">
      <alignment horizontal="center" vertical="center" wrapText="1"/>
    </xf>
    <xf numFmtId="0" fontId="57" fillId="0" borderId="34" xfId="0" applyFont="1" applyBorder="1" applyAlignment="1">
      <alignment horizontal="center" vertical="center" wrapText="1"/>
    </xf>
    <xf numFmtId="0" fontId="57" fillId="0" borderId="140" xfId="0" applyFont="1" applyBorder="1" applyAlignment="1">
      <alignment horizontal="center" vertical="center" wrapText="1"/>
    </xf>
    <xf numFmtId="0" fontId="58" fillId="0" borderId="147" xfId="0" applyFont="1" applyBorder="1" applyAlignment="1">
      <alignment horizontal="center" vertical="center" wrapText="1"/>
    </xf>
    <xf numFmtId="0" fontId="58" fillId="0" borderId="117" xfId="0" applyFont="1" applyBorder="1" applyAlignment="1">
      <alignment horizontal="center" vertical="center" wrapText="1"/>
    </xf>
    <xf numFmtId="0" fontId="58" fillId="0" borderId="124" xfId="0" applyFont="1" applyBorder="1" applyAlignment="1">
      <alignment horizontal="center" vertical="center" wrapText="1"/>
    </xf>
    <xf numFmtId="0" fontId="57" fillId="0" borderId="28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/>
    </xf>
    <xf numFmtId="0" fontId="57" fillId="0" borderId="21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3" fontId="12" fillId="34" borderId="99" xfId="0" applyNumberFormat="1" applyFont="1" applyFill="1" applyBorder="1" applyAlignment="1">
      <alignment vertical="center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Normál 2" xfId="57"/>
    <cellStyle name="Normál 3" xfId="58"/>
    <cellStyle name="Normál_Kötelező, önként vállalt, állami feladatok szerinti bontás" xfId="59"/>
    <cellStyle name="Normál_Munka1" xfId="60"/>
    <cellStyle name="Normál_NORM09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201"/>
  <sheetViews>
    <sheetView zoomScale="120" zoomScaleNormal="120" zoomScalePageLayoutView="0" workbookViewId="0" topLeftCell="A1">
      <selection activeCell="A2" sqref="A2:J2"/>
    </sheetView>
  </sheetViews>
  <sheetFormatPr defaultColWidth="9.00390625" defaultRowHeight="12.75"/>
  <cols>
    <col min="1" max="1" width="5.125" style="123" customWidth="1"/>
    <col min="2" max="3" width="9.125" style="123" customWidth="1"/>
    <col min="4" max="4" width="5.875" style="123" customWidth="1"/>
    <col min="5" max="5" width="49.875" style="123" customWidth="1"/>
    <col min="6" max="6" width="16.125" style="123" bestFit="1" customWidth="1"/>
    <col min="7" max="7" width="13.625" style="123" customWidth="1"/>
    <col min="8" max="9" width="15.125" style="123" customWidth="1"/>
    <col min="10" max="10" width="15.875" style="123" bestFit="1" customWidth="1"/>
    <col min="11" max="11" width="9.125" style="253" customWidth="1"/>
    <col min="12" max="16384" width="9.125" style="123" customWidth="1"/>
  </cols>
  <sheetData>
    <row r="1" spans="1:10" ht="12.75">
      <c r="A1" s="70"/>
      <c r="B1" s="149"/>
      <c r="C1" s="149"/>
      <c r="D1" s="149"/>
      <c r="E1" s="150"/>
      <c r="F1" s="951" t="s">
        <v>1125</v>
      </c>
      <c r="G1" s="952"/>
      <c r="H1" s="952"/>
      <c r="I1" s="952"/>
      <c r="J1" s="952"/>
    </row>
    <row r="2" spans="1:10" ht="15.75">
      <c r="A2" s="956" t="s">
        <v>779</v>
      </c>
      <c r="B2" s="956"/>
      <c r="C2" s="956"/>
      <c r="D2" s="956"/>
      <c r="E2" s="956"/>
      <c r="F2" s="956"/>
      <c r="G2" s="956"/>
      <c r="H2" s="956"/>
      <c r="I2" s="956"/>
      <c r="J2" s="956"/>
    </row>
    <row r="3" spans="1:10" ht="12.75">
      <c r="A3" s="70"/>
      <c r="B3" s="70"/>
      <c r="C3" s="70"/>
      <c r="D3" s="70"/>
      <c r="E3" s="70"/>
      <c r="F3" s="149"/>
      <c r="G3" s="149"/>
      <c r="H3" s="149"/>
      <c r="I3" s="149"/>
      <c r="J3" s="149"/>
    </row>
    <row r="4" spans="1:10" ht="12.75">
      <c r="A4" s="70"/>
      <c r="B4" s="149"/>
      <c r="C4" s="149"/>
      <c r="D4" s="149"/>
      <c r="E4" s="149"/>
      <c r="F4" s="149"/>
      <c r="G4" s="149"/>
      <c r="H4" s="149"/>
      <c r="I4" s="149"/>
      <c r="J4" s="150" t="s">
        <v>567</v>
      </c>
    </row>
    <row r="5" spans="1:10" ht="60">
      <c r="A5" s="963" t="s">
        <v>0</v>
      </c>
      <c r="B5" s="964"/>
      <c r="C5" s="964"/>
      <c r="D5" s="964"/>
      <c r="E5" s="965"/>
      <c r="F5" s="130" t="s">
        <v>85</v>
      </c>
      <c r="G5" s="130" t="s">
        <v>361</v>
      </c>
      <c r="H5" s="130" t="s">
        <v>676</v>
      </c>
      <c r="I5" s="130" t="s">
        <v>713</v>
      </c>
      <c r="J5" s="130" t="s">
        <v>356</v>
      </c>
    </row>
    <row r="6" spans="1:11" s="134" customFormat="1" ht="15">
      <c r="A6" s="151" t="s">
        <v>416</v>
      </c>
      <c r="B6" s="953" t="s">
        <v>417</v>
      </c>
      <c r="C6" s="954"/>
      <c r="D6" s="954"/>
      <c r="E6" s="955"/>
      <c r="F6" s="152" t="s">
        <v>418</v>
      </c>
      <c r="G6" s="152" t="s">
        <v>419</v>
      </c>
      <c r="H6" s="152" t="s">
        <v>420</v>
      </c>
      <c r="I6" s="152" t="s">
        <v>421</v>
      </c>
      <c r="J6" s="152" t="s">
        <v>423</v>
      </c>
      <c r="K6" s="497"/>
    </row>
    <row r="7" spans="1:11" s="155" customFormat="1" ht="12.75">
      <c r="A7" s="153" t="s">
        <v>200</v>
      </c>
      <c r="B7" s="958" t="s">
        <v>201</v>
      </c>
      <c r="C7" s="958"/>
      <c r="D7" s="958"/>
      <c r="E7" s="958"/>
      <c r="F7" s="154">
        <f>SUM(F8+F16+F17+F18+F29+F30)</f>
        <v>788594583</v>
      </c>
      <c r="G7" s="154">
        <f>SUM(G8+G16+G17+G18+G29+G30)</f>
        <v>1484730</v>
      </c>
      <c r="H7" s="154">
        <f>SUM(H8+H16+H17+H18+H29+H30)</f>
        <v>14306687</v>
      </c>
      <c r="I7" s="154">
        <f>SUM(I8+I16+I17+I18+I29+I30)</f>
        <v>2854932</v>
      </c>
      <c r="J7" s="154">
        <f>SUM(F7:I7)</f>
        <v>807240932</v>
      </c>
      <c r="K7" s="498"/>
    </row>
    <row r="8" spans="1:11" ht="12.75">
      <c r="A8" s="156"/>
      <c r="B8" s="156" t="s">
        <v>202</v>
      </c>
      <c r="C8" s="950" t="s">
        <v>203</v>
      </c>
      <c r="D8" s="950"/>
      <c r="E8" s="950"/>
      <c r="F8" s="157">
        <f>SUM(F9:F15)</f>
        <v>535627305</v>
      </c>
      <c r="G8" s="157">
        <f>SUM(G9:G15)</f>
        <v>0</v>
      </c>
      <c r="H8" s="157">
        <f>SUM(H9:H15)</f>
        <v>0</v>
      </c>
      <c r="I8" s="157">
        <f>SUM(I9:I15)</f>
        <v>0</v>
      </c>
      <c r="J8" s="158">
        <f aca="true" t="shared" si="0" ref="J8:J73">SUM(F8:I8)</f>
        <v>535627305</v>
      </c>
      <c r="K8" s="499"/>
    </row>
    <row r="9" spans="1:11" ht="12.75">
      <c r="A9" s="159"/>
      <c r="B9" s="159"/>
      <c r="C9" s="159" t="s">
        <v>204</v>
      </c>
      <c r="D9" s="159"/>
      <c r="E9" s="159" t="s">
        <v>586</v>
      </c>
      <c r="F9" s="160">
        <f>186857281+22486700+426173+652750</f>
        <v>210422904</v>
      </c>
      <c r="G9" s="160">
        <v>0</v>
      </c>
      <c r="H9" s="160">
        <v>0</v>
      </c>
      <c r="I9" s="160">
        <v>0</v>
      </c>
      <c r="J9" s="161">
        <f t="shared" si="0"/>
        <v>210422904</v>
      </c>
      <c r="K9" s="500"/>
    </row>
    <row r="10" spans="1:11" ht="12.75">
      <c r="A10" s="159"/>
      <c r="B10" s="162"/>
      <c r="C10" s="159" t="s">
        <v>205</v>
      </c>
      <c r="D10" s="159"/>
      <c r="E10" s="159" t="s">
        <v>592</v>
      </c>
      <c r="F10" s="160">
        <f>118098200+9013565+2384560</f>
        <v>129496325</v>
      </c>
      <c r="G10" s="160">
        <v>0</v>
      </c>
      <c r="H10" s="160">
        <v>0</v>
      </c>
      <c r="I10" s="160">
        <v>0</v>
      </c>
      <c r="J10" s="161">
        <f t="shared" si="0"/>
        <v>129496325</v>
      </c>
      <c r="K10" s="500"/>
    </row>
    <row r="11" spans="1:11" ht="12.75">
      <c r="A11" s="159"/>
      <c r="B11" s="159"/>
      <c r="C11" s="159" t="s">
        <v>890</v>
      </c>
      <c r="D11" s="159"/>
      <c r="E11" s="159" t="s">
        <v>892</v>
      </c>
      <c r="F11" s="160">
        <f>90378059+1038000+10068391+8095006+2713500+190000</f>
        <v>112482956</v>
      </c>
      <c r="G11" s="160">
        <v>0</v>
      </c>
      <c r="H11" s="160">
        <v>0</v>
      </c>
      <c r="I11" s="160">
        <v>0</v>
      </c>
      <c r="J11" s="161">
        <f t="shared" si="0"/>
        <v>112482956</v>
      </c>
      <c r="K11" s="500"/>
    </row>
    <row r="12" spans="1:11" ht="12.75">
      <c r="A12" s="159"/>
      <c r="B12" s="159"/>
      <c r="C12" s="159" t="s">
        <v>891</v>
      </c>
      <c r="D12" s="159"/>
      <c r="E12" s="159" t="s">
        <v>893</v>
      </c>
      <c r="F12" s="160">
        <f>76751744+1598080-10659174</f>
        <v>67690650</v>
      </c>
      <c r="G12" s="160"/>
      <c r="H12" s="160"/>
      <c r="I12" s="160"/>
      <c r="J12" s="161">
        <f t="shared" si="0"/>
        <v>67690650</v>
      </c>
      <c r="K12" s="500"/>
    </row>
    <row r="13" spans="1:11" ht="12.75">
      <c r="A13" s="159"/>
      <c r="B13" s="159"/>
      <c r="C13" s="159" t="s">
        <v>206</v>
      </c>
      <c r="D13" s="159"/>
      <c r="E13" s="159" t="s">
        <v>593</v>
      </c>
      <c r="F13" s="160">
        <f>10821150+848820+3719500+145000</f>
        <v>15534470</v>
      </c>
      <c r="G13" s="160">
        <v>0</v>
      </c>
      <c r="H13" s="160">
        <v>0</v>
      </c>
      <c r="I13" s="160">
        <v>0</v>
      </c>
      <c r="J13" s="161">
        <f t="shared" si="0"/>
        <v>15534470</v>
      </c>
      <c r="K13" s="500"/>
    </row>
    <row r="14" spans="1:11" ht="12.75">
      <c r="A14" s="159"/>
      <c r="B14" s="159"/>
      <c r="C14" s="159" t="s">
        <v>207</v>
      </c>
      <c r="D14" s="159"/>
      <c r="E14" s="159" t="s">
        <v>587</v>
      </c>
      <c r="F14" s="160">
        <f>383873+10959511-11343384</f>
        <v>0</v>
      </c>
      <c r="G14" s="160">
        <v>0</v>
      </c>
      <c r="H14" s="160">
        <v>0</v>
      </c>
      <c r="I14" s="160">
        <v>0</v>
      </c>
      <c r="J14" s="161">
        <f t="shared" si="0"/>
        <v>0</v>
      </c>
      <c r="K14" s="500"/>
    </row>
    <row r="15" spans="1:11" ht="0.75" customHeight="1">
      <c r="A15" s="163"/>
      <c r="B15" s="163"/>
      <c r="C15" s="159" t="s">
        <v>208</v>
      </c>
      <c r="D15" s="163"/>
      <c r="E15" s="159" t="s">
        <v>492</v>
      </c>
      <c r="F15" s="160">
        <v>0</v>
      </c>
      <c r="G15" s="160">
        <v>0</v>
      </c>
      <c r="H15" s="160">
        <v>0</v>
      </c>
      <c r="I15" s="160">
        <v>0</v>
      </c>
      <c r="J15" s="161">
        <f t="shared" si="0"/>
        <v>0</v>
      </c>
      <c r="K15" s="500"/>
    </row>
    <row r="16" spans="1:11" ht="12.75">
      <c r="A16" s="156"/>
      <c r="B16" s="156" t="s">
        <v>209</v>
      </c>
      <c r="C16" s="950" t="s">
        <v>210</v>
      </c>
      <c r="D16" s="950"/>
      <c r="E16" s="950"/>
      <c r="F16" s="157">
        <v>0</v>
      </c>
      <c r="G16" s="157">
        <v>0</v>
      </c>
      <c r="H16" s="157">
        <v>0</v>
      </c>
      <c r="I16" s="157">
        <v>0</v>
      </c>
      <c r="J16" s="158">
        <f t="shared" si="0"/>
        <v>0</v>
      </c>
      <c r="K16" s="499"/>
    </row>
    <row r="17" spans="1:11" ht="12.75">
      <c r="A17" s="156"/>
      <c r="B17" s="156" t="s">
        <v>211</v>
      </c>
      <c r="C17" s="950" t="s">
        <v>588</v>
      </c>
      <c r="D17" s="950"/>
      <c r="E17" s="950"/>
      <c r="F17" s="157">
        <v>0</v>
      </c>
      <c r="G17" s="157">
        <v>0</v>
      </c>
      <c r="H17" s="157">
        <v>0</v>
      </c>
      <c r="I17" s="157">
        <v>0</v>
      </c>
      <c r="J17" s="158">
        <f t="shared" si="0"/>
        <v>0</v>
      </c>
      <c r="K17" s="499"/>
    </row>
    <row r="18" spans="1:11" ht="12.75">
      <c r="A18" s="156"/>
      <c r="B18" s="156" t="s">
        <v>212</v>
      </c>
      <c r="C18" s="950" t="s">
        <v>589</v>
      </c>
      <c r="D18" s="950"/>
      <c r="E18" s="950"/>
      <c r="F18" s="157">
        <f>SUM(F19:F28)</f>
        <v>0</v>
      </c>
      <c r="G18" s="157">
        <f>SUM(G19:G28)</f>
        <v>0</v>
      </c>
      <c r="H18" s="157">
        <f>SUM(H19:H28)</f>
        <v>0</v>
      </c>
      <c r="I18" s="157">
        <f>SUM(I19:I28)</f>
        <v>0</v>
      </c>
      <c r="J18" s="158">
        <f t="shared" si="0"/>
        <v>0</v>
      </c>
      <c r="K18" s="499"/>
    </row>
    <row r="19" spans="1:11" ht="12.75" hidden="1">
      <c r="A19" s="164"/>
      <c r="B19" s="164"/>
      <c r="C19" s="165" t="s">
        <v>2</v>
      </c>
      <c r="D19" s="165" t="s">
        <v>138</v>
      </c>
      <c r="E19" s="165" t="s">
        <v>139</v>
      </c>
      <c r="F19" s="166">
        <v>0</v>
      </c>
      <c r="G19" s="166">
        <v>0</v>
      </c>
      <c r="H19" s="166">
        <v>0</v>
      </c>
      <c r="I19" s="166">
        <v>0</v>
      </c>
      <c r="J19" s="167">
        <f t="shared" si="0"/>
        <v>0</v>
      </c>
      <c r="K19" s="501"/>
    </row>
    <row r="20" spans="1:11" ht="12.75" hidden="1">
      <c r="A20" s="164"/>
      <c r="B20" s="164"/>
      <c r="C20" s="165"/>
      <c r="D20" s="165" t="s">
        <v>140</v>
      </c>
      <c r="E20" s="165" t="s">
        <v>141</v>
      </c>
      <c r="F20" s="166">
        <v>0</v>
      </c>
      <c r="G20" s="166">
        <v>0</v>
      </c>
      <c r="H20" s="166">
        <v>0</v>
      </c>
      <c r="I20" s="166">
        <v>0</v>
      </c>
      <c r="J20" s="167">
        <f t="shared" si="0"/>
        <v>0</v>
      </c>
      <c r="K20" s="501"/>
    </row>
    <row r="21" spans="1:11" ht="12.75" hidden="1">
      <c r="A21" s="164"/>
      <c r="B21" s="164"/>
      <c r="C21" s="165"/>
      <c r="D21" s="165" t="s">
        <v>142</v>
      </c>
      <c r="E21" s="165" t="s">
        <v>213</v>
      </c>
      <c r="F21" s="166">
        <v>0</v>
      </c>
      <c r="G21" s="166">
        <v>0</v>
      </c>
      <c r="H21" s="166">
        <v>0</v>
      </c>
      <c r="I21" s="166">
        <v>0</v>
      </c>
      <c r="J21" s="167">
        <f t="shared" si="0"/>
        <v>0</v>
      </c>
      <c r="K21" s="501"/>
    </row>
    <row r="22" spans="1:11" ht="12.75" hidden="1">
      <c r="A22" s="164"/>
      <c r="B22" s="164"/>
      <c r="C22" s="165"/>
      <c r="D22" s="165" t="s">
        <v>144</v>
      </c>
      <c r="E22" s="165" t="s">
        <v>145</v>
      </c>
      <c r="F22" s="166">
        <v>0</v>
      </c>
      <c r="G22" s="166">
        <v>0</v>
      </c>
      <c r="H22" s="166">
        <v>0</v>
      </c>
      <c r="I22" s="166">
        <v>0</v>
      </c>
      <c r="J22" s="167">
        <f t="shared" si="0"/>
        <v>0</v>
      </c>
      <c r="K22" s="501"/>
    </row>
    <row r="23" spans="1:11" ht="12.75" hidden="1">
      <c r="A23" s="164"/>
      <c r="B23" s="164"/>
      <c r="C23" s="165"/>
      <c r="D23" s="165" t="s">
        <v>146</v>
      </c>
      <c r="E23" s="165" t="s">
        <v>147</v>
      </c>
      <c r="F23" s="166">
        <v>0</v>
      </c>
      <c r="G23" s="166">
        <v>0</v>
      </c>
      <c r="H23" s="166">
        <v>0</v>
      </c>
      <c r="I23" s="166">
        <v>0</v>
      </c>
      <c r="J23" s="167">
        <f t="shared" si="0"/>
        <v>0</v>
      </c>
      <c r="K23" s="501"/>
    </row>
    <row r="24" spans="1:11" ht="12.75" hidden="1">
      <c r="A24" s="164"/>
      <c r="B24" s="164"/>
      <c r="C24" s="165"/>
      <c r="D24" s="165" t="s">
        <v>148</v>
      </c>
      <c r="E24" s="165" t="s">
        <v>149</v>
      </c>
      <c r="F24" s="166">
        <v>0</v>
      </c>
      <c r="G24" s="166">
        <v>0</v>
      </c>
      <c r="H24" s="166">
        <v>0</v>
      </c>
      <c r="I24" s="166">
        <v>0</v>
      </c>
      <c r="J24" s="167">
        <f t="shared" si="0"/>
        <v>0</v>
      </c>
      <c r="K24" s="501"/>
    </row>
    <row r="25" spans="1:11" ht="12.75" hidden="1">
      <c r="A25" s="164"/>
      <c r="B25" s="164"/>
      <c r="C25" s="165"/>
      <c r="D25" s="165" t="s">
        <v>150</v>
      </c>
      <c r="E25" s="165" t="s">
        <v>151</v>
      </c>
      <c r="F25" s="166">
        <v>0</v>
      </c>
      <c r="G25" s="166">
        <v>0</v>
      </c>
      <c r="H25" s="166">
        <v>0</v>
      </c>
      <c r="I25" s="166">
        <v>0</v>
      </c>
      <c r="J25" s="167">
        <f t="shared" si="0"/>
        <v>0</v>
      </c>
      <c r="K25" s="501"/>
    </row>
    <row r="26" spans="1:11" ht="12.75" hidden="1">
      <c r="A26" s="164"/>
      <c r="B26" s="164"/>
      <c r="C26" s="165"/>
      <c r="D26" s="165" t="s">
        <v>152</v>
      </c>
      <c r="E26" s="165" t="s">
        <v>153</v>
      </c>
      <c r="F26" s="166"/>
      <c r="G26" s="166">
        <v>0</v>
      </c>
      <c r="H26" s="166">
        <v>0</v>
      </c>
      <c r="I26" s="166">
        <v>0</v>
      </c>
      <c r="J26" s="167">
        <f t="shared" si="0"/>
        <v>0</v>
      </c>
      <c r="K26" s="501"/>
    </row>
    <row r="27" spans="1:11" ht="12.75" hidden="1">
      <c r="A27" s="164"/>
      <c r="B27" s="164"/>
      <c r="C27" s="165"/>
      <c r="D27" s="165" t="s">
        <v>154</v>
      </c>
      <c r="E27" s="165" t="s">
        <v>155</v>
      </c>
      <c r="F27" s="166">
        <v>0</v>
      </c>
      <c r="G27" s="166">
        <v>0</v>
      </c>
      <c r="H27" s="166">
        <v>0</v>
      </c>
      <c r="I27" s="166">
        <v>0</v>
      </c>
      <c r="J27" s="167">
        <f t="shared" si="0"/>
        <v>0</v>
      </c>
      <c r="K27" s="501"/>
    </row>
    <row r="28" spans="1:11" ht="12.75" hidden="1">
      <c r="A28" s="164"/>
      <c r="B28" s="164"/>
      <c r="C28" s="165"/>
      <c r="D28" s="165" t="s">
        <v>156</v>
      </c>
      <c r="E28" s="165" t="s">
        <v>157</v>
      </c>
      <c r="F28" s="166">
        <v>0</v>
      </c>
      <c r="G28" s="166">
        <v>0</v>
      </c>
      <c r="H28" s="166">
        <v>0</v>
      </c>
      <c r="I28" s="166">
        <v>0</v>
      </c>
      <c r="J28" s="167">
        <f t="shared" si="0"/>
        <v>0</v>
      </c>
      <c r="K28" s="501"/>
    </row>
    <row r="29" spans="1:11" ht="12.75">
      <c r="A29" s="156"/>
      <c r="B29" s="156" t="s">
        <v>214</v>
      </c>
      <c r="C29" s="950" t="s">
        <v>590</v>
      </c>
      <c r="D29" s="950"/>
      <c r="E29" s="950"/>
      <c r="F29" s="157">
        <v>0</v>
      </c>
      <c r="G29" s="157">
        <v>0</v>
      </c>
      <c r="H29" s="157">
        <v>0</v>
      </c>
      <c r="I29" s="157">
        <v>0</v>
      </c>
      <c r="J29" s="158">
        <f t="shared" si="0"/>
        <v>0</v>
      </c>
      <c r="K29" s="499"/>
    </row>
    <row r="30" spans="1:11" ht="12.75">
      <c r="A30" s="156"/>
      <c r="B30" s="156" t="s">
        <v>215</v>
      </c>
      <c r="C30" s="950" t="s">
        <v>591</v>
      </c>
      <c r="D30" s="950"/>
      <c r="E30" s="950"/>
      <c r="F30" s="157">
        <f>SUM(F31:F40)</f>
        <v>252967278</v>
      </c>
      <c r="G30" s="157">
        <f>SUM(G31:G40)</f>
        <v>1484730</v>
      </c>
      <c r="H30" s="157">
        <f>SUM(H31:H40)</f>
        <v>14306687</v>
      </c>
      <c r="I30" s="157">
        <f>SUM(I31:I40)</f>
        <v>2854932</v>
      </c>
      <c r="J30" s="158">
        <f t="shared" si="0"/>
        <v>271613627</v>
      </c>
      <c r="K30" s="499"/>
    </row>
    <row r="31" spans="1:11" ht="12.75" hidden="1">
      <c r="A31" s="164"/>
      <c r="B31" s="164"/>
      <c r="C31" s="165" t="s">
        <v>2</v>
      </c>
      <c r="D31" s="165" t="s">
        <v>138</v>
      </c>
      <c r="E31" s="165" t="s">
        <v>139</v>
      </c>
      <c r="F31" s="166">
        <v>0</v>
      </c>
      <c r="G31" s="166">
        <v>0</v>
      </c>
      <c r="H31" s="166">
        <v>0</v>
      </c>
      <c r="I31" s="166">
        <v>0</v>
      </c>
      <c r="J31" s="167">
        <f t="shared" si="0"/>
        <v>0</v>
      </c>
      <c r="K31" s="501"/>
    </row>
    <row r="32" spans="1:11" ht="12.75" hidden="1">
      <c r="A32" s="164"/>
      <c r="B32" s="164"/>
      <c r="C32" s="165"/>
      <c r="D32" s="165" t="s">
        <v>140</v>
      </c>
      <c r="E32" s="165" t="s">
        <v>141</v>
      </c>
      <c r="F32" s="166">
        <v>0</v>
      </c>
      <c r="G32" s="166">
        <v>0</v>
      </c>
      <c r="H32" s="166">
        <v>0</v>
      </c>
      <c r="I32" s="166">
        <v>0</v>
      </c>
      <c r="J32" s="167">
        <f t="shared" si="0"/>
        <v>0</v>
      </c>
      <c r="K32" s="501"/>
    </row>
    <row r="33" spans="1:11" ht="12.75">
      <c r="A33" s="168"/>
      <c r="B33" s="168"/>
      <c r="C33" s="165" t="s">
        <v>2</v>
      </c>
      <c r="D33" s="169"/>
      <c r="E33" s="169" t="s">
        <v>594</v>
      </c>
      <c r="F33" s="166">
        <f>2100000+40118910+5788759+1092680+13881090+60657486+23938936</f>
        <v>147577861</v>
      </c>
      <c r="G33" s="166">
        <v>0</v>
      </c>
      <c r="H33" s="166">
        <f>5354163+7000000</f>
        <v>12354163</v>
      </c>
      <c r="I33" s="166"/>
      <c r="J33" s="167">
        <f t="shared" si="0"/>
        <v>159932024</v>
      </c>
      <c r="K33" s="501"/>
    </row>
    <row r="34" spans="1:11" ht="12.75">
      <c r="A34" s="164"/>
      <c r="B34" s="164"/>
      <c r="C34" s="165"/>
      <c r="D34" s="165"/>
      <c r="E34" s="165" t="s">
        <v>145</v>
      </c>
      <c r="F34" s="166">
        <f>7411115+571500</f>
        <v>7982615</v>
      </c>
      <c r="G34" s="166">
        <v>0</v>
      </c>
      <c r="H34" s="166">
        <v>0</v>
      </c>
      <c r="I34" s="166">
        <v>0</v>
      </c>
      <c r="J34" s="167">
        <f t="shared" si="0"/>
        <v>7982615</v>
      </c>
      <c r="K34" s="501"/>
    </row>
    <row r="35" spans="1:11" ht="12.75">
      <c r="A35" s="164"/>
      <c r="B35" s="164"/>
      <c r="C35" s="165"/>
      <c r="D35" s="165"/>
      <c r="E35" s="165" t="s">
        <v>147</v>
      </c>
      <c r="F35" s="166">
        <f>21600000+7959000+2626200+2887500+50000+2324200</f>
        <v>37446900</v>
      </c>
      <c r="G35" s="166">
        <v>0</v>
      </c>
      <c r="H35" s="166">
        <v>0</v>
      </c>
      <c r="I35" s="166">
        <v>0</v>
      </c>
      <c r="J35" s="167">
        <f t="shared" si="0"/>
        <v>37446900</v>
      </c>
      <c r="K35" s="501"/>
    </row>
    <row r="36" spans="1:11" ht="12.75">
      <c r="A36" s="164"/>
      <c r="B36" s="164"/>
      <c r="C36" s="165"/>
      <c r="D36" s="165"/>
      <c r="E36" s="165" t="s">
        <v>149</v>
      </c>
      <c r="F36" s="166">
        <f>13227888+4016545+26537427+16490993-2702314-8864634+5586997+278932+139466+676210</f>
        <v>55387510</v>
      </c>
      <c r="G36" s="166">
        <v>1484730</v>
      </c>
      <c r="H36" s="166">
        <f>1952578-54</f>
        <v>1952524</v>
      </c>
      <c r="I36" s="166">
        <f>2576000+278932</f>
        <v>2854932</v>
      </c>
      <c r="J36" s="167">
        <f t="shared" si="0"/>
        <v>61679696</v>
      </c>
      <c r="K36" s="501"/>
    </row>
    <row r="37" spans="1:11" ht="12.75">
      <c r="A37" s="164"/>
      <c r="B37" s="164"/>
      <c r="C37" s="165"/>
      <c r="D37" s="165"/>
      <c r="E37" s="165" t="s">
        <v>151</v>
      </c>
      <c r="F37" s="166">
        <f>3386445+1185947</f>
        <v>4572392</v>
      </c>
      <c r="G37" s="166">
        <v>0</v>
      </c>
      <c r="H37" s="166">
        <v>0</v>
      </c>
      <c r="I37" s="166">
        <v>0</v>
      </c>
      <c r="J37" s="167">
        <f t="shared" si="0"/>
        <v>4572392</v>
      </c>
      <c r="K37" s="501"/>
    </row>
    <row r="38" spans="1:11" ht="12.75" hidden="1">
      <c r="A38" s="164"/>
      <c r="B38" s="164"/>
      <c r="C38" s="165"/>
      <c r="D38" s="165"/>
      <c r="E38" s="165" t="s">
        <v>153</v>
      </c>
      <c r="F38" s="166">
        <v>0</v>
      </c>
      <c r="G38" s="166">
        <v>0</v>
      </c>
      <c r="H38" s="166">
        <v>0</v>
      </c>
      <c r="I38" s="166">
        <v>0</v>
      </c>
      <c r="J38" s="167">
        <f t="shared" si="0"/>
        <v>0</v>
      </c>
      <c r="K38" s="501"/>
    </row>
    <row r="39" spans="1:11" ht="12.75" hidden="1">
      <c r="A39" s="164"/>
      <c r="B39" s="164"/>
      <c r="C39" s="165"/>
      <c r="D39" s="165"/>
      <c r="E39" s="165" t="s">
        <v>595</v>
      </c>
      <c r="F39" s="166">
        <v>0</v>
      </c>
      <c r="G39" s="166">
        <v>0</v>
      </c>
      <c r="H39" s="166">
        <v>0</v>
      </c>
      <c r="I39" s="166">
        <v>0</v>
      </c>
      <c r="J39" s="167">
        <f t="shared" si="0"/>
        <v>0</v>
      </c>
      <c r="K39" s="501"/>
    </row>
    <row r="40" spans="1:11" ht="12.75" hidden="1">
      <c r="A40" s="164"/>
      <c r="B40" s="164"/>
      <c r="C40" s="165"/>
      <c r="D40" s="165"/>
      <c r="E40" s="165" t="s">
        <v>596</v>
      </c>
      <c r="F40" s="166">
        <v>0</v>
      </c>
      <c r="G40" s="166">
        <v>0</v>
      </c>
      <c r="H40" s="166">
        <v>0</v>
      </c>
      <c r="I40" s="166">
        <v>0</v>
      </c>
      <c r="J40" s="167">
        <f t="shared" si="0"/>
        <v>0</v>
      </c>
      <c r="K40" s="501"/>
    </row>
    <row r="41" spans="1:11" s="155" customFormat="1" ht="12.75">
      <c r="A41" s="153" t="s">
        <v>216</v>
      </c>
      <c r="B41" s="958" t="s">
        <v>602</v>
      </c>
      <c r="C41" s="958"/>
      <c r="D41" s="958"/>
      <c r="E41" s="958"/>
      <c r="F41" s="154">
        <f>SUM(F42:F46)</f>
        <v>36779982</v>
      </c>
      <c r="G41" s="154">
        <f>SUM(G42:G46)</f>
        <v>0</v>
      </c>
      <c r="H41" s="154">
        <f>SUM(H42:H46)</f>
        <v>0</v>
      </c>
      <c r="I41" s="154">
        <f>SUM(I42:I46)</f>
        <v>0</v>
      </c>
      <c r="J41" s="154">
        <f t="shared" si="0"/>
        <v>36779982</v>
      </c>
      <c r="K41" s="498"/>
    </row>
    <row r="42" spans="1:11" ht="12" customHeight="1">
      <c r="A42" s="156"/>
      <c r="B42" s="156" t="s">
        <v>217</v>
      </c>
      <c r="C42" s="950" t="s">
        <v>597</v>
      </c>
      <c r="D42" s="950"/>
      <c r="E42" s="950"/>
      <c r="F42" s="157">
        <v>19846252</v>
      </c>
      <c r="G42" s="157">
        <v>0</v>
      </c>
      <c r="H42" s="157">
        <v>0</v>
      </c>
      <c r="I42" s="157">
        <v>0</v>
      </c>
      <c r="J42" s="158">
        <f t="shared" si="0"/>
        <v>19846252</v>
      </c>
      <c r="K42" s="499"/>
    </row>
    <row r="43" spans="1:11" ht="12.75" hidden="1">
      <c r="A43" s="156"/>
      <c r="B43" s="156" t="s">
        <v>218</v>
      </c>
      <c r="C43" s="950" t="s">
        <v>598</v>
      </c>
      <c r="D43" s="950"/>
      <c r="E43" s="950"/>
      <c r="F43" s="157">
        <v>0</v>
      </c>
      <c r="G43" s="157">
        <v>0</v>
      </c>
      <c r="H43" s="157">
        <v>0</v>
      </c>
      <c r="I43" s="157">
        <v>0</v>
      </c>
      <c r="J43" s="158">
        <f t="shared" si="0"/>
        <v>0</v>
      </c>
      <c r="K43" s="499"/>
    </row>
    <row r="44" spans="1:11" ht="12.75" hidden="1">
      <c r="A44" s="156"/>
      <c r="B44" s="156" t="s">
        <v>219</v>
      </c>
      <c r="C44" s="950" t="s">
        <v>599</v>
      </c>
      <c r="D44" s="950"/>
      <c r="E44" s="950"/>
      <c r="F44" s="157">
        <v>0</v>
      </c>
      <c r="G44" s="157">
        <v>0</v>
      </c>
      <c r="H44" s="157">
        <v>0</v>
      </c>
      <c r="I44" s="157">
        <v>0</v>
      </c>
      <c r="J44" s="158">
        <f t="shared" si="0"/>
        <v>0</v>
      </c>
      <c r="K44" s="499"/>
    </row>
    <row r="45" spans="1:11" ht="12.75" hidden="1">
      <c r="A45" s="156"/>
      <c r="B45" s="156" t="s">
        <v>220</v>
      </c>
      <c r="C45" s="950" t="s">
        <v>600</v>
      </c>
      <c r="D45" s="950"/>
      <c r="E45" s="950"/>
      <c r="F45" s="157">
        <v>0</v>
      </c>
      <c r="G45" s="157">
        <v>0</v>
      </c>
      <c r="H45" s="157">
        <v>0</v>
      </c>
      <c r="I45" s="157">
        <v>0</v>
      </c>
      <c r="J45" s="158">
        <f t="shared" si="0"/>
        <v>0</v>
      </c>
      <c r="K45" s="499"/>
    </row>
    <row r="46" spans="1:11" ht="12.75">
      <c r="A46" s="156"/>
      <c r="B46" s="156" t="s">
        <v>221</v>
      </c>
      <c r="C46" s="950" t="s">
        <v>601</v>
      </c>
      <c r="D46" s="950"/>
      <c r="E46" s="950"/>
      <c r="F46" s="157">
        <f>SUM(F47:F57)</f>
        <v>16933730</v>
      </c>
      <c r="G46" s="157">
        <f>SUM(G47:G57)</f>
        <v>0</v>
      </c>
      <c r="H46" s="157">
        <f>SUM(H47:H57)</f>
        <v>0</v>
      </c>
      <c r="I46" s="157">
        <f>SUM(I47:I57)</f>
        <v>0</v>
      </c>
      <c r="J46" s="158">
        <f t="shared" si="0"/>
        <v>16933730</v>
      </c>
      <c r="K46" s="499"/>
    </row>
    <row r="47" spans="1:11" ht="12.75" hidden="1">
      <c r="A47" s="164"/>
      <c r="B47" s="164"/>
      <c r="C47" s="165" t="s">
        <v>2</v>
      </c>
      <c r="D47" s="165" t="s">
        <v>138</v>
      </c>
      <c r="E47" s="165" t="s">
        <v>139</v>
      </c>
      <c r="F47" s="166">
        <v>0</v>
      </c>
      <c r="G47" s="166">
        <v>0</v>
      </c>
      <c r="H47" s="166">
        <v>0</v>
      </c>
      <c r="I47" s="166">
        <v>0</v>
      </c>
      <c r="J47" s="167">
        <f t="shared" si="0"/>
        <v>0</v>
      </c>
      <c r="K47" s="501"/>
    </row>
    <row r="48" spans="1:11" ht="12.75" hidden="1">
      <c r="A48" s="164"/>
      <c r="B48" s="164"/>
      <c r="C48" s="165"/>
      <c r="D48" s="165" t="s">
        <v>140</v>
      </c>
      <c r="E48" s="165" t="s">
        <v>141</v>
      </c>
      <c r="F48" s="166">
        <v>0</v>
      </c>
      <c r="G48" s="166">
        <v>0</v>
      </c>
      <c r="H48" s="166">
        <v>0</v>
      </c>
      <c r="I48" s="166">
        <v>0</v>
      </c>
      <c r="J48" s="167">
        <f t="shared" si="0"/>
        <v>0</v>
      </c>
      <c r="K48" s="501"/>
    </row>
    <row r="49" spans="1:11" ht="12" customHeight="1">
      <c r="A49" s="168"/>
      <c r="B49" s="168"/>
      <c r="C49" s="165" t="s">
        <v>2</v>
      </c>
      <c r="D49" s="169"/>
      <c r="E49" s="169" t="s">
        <v>213</v>
      </c>
      <c r="F49" s="166">
        <f>6000000-6000000+6000000+2374582+6795254+349099+1150000</f>
        <v>16668935</v>
      </c>
      <c r="G49" s="166">
        <v>0</v>
      </c>
      <c r="H49" s="166">
        <v>0</v>
      </c>
      <c r="I49" s="166"/>
      <c r="J49" s="167">
        <f t="shared" si="0"/>
        <v>16668935</v>
      </c>
      <c r="K49" s="501"/>
    </row>
    <row r="50" spans="1:11" ht="12.75" hidden="1">
      <c r="A50" s="164"/>
      <c r="B50" s="164"/>
      <c r="C50" s="165"/>
      <c r="D50" s="165" t="s">
        <v>144</v>
      </c>
      <c r="E50" s="165" t="s">
        <v>145</v>
      </c>
      <c r="F50" s="166"/>
      <c r="G50" s="166">
        <v>0</v>
      </c>
      <c r="H50" s="166">
        <v>0</v>
      </c>
      <c r="I50" s="166">
        <v>0</v>
      </c>
      <c r="J50" s="167">
        <f t="shared" si="0"/>
        <v>0</v>
      </c>
      <c r="K50" s="501"/>
    </row>
    <row r="51" spans="1:11" ht="12.75" hidden="1">
      <c r="A51" s="164"/>
      <c r="B51" s="164"/>
      <c r="C51" s="165"/>
      <c r="D51" s="165" t="s">
        <v>146</v>
      </c>
      <c r="E51" s="165" t="s">
        <v>147</v>
      </c>
      <c r="F51" s="166"/>
      <c r="G51" s="166">
        <v>0</v>
      </c>
      <c r="H51" s="166">
        <v>0</v>
      </c>
      <c r="I51" s="166">
        <v>0</v>
      </c>
      <c r="J51" s="167">
        <f t="shared" si="0"/>
        <v>0</v>
      </c>
      <c r="K51" s="501"/>
    </row>
    <row r="52" spans="1:11" ht="12.75" hidden="1">
      <c r="A52" s="164"/>
      <c r="B52" s="164"/>
      <c r="C52" s="165"/>
      <c r="D52" s="165" t="s">
        <v>148</v>
      </c>
      <c r="E52" s="165" t="s">
        <v>149</v>
      </c>
      <c r="F52" s="166"/>
      <c r="G52" s="166">
        <v>0</v>
      </c>
      <c r="H52" s="166">
        <v>0</v>
      </c>
      <c r="I52" s="166">
        <v>0</v>
      </c>
      <c r="J52" s="167">
        <f t="shared" si="0"/>
        <v>0</v>
      </c>
      <c r="K52" s="501"/>
    </row>
    <row r="53" spans="1:11" ht="12.75" hidden="1">
      <c r="A53" s="164"/>
      <c r="B53" s="164"/>
      <c r="C53" s="165"/>
      <c r="D53" s="165" t="s">
        <v>150</v>
      </c>
      <c r="E53" s="165" t="s">
        <v>151</v>
      </c>
      <c r="F53" s="166"/>
      <c r="G53" s="166">
        <v>0</v>
      </c>
      <c r="H53" s="166">
        <v>0</v>
      </c>
      <c r="I53" s="166">
        <v>0</v>
      </c>
      <c r="J53" s="167">
        <f t="shared" si="0"/>
        <v>0</v>
      </c>
      <c r="K53" s="501"/>
    </row>
    <row r="54" spans="1:11" ht="12.75" hidden="1">
      <c r="A54" s="164"/>
      <c r="B54" s="164"/>
      <c r="C54" s="165"/>
      <c r="D54" s="165" t="s">
        <v>152</v>
      </c>
      <c r="E54" s="165" t="s">
        <v>153</v>
      </c>
      <c r="F54" s="166"/>
      <c r="G54" s="166">
        <v>0</v>
      </c>
      <c r="H54" s="166">
        <v>0</v>
      </c>
      <c r="I54" s="166">
        <v>0</v>
      </c>
      <c r="J54" s="167">
        <f t="shared" si="0"/>
        <v>0</v>
      </c>
      <c r="K54" s="501"/>
    </row>
    <row r="55" spans="1:11" ht="12.75" hidden="1">
      <c r="A55" s="164"/>
      <c r="B55" s="164"/>
      <c r="C55" s="165"/>
      <c r="D55" s="165" t="s">
        <v>154</v>
      </c>
      <c r="E55" s="165" t="s">
        <v>155</v>
      </c>
      <c r="F55" s="166"/>
      <c r="G55" s="166">
        <v>0</v>
      </c>
      <c r="H55" s="166">
        <v>0</v>
      </c>
      <c r="I55" s="166">
        <v>0</v>
      </c>
      <c r="J55" s="167">
        <f t="shared" si="0"/>
        <v>0</v>
      </c>
      <c r="K55" s="501"/>
    </row>
    <row r="56" spans="1:11" ht="12.75" hidden="1">
      <c r="A56" s="164"/>
      <c r="B56" s="164"/>
      <c r="C56" s="165"/>
      <c r="D56" s="165" t="s">
        <v>156</v>
      </c>
      <c r="E56" s="165" t="s">
        <v>157</v>
      </c>
      <c r="F56" s="166"/>
      <c r="G56" s="166">
        <v>0</v>
      </c>
      <c r="H56" s="166">
        <v>0</v>
      </c>
      <c r="I56" s="166">
        <v>0</v>
      </c>
      <c r="J56" s="167">
        <f t="shared" si="0"/>
        <v>0</v>
      </c>
      <c r="K56" s="501"/>
    </row>
    <row r="57" spans="1:11" ht="12.75">
      <c r="A57" s="164"/>
      <c r="B57" s="164"/>
      <c r="C57" s="165"/>
      <c r="D57" s="165"/>
      <c r="E57" s="165" t="s">
        <v>149</v>
      </c>
      <c r="F57" s="166">
        <f>74295+190500</f>
        <v>264795</v>
      </c>
      <c r="G57" s="166">
        <v>0</v>
      </c>
      <c r="H57" s="166">
        <v>0</v>
      </c>
      <c r="I57" s="166">
        <v>0</v>
      </c>
      <c r="J57" s="167">
        <f t="shared" si="0"/>
        <v>264795</v>
      </c>
      <c r="K57" s="501"/>
    </row>
    <row r="58" spans="1:11" s="155" customFormat="1" ht="12.75">
      <c r="A58" s="153" t="s">
        <v>222</v>
      </c>
      <c r="B58" s="958" t="s">
        <v>223</v>
      </c>
      <c r="C58" s="958"/>
      <c r="D58" s="958"/>
      <c r="E58" s="958"/>
      <c r="F58" s="154">
        <f>SUM(F59+F60+F61+F62+F65+F76)</f>
        <v>239700000</v>
      </c>
      <c r="G58" s="154">
        <f>SUM(G59+G60+G61+G62+G65+G76)</f>
        <v>0</v>
      </c>
      <c r="H58" s="154">
        <f>SUM(H59+H60+H61+H62+H65+H76)</f>
        <v>0</v>
      </c>
      <c r="I58" s="154">
        <f>SUM(I59+I60+I61+I62+I65+I76)</f>
        <v>0</v>
      </c>
      <c r="J58" s="154">
        <f t="shared" si="0"/>
        <v>239700000</v>
      </c>
      <c r="K58" s="498"/>
    </row>
    <row r="59" spans="1:11" ht="12.75">
      <c r="A59" s="156"/>
      <c r="B59" s="156" t="s">
        <v>224</v>
      </c>
      <c r="C59" s="950" t="s">
        <v>225</v>
      </c>
      <c r="D59" s="950"/>
      <c r="E59" s="950"/>
      <c r="F59" s="157">
        <v>50000</v>
      </c>
      <c r="G59" s="157">
        <v>0</v>
      </c>
      <c r="H59" s="157">
        <v>0</v>
      </c>
      <c r="I59" s="157">
        <v>0</v>
      </c>
      <c r="J59" s="158">
        <f t="shared" si="0"/>
        <v>50000</v>
      </c>
      <c r="K59" s="499"/>
    </row>
    <row r="60" spans="1:11" ht="12.75">
      <c r="A60" s="156"/>
      <c r="B60" s="156" t="s">
        <v>226</v>
      </c>
      <c r="C60" s="950" t="s">
        <v>227</v>
      </c>
      <c r="D60" s="950"/>
      <c r="E60" s="950"/>
      <c r="F60" s="157">
        <v>0</v>
      </c>
      <c r="G60" s="157">
        <v>0</v>
      </c>
      <c r="H60" s="157">
        <v>0</v>
      </c>
      <c r="I60" s="157">
        <v>0</v>
      </c>
      <c r="J60" s="158">
        <f t="shared" si="0"/>
        <v>0</v>
      </c>
      <c r="K60" s="499"/>
    </row>
    <row r="61" spans="1:11" ht="12.75">
      <c r="A61" s="156"/>
      <c r="B61" s="156" t="s">
        <v>228</v>
      </c>
      <c r="C61" s="950" t="s">
        <v>229</v>
      </c>
      <c r="D61" s="950"/>
      <c r="E61" s="950"/>
      <c r="F61" s="157">
        <v>0</v>
      </c>
      <c r="G61" s="157">
        <v>0</v>
      </c>
      <c r="H61" s="157">
        <v>0</v>
      </c>
      <c r="I61" s="157">
        <v>0</v>
      </c>
      <c r="J61" s="158">
        <f t="shared" si="0"/>
        <v>0</v>
      </c>
      <c r="K61" s="499"/>
    </row>
    <row r="62" spans="1:11" ht="12.75">
      <c r="A62" s="156"/>
      <c r="B62" s="156" t="s">
        <v>230</v>
      </c>
      <c r="C62" s="950" t="s">
        <v>231</v>
      </c>
      <c r="D62" s="950"/>
      <c r="E62" s="950"/>
      <c r="F62" s="157">
        <f>SUM(F63:F64)</f>
        <v>38850000</v>
      </c>
      <c r="G62" s="157">
        <f>SUM(G63:G64)</f>
        <v>0</v>
      </c>
      <c r="H62" s="157">
        <v>0</v>
      </c>
      <c r="I62" s="157">
        <v>0</v>
      </c>
      <c r="J62" s="158">
        <f t="shared" si="0"/>
        <v>38850000</v>
      </c>
      <c r="K62" s="499"/>
    </row>
    <row r="63" spans="1:11" ht="12.75">
      <c r="A63" s="164"/>
      <c r="B63" s="164"/>
      <c r="C63" s="165"/>
      <c r="D63" s="165"/>
      <c r="E63" s="165" t="s">
        <v>232</v>
      </c>
      <c r="F63" s="166">
        <v>38000000</v>
      </c>
      <c r="G63" s="166">
        <v>0</v>
      </c>
      <c r="H63" s="166">
        <v>0</v>
      </c>
      <c r="I63" s="166">
        <v>0</v>
      </c>
      <c r="J63" s="167">
        <f t="shared" si="0"/>
        <v>38000000</v>
      </c>
      <c r="K63" s="501"/>
    </row>
    <row r="64" spans="1:11" ht="12.75">
      <c r="A64" s="164"/>
      <c r="B64" s="164"/>
      <c r="C64" s="165"/>
      <c r="D64" s="165"/>
      <c r="E64" s="165" t="s">
        <v>233</v>
      </c>
      <c r="F64" s="166">
        <v>850000</v>
      </c>
      <c r="G64" s="166">
        <v>0</v>
      </c>
      <c r="H64" s="166">
        <v>0</v>
      </c>
      <c r="I64" s="166">
        <v>0</v>
      </c>
      <c r="J64" s="167">
        <f t="shared" si="0"/>
        <v>850000</v>
      </c>
      <c r="K64" s="501"/>
    </row>
    <row r="65" spans="1:11" ht="12.75">
      <c r="A65" s="156"/>
      <c r="B65" s="156" t="s">
        <v>234</v>
      </c>
      <c r="C65" s="950" t="s">
        <v>235</v>
      </c>
      <c r="D65" s="950"/>
      <c r="E65" s="950"/>
      <c r="F65" s="157">
        <f>SUM(F66+F69+F71+F72+F74)</f>
        <v>200150000</v>
      </c>
      <c r="G65" s="157">
        <f>SUM(G66+G69+G71+G72+G74)</f>
        <v>0</v>
      </c>
      <c r="H65" s="157">
        <v>0</v>
      </c>
      <c r="I65" s="157">
        <v>0</v>
      </c>
      <c r="J65" s="158">
        <f t="shared" si="0"/>
        <v>200150000</v>
      </c>
      <c r="K65" s="499"/>
    </row>
    <row r="66" spans="1:11" ht="12.75">
      <c r="A66" s="159"/>
      <c r="B66" s="159"/>
      <c r="C66" s="159" t="s">
        <v>236</v>
      </c>
      <c r="D66" s="159" t="s">
        <v>237</v>
      </c>
      <c r="E66" s="159"/>
      <c r="F66" s="160">
        <f>SUM(F67:F68)</f>
        <v>200150000</v>
      </c>
      <c r="G66" s="160">
        <f>SUM(G67:G68)</f>
        <v>0</v>
      </c>
      <c r="H66" s="160">
        <v>0</v>
      </c>
      <c r="I66" s="160">
        <v>0</v>
      </c>
      <c r="J66" s="161">
        <f t="shared" si="0"/>
        <v>200150000</v>
      </c>
      <c r="K66" s="500"/>
    </row>
    <row r="67" spans="1:11" ht="12.75">
      <c r="A67" s="164"/>
      <c r="B67" s="164"/>
      <c r="C67" s="165"/>
      <c r="D67" s="165"/>
      <c r="E67" s="165" t="s">
        <v>603</v>
      </c>
      <c r="F67" s="166">
        <v>200000000</v>
      </c>
      <c r="G67" s="166">
        <v>0</v>
      </c>
      <c r="H67" s="166">
        <v>0</v>
      </c>
      <c r="I67" s="166">
        <v>0</v>
      </c>
      <c r="J67" s="167">
        <f t="shared" si="0"/>
        <v>200000000</v>
      </c>
      <c r="K67" s="501"/>
    </row>
    <row r="68" spans="1:11" ht="12.75">
      <c r="A68" s="164"/>
      <c r="B68" s="164"/>
      <c r="C68" s="165"/>
      <c r="D68" s="165"/>
      <c r="E68" s="165" t="s">
        <v>604</v>
      </c>
      <c r="F68" s="166">
        <v>150000</v>
      </c>
      <c r="G68" s="166">
        <v>0</v>
      </c>
      <c r="H68" s="166">
        <v>0</v>
      </c>
      <c r="I68" s="166">
        <v>0</v>
      </c>
      <c r="J68" s="167">
        <f t="shared" si="0"/>
        <v>150000</v>
      </c>
      <c r="K68" s="501"/>
    </row>
    <row r="69" spans="1:11" ht="12.75">
      <c r="A69" s="159"/>
      <c r="B69" s="159"/>
      <c r="C69" s="159" t="s">
        <v>238</v>
      </c>
      <c r="D69" s="159" t="s">
        <v>530</v>
      </c>
      <c r="E69" s="159"/>
      <c r="F69" s="160">
        <f>SUM(F70)</f>
        <v>0</v>
      </c>
      <c r="G69" s="160">
        <f>SUM(G70)</f>
        <v>0</v>
      </c>
      <c r="H69" s="160">
        <f>SUM(H70)</f>
        <v>0</v>
      </c>
      <c r="I69" s="160">
        <f>SUM(I70)</f>
        <v>0</v>
      </c>
      <c r="J69" s="161">
        <f t="shared" si="0"/>
        <v>0</v>
      </c>
      <c r="K69" s="500"/>
    </row>
    <row r="70" spans="1:11" ht="12.75" hidden="1">
      <c r="A70" s="159"/>
      <c r="B70" s="159"/>
      <c r="C70" s="159"/>
      <c r="D70" s="159"/>
      <c r="E70" s="165" t="s">
        <v>531</v>
      </c>
      <c r="F70" s="160">
        <v>0</v>
      </c>
      <c r="G70" s="160">
        <v>0</v>
      </c>
      <c r="H70" s="160">
        <v>0</v>
      </c>
      <c r="I70" s="160">
        <v>0</v>
      </c>
      <c r="J70" s="161">
        <f t="shared" si="0"/>
        <v>0</v>
      </c>
      <c r="K70" s="500"/>
    </row>
    <row r="71" spans="1:11" ht="12.75">
      <c r="A71" s="159"/>
      <c r="B71" s="159"/>
      <c r="C71" s="159" t="s">
        <v>239</v>
      </c>
      <c r="D71" s="159" t="s">
        <v>240</v>
      </c>
      <c r="E71" s="159"/>
      <c r="F71" s="160">
        <v>0</v>
      </c>
      <c r="G71" s="160">
        <v>0</v>
      </c>
      <c r="H71" s="160">
        <v>0</v>
      </c>
      <c r="I71" s="160">
        <v>0</v>
      </c>
      <c r="J71" s="161">
        <f t="shared" si="0"/>
        <v>0</v>
      </c>
      <c r="K71" s="500"/>
    </row>
    <row r="72" spans="1:11" ht="12.75">
      <c r="A72" s="159"/>
      <c r="B72" s="159"/>
      <c r="C72" s="159" t="s">
        <v>241</v>
      </c>
      <c r="D72" s="159" t="s">
        <v>242</v>
      </c>
      <c r="E72" s="159"/>
      <c r="F72" s="160">
        <f>SUM(F73)</f>
        <v>0</v>
      </c>
      <c r="G72" s="160">
        <f>SUM(G73:G73)</f>
        <v>0</v>
      </c>
      <c r="H72" s="160">
        <v>0</v>
      </c>
      <c r="I72" s="160">
        <v>0</v>
      </c>
      <c r="J72" s="161">
        <f t="shared" si="0"/>
        <v>0</v>
      </c>
      <c r="K72" s="500"/>
    </row>
    <row r="73" spans="1:11" ht="12.75">
      <c r="A73" s="164"/>
      <c r="B73" s="164"/>
      <c r="C73" s="164"/>
      <c r="D73" s="165"/>
      <c r="E73" s="165" t="s">
        <v>605</v>
      </c>
      <c r="F73" s="166">
        <f>22000000-10269500-11730500</f>
        <v>0</v>
      </c>
      <c r="G73" s="166">
        <v>0</v>
      </c>
      <c r="H73" s="166">
        <v>0</v>
      </c>
      <c r="I73" s="166">
        <v>0</v>
      </c>
      <c r="J73" s="167">
        <f t="shared" si="0"/>
        <v>0</v>
      </c>
      <c r="K73" s="501"/>
    </row>
    <row r="74" spans="1:11" ht="12.75">
      <c r="A74" s="159"/>
      <c r="B74" s="159"/>
      <c r="C74" s="159" t="s">
        <v>243</v>
      </c>
      <c r="D74" s="159" t="s">
        <v>244</v>
      </c>
      <c r="E74" s="159"/>
      <c r="F74" s="160">
        <f>SUM(F75:F75)</f>
        <v>0</v>
      </c>
      <c r="G74" s="160">
        <v>0</v>
      </c>
      <c r="H74" s="160">
        <v>0</v>
      </c>
      <c r="I74" s="160">
        <v>0</v>
      </c>
      <c r="J74" s="161">
        <f aca="true" t="shared" si="1" ref="J74:J137">SUM(F74:I74)</f>
        <v>0</v>
      </c>
      <c r="K74" s="500"/>
    </row>
    <row r="75" spans="1:11" ht="12.75" hidden="1">
      <c r="A75" s="164"/>
      <c r="B75" s="164"/>
      <c r="C75" s="164"/>
      <c r="D75" s="165"/>
      <c r="E75" s="165" t="s">
        <v>246</v>
      </c>
      <c r="F75" s="166">
        <v>0</v>
      </c>
      <c r="G75" s="166">
        <v>0</v>
      </c>
      <c r="H75" s="166">
        <v>0</v>
      </c>
      <c r="I75" s="166">
        <v>0</v>
      </c>
      <c r="J75" s="167">
        <f t="shared" si="1"/>
        <v>0</v>
      </c>
      <c r="K75" s="501"/>
    </row>
    <row r="76" spans="1:11" ht="12.75">
      <c r="A76" s="156"/>
      <c r="B76" s="156" t="s">
        <v>247</v>
      </c>
      <c r="C76" s="950" t="s">
        <v>248</v>
      </c>
      <c r="D76" s="950"/>
      <c r="E76" s="950"/>
      <c r="F76" s="157">
        <f>SUM(F77:F86)</f>
        <v>650000</v>
      </c>
      <c r="G76" s="157">
        <f>SUM(G77:G86)</f>
        <v>0</v>
      </c>
      <c r="H76" s="157">
        <f>SUM(H77:H86)</f>
        <v>0</v>
      </c>
      <c r="I76" s="157">
        <f>SUM(I77:I86)</f>
        <v>0</v>
      </c>
      <c r="J76" s="158">
        <f t="shared" si="1"/>
        <v>650000</v>
      </c>
      <c r="K76" s="499"/>
    </row>
    <row r="77" spans="1:11" ht="12.75" hidden="1">
      <c r="A77" s="170"/>
      <c r="B77" s="170"/>
      <c r="C77" s="170"/>
      <c r="D77" s="165"/>
      <c r="E77" s="165" t="s">
        <v>249</v>
      </c>
      <c r="F77" s="166">
        <v>0</v>
      </c>
      <c r="G77" s="166">
        <v>0</v>
      </c>
      <c r="H77" s="166">
        <v>0</v>
      </c>
      <c r="I77" s="166">
        <v>0</v>
      </c>
      <c r="J77" s="167">
        <f t="shared" si="1"/>
        <v>0</v>
      </c>
      <c r="K77" s="501"/>
    </row>
    <row r="78" spans="1:11" ht="12.75" hidden="1">
      <c r="A78" s="164"/>
      <c r="B78" s="164"/>
      <c r="C78" s="164"/>
      <c r="D78" s="165"/>
      <c r="E78" s="165" t="s">
        <v>250</v>
      </c>
      <c r="F78" s="166">
        <v>0</v>
      </c>
      <c r="G78" s="166"/>
      <c r="H78" s="166">
        <v>0</v>
      </c>
      <c r="I78" s="166">
        <v>0</v>
      </c>
      <c r="J78" s="167">
        <f t="shared" si="1"/>
        <v>0</v>
      </c>
      <c r="K78" s="501"/>
    </row>
    <row r="79" spans="1:11" ht="12.75" hidden="1">
      <c r="A79" s="170"/>
      <c r="B79" s="170"/>
      <c r="C79" s="170"/>
      <c r="D79" s="165"/>
      <c r="E79" s="165" t="s">
        <v>251</v>
      </c>
      <c r="F79" s="166">
        <v>0</v>
      </c>
      <c r="G79" s="166">
        <v>0</v>
      </c>
      <c r="H79" s="166">
        <v>0</v>
      </c>
      <c r="I79" s="166">
        <v>0</v>
      </c>
      <c r="J79" s="167">
        <f t="shared" si="1"/>
        <v>0</v>
      </c>
      <c r="K79" s="501"/>
    </row>
    <row r="80" spans="1:11" ht="12.75" customHeight="1">
      <c r="A80" s="170"/>
      <c r="B80" s="170"/>
      <c r="C80" s="170"/>
      <c r="D80" s="165"/>
      <c r="E80" s="165" t="s">
        <v>245</v>
      </c>
      <c r="F80" s="166">
        <v>350000</v>
      </c>
      <c r="G80" s="166">
        <v>0</v>
      </c>
      <c r="H80" s="166">
        <v>0</v>
      </c>
      <c r="I80" s="166">
        <v>0</v>
      </c>
      <c r="J80" s="167">
        <f t="shared" si="1"/>
        <v>350000</v>
      </c>
      <c r="K80" s="501"/>
    </row>
    <row r="81" spans="1:11" ht="0.75" customHeight="1" hidden="1">
      <c r="A81" s="170"/>
      <c r="B81" s="170"/>
      <c r="C81" s="170"/>
      <c r="D81" s="165"/>
      <c r="E81" s="165" t="s">
        <v>252</v>
      </c>
      <c r="F81" s="166"/>
      <c r="G81" s="166">
        <v>0</v>
      </c>
      <c r="H81" s="166">
        <v>0</v>
      </c>
      <c r="I81" s="166">
        <v>0</v>
      </c>
      <c r="J81" s="167">
        <f t="shared" si="1"/>
        <v>0</v>
      </c>
      <c r="K81" s="501"/>
    </row>
    <row r="82" spans="1:11" ht="12.75" hidden="1">
      <c r="A82" s="170"/>
      <c r="B82" s="170"/>
      <c r="C82" s="170"/>
      <c r="D82" s="165"/>
      <c r="E82" s="165" t="s">
        <v>253</v>
      </c>
      <c r="F82" s="166"/>
      <c r="G82" s="166">
        <v>0</v>
      </c>
      <c r="H82" s="166">
        <v>0</v>
      </c>
      <c r="I82" s="166">
        <v>0</v>
      </c>
      <c r="J82" s="167">
        <f t="shared" si="1"/>
        <v>0</v>
      </c>
      <c r="K82" s="501"/>
    </row>
    <row r="83" spans="1:11" ht="12.75" hidden="1">
      <c r="A83" s="170"/>
      <c r="B83" s="170"/>
      <c r="C83" s="170"/>
      <c r="D83" s="165"/>
      <c r="E83" s="165" t="s">
        <v>568</v>
      </c>
      <c r="F83" s="166"/>
      <c r="G83" s="166">
        <v>0</v>
      </c>
      <c r="H83" s="166">
        <v>0</v>
      </c>
      <c r="I83" s="166">
        <v>0</v>
      </c>
      <c r="J83" s="167">
        <f t="shared" si="1"/>
        <v>0</v>
      </c>
      <c r="K83" s="501"/>
    </row>
    <row r="84" spans="1:11" ht="30" customHeight="1" hidden="1">
      <c r="A84" s="164"/>
      <c r="B84" s="164"/>
      <c r="C84" s="164"/>
      <c r="D84" s="164"/>
      <c r="E84" s="171" t="s">
        <v>606</v>
      </c>
      <c r="F84" s="166"/>
      <c r="G84" s="166">
        <v>0</v>
      </c>
      <c r="H84" s="166">
        <v>0</v>
      </c>
      <c r="I84" s="166">
        <v>0</v>
      </c>
      <c r="J84" s="167">
        <f t="shared" si="1"/>
        <v>0</v>
      </c>
      <c r="K84" s="501"/>
    </row>
    <row r="85" spans="1:11" ht="12.75" hidden="1">
      <c r="A85" s="170"/>
      <c r="B85" s="170"/>
      <c r="C85" s="170"/>
      <c r="D85" s="170"/>
      <c r="E85" s="165" t="s">
        <v>254</v>
      </c>
      <c r="F85" s="166"/>
      <c r="G85" s="166">
        <v>0</v>
      </c>
      <c r="H85" s="166">
        <v>0</v>
      </c>
      <c r="I85" s="166">
        <v>0</v>
      </c>
      <c r="J85" s="167">
        <f t="shared" si="1"/>
        <v>0</v>
      </c>
      <c r="K85" s="501"/>
    </row>
    <row r="86" spans="1:11" ht="12.75">
      <c r="A86" s="164"/>
      <c r="B86" s="164"/>
      <c r="C86" s="164"/>
      <c r="D86" s="164"/>
      <c r="E86" s="169" t="s">
        <v>255</v>
      </c>
      <c r="F86" s="166">
        <v>300000</v>
      </c>
      <c r="G86" s="166">
        <v>0</v>
      </c>
      <c r="H86" s="166">
        <v>0</v>
      </c>
      <c r="I86" s="166">
        <v>0</v>
      </c>
      <c r="J86" s="167">
        <f t="shared" si="1"/>
        <v>300000</v>
      </c>
      <c r="K86" s="501"/>
    </row>
    <row r="87" spans="1:11" s="155" customFormat="1" ht="12.75">
      <c r="A87" s="153" t="s">
        <v>256</v>
      </c>
      <c r="B87" s="958" t="s">
        <v>257</v>
      </c>
      <c r="C87" s="958"/>
      <c r="D87" s="958"/>
      <c r="E87" s="958"/>
      <c r="F87" s="154">
        <f>SUM(F88+F89+F92+F94+F101+F102+F103+F104+F111+F119+F120)</f>
        <v>58229574</v>
      </c>
      <c r="G87" s="154">
        <f>SUM(G88+G89+G92+G94+G101+G102+G103+G104+G111+G119+G120)</f>
        <v>5787349</v>
      </c>
      <c r="H87" s="154">
        <f>SUM(H88+H89+H92+H94+H101+H102+H103+H104+H111+H119+H120)</f>
        <v>1411725</v>
      </c>
      <c r="I87" s="154">
        <f>SUM(I88+I89+I92+I94+I101+I102+I103+I104+I111+I119+I120)</f>
        <v>14786105</v>
      </c>
      <c r="J87" s="154">
        <f t="shared" si="1"/>
        <v>80214753</v>
      </c>
      <c r="K87" s="498"/>
    </row>
    <row r="88" spans="1:11" ht="12.75">
      <c r="A88" s="159"/>
      <c r="B88" s="159"/>
      <c r="C88" s="159" t="s">
        <v>258</v>
      </c>
      <c r="D88" s="159" t="s">
        <v>493</v>
      </c>
      <c r="E88" s="159"/>
      <c r="F88" s="160">
        <f>9000000+500000+1370149-1370149</f>
        <v>9500000</v>
      </c>
      <c r="G88" s="160">
        <v>0</v>
      </c>
      <c r="H88" s="160">
        <v>0</v>
      </c>
      <c r="I88" s="160">
        <v>0</v>
      </c>
      <c r="J88" s="161">
        <f t="shared" si="1"/>
        <v>9500000</v>
      </c>
      <c r="K88" s="500"/>
    </row>
    <row r="89" spans="1:11" ht="12.75">
      <c r="A89" s="159"/>
      <c r="B89" s="159"/>
      <c r="C89" s="159" t="s">
        <v>259</v>
      </c>
      <c r="D89" s="159" t="s">
        <v>331</v>
      </c>
      <c r="E89" s="159"/>
      <c r="F89" s="160">
        <f>6000000+10142978+342137+136431+2631668</f>
        <v>19253214</v>
      </c>
      <c r="G89" s="160">
        <v>250000</v>
      </c>
      <c r="H89" s="160">
        <v>0</v>
      </c>
      <c r="I89" s="160">
        <f>90000+4520000+536221+3402559+3306421</f>
        <v>11855201</v>
      </c>
      <c r="J89" s="161">
        <f t="shared" si="1"/>
        <v>31358415</v>
      </c>
      <c r="K89" s="500"/>
    </row>
    <row r="90" spans="1:11" ht="12.75">
      <c r="A90" s="164"/>
      <c r="B90" s="164"/>
      <c r="C90" s="165" t="s">
        <v>2</v>
      </c>
      <c r="D90" s="165"/>
      <c r="E90" s="165" t="s">
        <v>260</v>
      </c>
      <c r="F90" s="172">
        <v>10142978</v>
      </c>
      <c r="G90" s="172">
        <v>0</v>
      </c>
      <c r="H90" s="166">
        <v>0</v>
      </c>
      <c r="I90" s="166">
        <v>320000</v>
      </c>
      <c r="J90" s="167">
        <f t="shared" si="1"/>
        <v>10462978</v>
      </c>
      <c r="K90" s="501"/>
    </row>
    <row r="91" spans="1:11" ht="12.75" hidden="1">
      <c r="A91" s="164"/>
      <c r="B91" s="164"/>
      <c r="C91" s="165"/>
      <c r="D91" s="165"/>
      <c r="E91" s="165" t="s">
        <v>778</v>
      </c>
      <c r="F91" s="166"/>
      <c r="G91" s="166">
        <v>0</v>
      </c>
      <c r="H91" s="166">
        <v>0</v>
      </c>
      <c r="I91" s="166">
        <v>0</v>
      </c>
      <c r="J91" s="167">
        <f t="shared" si="1"/>
        <v>0</v>
      </c>
      <c r="K91" s="501"/>
    </row>
    <row r="92" spans="1:11" ht="12.75">
      <c r="A92" s="159"/>
      <c r="B92" s="159"/>
      <c r="C92" s="159" t="s">
        <v>261</v>
      </c>
      <c r="D92" s="159" t="s">
        <v>262</v>
      </c>
      <c r="E92" s="159"/>
      <c r="F92" s="160">
        <f>472000+2666578</f>
        <v>3138578</v>
      </c>
      <c r="G92" s="160">
        <v>4549259</v>
      </c>
      <c r="H92" s="160">
        <v>0</v>
      </c>
      <c r="I92" s="160">
        <v>0</v>
      </c>
      <c r="J92" s="161">
        <f t="shared" si="1"/>
        <v>7687837</v>
      </c>
      <c r="K92" s="500"/>
    </row>
    <row r="93" spans="1:11" ht="12.75">
      <c r="A93" s="164"/>
      <c r="B93" s="164"/>
      <c r="C93" s="165" t="s">
        <v>2</v>
      </c>
      <c r="D93" s="165"/>
      <c r="E93" s="165" t="s">
        <v>7</v>
      </c>
      <c r="F93" s="166">
        <f>370000+1528712</f>
        <v>1898712</v>
      </c>
      <c r="G93" s="166">
        <v>688235</v>
      </c>
      <c r="H93" s="166">
        <v>0</v>
      </c>
      <c r="I93" s="166">
        <v>0</v>
      </c>
      <c r="J93" s="167">
        <f t="shared" si="1"/>
        <v>2586947</v>
      </c>
      <c r="K93" s="501"/>
    </row>
    <row r="94" spans="1:11" ht="12.75">
      <c r="A94" s="159"/>
      <c r="B94" s="159"/>
      <c r="C94" s="159" t="s">
        <v>263</v>
      </c>
      <c r="D94" s="159" t="s">
        <v>264</v>
      </c>
      <c r="E94" s="159"/>
      <c r="F94" s="160">
        <f>15000+731000</f>
        <v>746000</v>
      </c>
      <c r="G94" s="160">
        <v>0</v>
      </c>
      <c r="H94" s="160">
        <v>0</v>
      </c>
      <c r="I94" s="160">
        <v>0</v>
      </c>
      <c r="J94" s="161">
        <f t="shared" si="1"/>
        <v>746000</v>
      </c>
      <c r="K94" s="500"/>
    </row>
    <row r="95" spans="1:11" ht="12.75" hidden="1">
      <c r="A95" s="164"/>
      <c r="B95" s="164"/>
      <c r="C95" s="165" t="s">
        <v>2</v>
      </c>
      <c r="D95" s="165"/>
      <c r="E95" s="165" t="s">
        <v>265</v>
      </c>
      <c r="F95" s="166"/>
      <c r="G95" s="166">
        <v>0</v>
      </c>
      <c r="H95" s="166">
        <v>0</v>
      </c>
      <c r="I95" s="166">
        <v>0</v>
      </c>
      <c r="J95" s="167">
        <f t="shared" si="1"/>
        <v>0</v>
      </c>
      <c r="K95" s="501"/>
    </row>
    <row r="96" spans="1:11" ht="12.75" hidden="1">
      <c r="A96" s="164"/>
      <c r="B96" s="164"/>
      <c r="C96" s="165"/>
      <c r="D96" s="165"/>
      <c r="E96" s="165" t="s">
        <v>607</v>
      </c>
      <c r="F96" s="166"/>
      <c r="G96" s="166">
        <v>0</v>
      </c>
      <c r="H96" s="166">
        <v>0</v>
      </c>
      <c r="I96" s="166">
        <v>0</v>
      </c>
      <c r="J96" s="167">
        <f t="shared" si="1"/>
        <v>0</v>
      </c>
      <c r="K96" s="501"/>
    </row>
    <row r="97" spans="1:11" ht="12" customHeight="1">
      <c r="A97" s="164"/>
      <c r="B97" s="164"/>
      <c r="C97" s="165" t="s">
        <v>2</v>
      </c>
      <c r="D97" s="165"/>
      <c r="E97" s="165" t="s">
        <v>608</v>
      </c>
      <c r="F97" s="166">
        <f>15000+481000</f>
        <v>496000</v>
      </c>
      <c r="G97" s="166">
        <v>0</v>
      </c>
      <c r="H97" s="166">
        <v>0</v>
      </c>
      <c r="I97" s="166">
        <v>0</v>
      </c>
      <c r="J97" s="167">
        <f t="shared" si="1"/>
        <v>496000</v>
      </c>
      <c r="K97" s="501"/>
    </row>
    <row r="98" spans="1:11" ht="12.75" hidden="1">
      <c r="A98" s="164"/>
      <c r="B98" s="164"/>
      <c r="C98" s="165"/>
      <c r="D98" s="165"/>
      <c r="E98" s="165" t="s">
        <v>609</v>
      </c>
      <c r="F98" s="166"/>
      <c r="G98" s="166">
        <v>0</v>
      </c>
      <c r="H98" s="166">
        <v>0</v>
      </c>
      <c r="I98" s="166">
        <v>0</v>
      </c>
      <c r="J98" s="167">
        <f t="shared" si="1"/>
        <v>0</v>
      </c>
      <c r="K98" s="501"/>
    </row>
    <row r="99" spans="1:11" ht="12.75" hidden="1">
      <c r="A99" s="164"/>
      <c r="B99" s="164"/>
      <c r="C99" s="165"/>
      <c r="D99" s="165"/>
      <c r="E99" s="165" t="s">
        <v>610</v>
      </c>
      <c r="F99" s="166"/>
      <c r="G99" s="166">
        <v>0</v>
      </c>
      <c r="H99" s="166">
        <v>0</v>
      </c>
      <c r="I99" s="166">
        <v>0</v>
      </c>
      <c r="J99" s="167">
        <f t="shared" si="1"/>
        <v>0</v>
      </c>
      <c r="K99" s="501"/>
    </row>
    <row r="100" spans="1:11" ht="12.75" hidden="1">
      <c r="A100" s="164"/>
      <c r="B100" s="164"/>
      <c r="C100" s="165"/>
      <c r="D100" s="165"/>
      <c r="E100" s="165" t="s">
        <v>494</v>
      </c>
      <c r="F100" s="166"/>
      <c r="G100" s="166">
        <v>0</v>
      </c>
      <c r="H100" s="166">
        <v>0</v>
      </c>
      <c r="I100" s="166">
        <v>0</v>
      </c>
      <c r="J100" s="167">
        <f t="shared" si="1"/>
        <v>0</v>
      </c>
      <c r="K100" s="501"/>
    </row>
    <row r="101" spans="1:11" ht="12.75">
      <c r="A101" s="159"/>
      <c r="B101" s="159"/>
      <c r="C101" s="159" t="s">
        <v>266</v>
      </c>
      <c r="D101" s="159" t="s">
        <v>267</v>
      </c>
      <c r="E101" s="159"/>
      <c r="F101" s="160">
        <f>5925110+12898200+635625</f>
        <v>19458935</v>
      </c>
      <c r="G101" s="160">
        <v>0</v>
      </c>
      <c r="H101" s="160">
        <v>1111594</v>
      </c>
      <c r="I101" s="160">
        <v>0</v>
      </c>
      <c r="J101" s="161">
        <f t="shared" si="1"/>
        <v>20570529</v>
      </c>
      <c r="K101" s="500"/>
    </row>
    <row r="102" spans="1:11" ht="12.75">
      <c r="A102" s="159"/>
      <c r="B102" s="159"/>
      <c r="C102" s="159" t="s">
        <v>268</v>
      </c>
      <c r="D102" s="159" t="s">
        <v>269</v>
      </c>
      <c r="E102" s="159"/>
      <c r="F102" s="160">
        <f>1599780+1755000+127440+686046+92377+36836+710550</f>
        <v>5008029</v>
      </c>
      <c r="G102" s="160">
        <v>988090</v>
      </c>
      <c r="H102" s="160">
        <v>300131</v>
      </c>
      <c r="I102" s="160">
        <f>24300+950400+144779+918691+892734</f>
        <v>2930904</v>
      </c>
      <c r="J102" s="161">
        <f t="shared" si="1"/>
        <v>9227154</v>
      </c>
      <c r="K102" s="500"/>
    </row>
    <row r="103" spans="1:11" ht="12.75">
      <c r="A103" s="159"/>
      <c r="B103" s="159"/>
      <c r="C103" s="159" t="s">
        <v>270</v>
      </c>
      <c r="D103" s="159" t="s">
        <v>271</v>
      </c>
      <c r="E103" s="159"/>
      <c r="F103" s="160">
        <v>0</v>
      </c>
      <c r="G103" s="160">
        <v>0</v>
      </c>
      <c r="H103" s="160">
        <v>0</v>
      </c>
      <c r="I103" s="160">
        <v>0</v>
      </c>
      <c r="J103" s="161">
        <f t="shared" si="1"/>
        <v>0</v>
      </c>
      <c r="K103" s="500"/>
    </row>
    <row r="104" spans="1:11" ht="12" customHeight="1">
      <c r="A104" s="159"/>
      <c r="B104" s="159"/>
      <c r="C104" s="159" t="s">
        <v>272</v>
      </c>
      <c r="D104" s="159" t="s">
        <v>532</v>
      </c>
      <c r="E104" s="159"/>
      <c r="F104" s="160">
        <v>500</v>
      </c>
      <c r="G104" s="160">
        <f>SUM(G105+G108)</f>
        <v>0</v>
      </c>
      <c r="H104" s="160">
        <f>SUM(H105+H108)</f>
        <v>0</v>
      </c>
      <c r="I104" s="160">
        <f>SUM(I105+I108)</f>
        <v>0</v>
      </c>
      <c r="J104" s="161">
        <f t="shared" si="1"/>
        <v>500</v>
      </c>
      <c r="K104" s="500"/>
    </row>
    <row r="105" spans="1:11" ht="12.75" hidden="1">
      <c r="A105" s="159"/>
      <c r="B105" s="159"/>
      <c r="C105" s="165"/>
      <c r="D105" s="961" t="s">
        <v>611</v>
      </c>
      <c r="E105" s="962"/>
      <c r="F105" s="166"/>
      <c r="G105" s="166">
        <v>0</v>
      </c>
      <c r="H105" s="166">
        <v>0</v>
      </c>
      <c r="I105" s="166">
        <v>0</v>
      </c>
      <c r="J105" s="167">
        <f t="shared" si="1"/>
        <v>0</v>
      </c>
      <c r="K105" s="501"/>
    </row>
    <row r="106" spans="1:11" ht="12.75" hidden="1">
      <c r="A106" s="159"/>
      <c r="B106" s="159"/>
      <c r="C106" s="159" t="s">
        <v>2</v>
      </c>
      <c r="D106" s="159"/>
      <c r="E106" s="165" t="s">
        <v>7</v>
      </c>
      <c r="F106" s="166"/>
      <c r="G106" s="166">
        <v>0</v>
      </c>
      <c r="H106" s="166">
        <v>0</v>
      </c>
      <c r="I106" s="166">
        <v>0</v>
      </c>
      <c r="J106" s="167">
        <f t="shared" si="1"/>
        <v>0</v>
      </c>
      <c r="K106" s="501"/>
    </row>
    <row r="107" spans="1:11" ht="12.75" hidden="1">
      <c r="A107" s="159"/>
      <c r="B107" s="159"/>
      <c r="C107" s="159"/>
      <c r="D107" s="159"/>
      <c r="E107" s="165" t="s">
        <v>612</v>
      </c>
      <c r="F107" s="166"/>
      <c r="G107" s="166">
        <v>0</v>
      </c>
      <c r="H107" s="166">
        <v>0</v>
      </c>
      <c r="I107" s="166">
        <v>0</v>
      </c>
      <c r="J107" s="167">
        <f t="shared" si="1"/>
        <v>0</v>
      </c>
      <c r="K107" s="501"/>
    </row>
    <row r="108" spans="1:11" ht="12.75">
      <c r="A108" s="159"/>
      <c r="B108" s="159"/>
      <c r="C108" s="159" t="s">
        <v>2</v>
      </c>
      <c r="D108" s="961" t="s">
        <v>534</v>
      </c>
      <c r="E108" s="962"/>
      <c r="F108" s="166">
        <v>0</v>
      </c>
      <c r="G108" s="166">
        <v>0</v>
      </c>
      <c r="H108" s="166">
        <v>0</v>
      </c>
      <c r="I108" s="166">
        <v>0</v>
      </c>
      <c r="J108" s="167">
        <f t="shared" si="1"/>
        <v>0</v>
      </c>
      <c r="K108" s="501"/>
    </row>
    <row r="109" spans="1:11" ht="12.75" hidden="1">
      <c r="A109" s="159"/>
      <c r="B109" s="159"/>
      <c r="C109" s="159"/>
      <c r="D109" s="159"/>
      <c r="E109" s="165" t="s">
        <v>7</v>
      </c>
      <c r="F109" s="166"/>
      <c r="G109" s="166">
        <v>0</v>
      </c>
      <c r="H109" s="166">
        <v>0</v>
      </c>
      <c r="I109" s="166">
        <v>0</v>
      </c>
      <c r="J109" s="167">
        <f t="shared" si="1"/>
        <v>0</v>
      </c>
      <c r="K109" s="501"/>
    </row>
    <row r="110" spans="1:11" ht="12.75" hidden="1">
      <c r="A110" s="159"/>
      <c r="B110" s="159"/>
      <c r="C110" s="159"/>
      <c r="D110" s="159"/>
      <c r="E110" s="165" t="s">
        <v>495</v>
      </c>
      <c r="F110" s="166"/>
      <c r="G110" s="166">
        <v>0</v>
      </c>
      <c r="H110" s="166">
        <v>0</v>
      </c>
      <c r="I110" s="166">
        <v>0</v>
      </c>
      <c r="J110" s="167">
        <f t="shared" si="1"/>
        <v>0</v>
      </c>
      <c r="K110" s="501"/>
    </row>
    <row r="111" spans="1:11" ht="12.75">
      <c r="A111" s="159"/>
      <c r="B111" s="159"/>
      <c r="C111" s="159" t="s">
        <v>273</v>
      </c>
      <c r="D111" s="159" t="s">
        <v>537</v>
      </c>
      <c r="E111" s="159"/>
      <c r="F111" s="160">
        <v>0</v>
      </c>
      <c r="G111" s="160">
        <f>SUM(G112:G113)</f>
        <v>0</v>
      </c>
      <c r="H111" s="160">
        <f>SUM(H112:H113)</f>
        <v>0</v>
      </c>
      <c r="I111" s="160">
        <f>SUM(I112:I113)</f>
        <v>0</v>
      </c>
      <c r="J111" s="161">
        <f t="shared" si="1"/>
        <v>0</v>
      </c>
      <c r="K111" s="500"/>
    </row>
    <row r="112" spans="1:11" ht="12.75" hidden="1">
      <c r="A112" s="159"/>
      <c r="B112" s="159"/>
      <c r="C112" s="159"/>
      <c r="D112" s="961" t="s">
        <v>535</v>
      </c>
      <c r="E112" s="962"/>
      <c r="F112" s="160"/>
      <c r="G112" s="160">
        <v>0</v>
      </c>
      <c r="H112" s="160">
        <v>0</v>
      </c>
      <c r="I112" s="160">
        <v>0</v>
      </c>
      <c r="J112" s="161">
        <f t="shared" si="1"/>
        <v>0</v>
      </c>
      <c r="K112" s="500"/>
    </row>
    <row r="113" spans="1:11" ht="12.75" hidden="1">
      <c r="A113" s="159"/>
      <c r="B113" s="159"/>
      <c r="C113" s="159"/>
      <c r="D113" s="961" t="s">
        <v>536</v>
      </c>
      <c r="E113" s="962"/>
      <c r="F113" s="160"/>
      <c r="G113" s="160">
        <v>0</v>
      </c>
      <c r="H113" s="160">
        <v>0</v>
      </c>
      <c r="I113" s="160">
        <v>0</v>
      </c>
      <c r="J113" s="161">
        <f t="shared" si="1"/>
        <v>0</v>
      </c>
      <c r="K113" s="500"/>
    </row>
    <row r="114" spans="1:11" ht="12.75" hidden="1">
      <c r="A114" s="159"/>
      <c r="B114" s="159"/>
      <c r="C114" s="159" t="s">
        <v>2</v>
      </c>
      <c r="D114" s="159"/>
      <c r="E114" s="165" t="s">
        <v>538</v>
      </c>
      <c r="F114" s="160"/>
      <c r="G114" s="160">
        <v>0</v>
      </c>
      <c r="H114" s="160">
        <v>0</v>
      </c>
      <c r="I114" s="160">
        <v>0</v>
      </c>
      <c r="J114" s="161">
        <f t="shared" si="1"/>
        <v>0</v>
      </c>
      <c r="K114" s="500"/>
    </row>
    <row r="115" spans="1:11" ht="12.75" hidden="1">
      <c r="A115" s="159"/>
      <c r="B115" s="159"/>
      <c r="C115" s="159"/>
      <c r="D115" s="159"/>
      <c r="E115" s="165" t="s">
        <v>533</v>
      </c>
      <c r="F115" s="160"/>
      <c r="G115" s="160">
        <v>0</v>
      </c>
      <c r="H115" s="160">
        <v>0</v>
      </c>
      <c r="I115" s="160">
        <v>0</v>
      </c>
      <c r="J115" s="161">
        <f t="shared" si="1"/>
        <v>0</v>
      </c>
      <c r="K115" s="500"/>
    </row>
    <row r="116" spans="1:11" ht="12.75" hidden="1">
      <c r="A116" s="159"/>
      <c r="B116" s="159"/>
      <c r="C116" s="159"/>
      <c r="D116" s="159"/>
      <c r="E116" s="165" t="s">
        <v>539</v>
      </c>
      <c r="F116" s="160"/>
      <c r="G116" s="160">
        <v>0</v>
      </c>
      <c r="H116" s="160">
        <v>0</v>
      </c>
      <c r="I116" s="160">
        <v>0</v>
      </c>
      <c r="J116" s="161">
        <f t="shared" si="1"/>
        <v>0</v>
      </c>
      <c r="K116" s="500"/>
    </row>
    <row r="117" spans="1:11" ht="12.75" hidden="1">
      <c r="A117" s="159"/>
      <c r="B117" s="159"/>
      <c r="C117" s="159"/>
      <c r="D117" s="159"/>
      <c r="E117" s="165" t="s">
        <v>540</v>
      </c>
      <c r="F117" s="160"/>
      <c r="G117" s="160">
        <v>0</v>
      </c>
      <c r="H117" s="160">
        <v>0</v>
      </c>
      <c r="I117" s="160">
        <v>0</v>
      </c>
      <c r="J117" s="161">
        <f t="shared" si="1"/>
        <v>0</v>
      </c>
      <c r="K117" s="500"/>
    </row>
    <row r="118" spans="1:11" ht="12.75" hidden="1">
      <c r="A118" s="159"/>
      <c r="B118" s="159"/>
      <c r="C118" s="159"/>
      <c r="D118" s="159"/>
      <c r="E118" s="165" t="s">
        <v>541</v>
      </c>
      <c r="F118" s="160"/>
      <c r="G118" s="160">
        <v>0</v>
      </c>
      <c r="H118" s="160">
        <v>0</v>
      </c>
      <c r="I118" s="160">
        <v>0</v>
      </c>
      <c r="J118" s="161">
        <f t="shared" si="1"/>
        <v>0</v>
      </c>
      <c r="K118" s="500"/>
    </row>
    <row r="119" spans="1:11" ht="12.75">
      <c r="A119" s="159"/>
      <c r="B119" s="159"/>
      <c r="C119" s="159" t="s">
        <v>274</v>
      </c>
      <c r="D119" s="159" t="s">
        <v>496</v>
      </c>
      <c r="E119" s="159"/>
      <c r="F119" s="160">
        <v>0</v>
      </c>
      <c r="G119" s="160">
        <v>0</v>
      </c>
      <c r="H119" s="160">
        <v>0</v>
      </c>
      <c r="I119" s="160">
        <v>0</v>
      </c>
      <c r="J119" s="161">
        <f t="shared" si="1"/>
        <v>0</v>
      </c>
      <c r="K119" s="500"/>
    </row>
    <row r="120" spans="1:11" ht="22.5" customHeight="1">
      <c r="A120" s="159"/>
      <c r="B120" s="159"/>
      <c r="C120" s="620" t="s">
        <v>497</v>
      </c>
      <c r="D120" s="960" t="s">
        <v>498</v>
      </c>
      <c r="E120" s="960"/>
      <c r="F120" s="635">
        <f>80000+10959511-10959511+73560+212129+102620+28000+13208+63900+550901</f>
        <v>1124318</v>
      </c>
      <c r="G120" s="635">
        <v>0</v>
      </c>
      <c r="H120" s="635">
        <v>0</v>
      </c>
      <c r="I120" s="635">
        <v>0</v>
      </c>
      <c r="J120" s="636">
        <f t="shared" si="1"/>
        <v>1124318</v>
      </c>
      <c r="K120" s="500"/>
    </row>
    <row r="121" spans="1:11" ht="45.75" customHeight="1" hidden="1">
      <c r="A121" s="163"/>
      <c r="B121" s="163"/>
      <c r="C121" s="173" t="s">
        <v>2</v>
      </c>
      <c r="D121" s="171" t="s">
        <v>430</v>
      </c>
      <c r="E121" s="171" t="s">
        <v>520</v>
      </c>
      <c r="F121" s="166">
        <v>0</v>
      </c>
      <c r="G121" s="166">
        <v>0</v>
      </c>
      <c r="H121" s="166">
        <v>0</v>
      </c>
      <c r="I121" s="166">
        <v>0</v>
      </c>
      <c r="J121" s="167">
        <f t="shared" si="1"/>
        <v>0</v>
      </c>
      <c r="K121" s="501"/>
    </row>
    <row r="122" spans="1:11" ht="13.5" customHeight="1" hidden="1">
      <c r="A122" s="164"/>
      <c r="B122" s="164"/>
      <c r="C122" s="164"/>
      <c r="D122" s="165" t="s">
        <v>430</v>
      </c>
      <c r="E122" s="174" t="s">
        <v>542</v>
      </c>
      <c r="F122" s="166"/>
      <c r="G122" s="166">
        <v>0</v>
      </c>
      <c r="H122" s="166">
        <v>0</v>
      </c>
      <c r="I122" s="166">
        <v>0</v>
      </c>
      <c r="J122" s="167">
        <f t="shared" si="1"/>
        <v>0</v>
      </c>
      <c r="K122" s="501"/>
    </row>
    <row r="123" spans="1:11" s="155" customFormat="1" ht="12.75">
      <c r="A123" s="153" t="s">
        <v>275</v>
      </c>
      <c r="B123" s="958" t="s">
        <v>276</v>
      </c>
      <c r="C123" s="958"/>
      <c r="D123" s="958"/>
      <c r="E123" s="958"/>
      <c r="F123" s="154">
        <f>SUM(F124+F126+F128+F129+F130)</f>
        <v>54373637</v>
      </c>
      <c r="G123" s="154">
        <f>SUM(G124+G126+G128+G129+G130)</f>
        <v>0</v>
      </c>
      <c r="H123" s="154">
        <f>SUM(H124+H126+H128+H129+H130)</f>
        <v>0</v>
      </c>
      <c r="I123" s="154">
        <f>SUM(I124+I126+I128+I129+I130)</f>
        <v>0</v>
      </c>
      <c r="J123" s="154">
        <f t="shared" si="1"/>
        <v>54373637</v>
      </c>
      <c r="K123" s="498"/>
    </row>
    <row r="124" spans="1:11" ht="12.75">
      <c r="A124" s="156"/>
      <c r="B124" s="156" t="s">
        <v>277</v>
      </c>
      <c r="C124" s="950" t="s">
        <v>332</v>
      </c>
      <c r="D124" s="950"/>
      <c r="E124" s="950"/>
      <c r="F124" s="157">
        <v>0</v>
      </c>
      <c r="G124" s="157">
        <v>0</v>
      </c>
      <c r="H124" s="157">
        <v>0</v>
      </c>
      <c r="I124" s="157">
        <v>0</v>
      </c>
      <c r="J124" s="158">
        <f t="shared" si="1"/>
        <v>0</v>
      </c>
      <c r="K124" s="499"/>
    </row>
    <row r="125" spans="1:11" ht="12.75" hidden="1">
      <c r="A125" s="164"/>
      <c r="B125" s="164"/>
      <c r="C125" s="165" t="s">
        <v>2</v>
      </c>
      <c r="D125" s="165" t="s">
        <v>430</v>
      </c>
      <c r="E125" s="165" t="s">
        <v>584</v>
      </c>
      <c r="F125" s="166">
        <v>0</v>
      </c>
      <c r="G125" s="166">
        <v>0</v>
      </c>
      <c r="H125" s="166">
        <v>0</v>
      </c>
      <c r="I125" s="166">
        <v>0</v>
      </c>
      <c r="J125" s="167">
        <f t="shared" si="1"/>
        <v>0</v>
      </c>
      <c r="K125" s="501"/>
    </row>
    <row r="126" spans="1:11" ht="12.75">
      <c r="A126" s="156"/>
      <c r="B126" s="156" t="s">
        <v>278</v>
      </c>
      <c r="C126" s="950" t="s">
        <v>279</v>
      </c>
      <c r="D126" s="950"/>
      <c r="E126" s="950"/>
      <c r="F126" s="157">
        <f>44406964+1500000+1000000+11730500-1038000-7422766-510500-3606983+8314422</f>
        <v>54373637</v>
      </c>
      <c r="G126" s="157">
        <v>0</v>
      </c>
      <c r="H126" s="157">
        <v>0</v>
      </c>
      <c r="I126" s="157">
        <v>0</v>
      </c>
      <c r="J126" s="158">
        <f t="shared" si="1"/>
        <v>54373637</v>
      </c>
      <c r="K126" s="499"/>
    </row>
    <row r="127" spans="1:11" ht="12.75" hidden="1">
      <c r="A127" s="164"/>
      <c r="B127" s="164"/>
      <c r="C127" s="165" t="s">
        <v>2</v>
      </c>
      <c r="D127" s="165" t="s">
        <v>430</v>
      </c>
      <c r="E127" s="165" t="s">
        <v>280</v>
      </c>
      <c r="F127" s="166">
        <v>0</v>
      </c>
      <c r="G127" s="166">
        <v>0</v>
      </c>
      <c r="H127" s="166">
        <v>0</v>
      </c>
      <c r="I127" s="166">
        <v>0</v>
      </c>
      <c r="J127" s="167">
        <f t="shared" si="1"/>
        <v>0</v>
      </c>
      <c r="K127" s="501"/>
    </row>
    <row r="128" spans="1:11" ht="12.75" hidden="1">
      <c r="A128" s="156"/>
      <c r="B128" s="156" t="s">
        <v>281</v>
      </c>
      <c r="C128" s="950" t="s">
        <v>282</v>
      </c>
      <c r="D128" s="950"/>
      <c r="E128" s="950"/>
      <c r="F128" s="157">
        <v>0</v>
      </c>
      <c r="G128" s="157">
        <v>0</v>
      </c>
      <c r="H128" s="157">
        <v>0</v>
      </c>
      <c r="I128" s="157">
        <v>0</v>
      </c>
      <c r="J128" s="158">
        <f t="shared" si="1"/>
        <v>0</v>
      </c>
      <c r="K128" s="499"/>
    </row>
    <row r="129" spans="1:11" ht="12.75" hidden="1">
      <c r="A129" s="156"/>
      <c r="B129" s="156" t="s">
        <v>283</v>
      </c>
      <c r="C129" s="950" t="s">
        <v>284</v>
      </c>
      <c r="D129" s="950"/>
      <c r="E129" s="950"/>
      <c r="F129" s="157">
        <v>0</v>
      </c>
      <c r="G129" s="157">
        <v>0</v>
      </c>
      <c r="H129" s="157">
        <v>0</v>
      </c>
      <c r="I129" s="157">
        <v>0</v>
      </c>
      <c r="J129" s="158">
        <f t="shared" si="1"/>
        <v>0</v>
      </c>
      <c r="K129" s="499"/>
    </row>
    <row r="130" spans="1:11" ht="12.75" hidden="1">
      <c r="A130" s="156"/>
      <c r="B130" s="156" t="s">
        <v>285</v>
      </c>
      <c r="C130" s="950" t="s">
        <v>286</v>
      </c>
      <c r="D130" s="950"/>
      <c r="E130" s="950"/>
      <c r="F130" s="157">
        <v>0</v>
      </c>
      <c r="G130" s="157">
        <v>0</v>
      </c>
      <c r="H130" s="157">
        <v>0</v>
      </c>
      <c r="I130" s="157">
        <v>0</v>
      </c>
      <c r="J130" s="158">
        <f t="shared" si="1"/>
        <v>0</v>
      </c>
      <c r="K130" s="499"/>
    </row>
    <row r="131" spans="1:11" s="155" customFormat="1" ht="12" customHeight="1">
      <c r="A131" s="153" t="s">
        <v>287</v>
      </c>
      <c r="B131" s="958" t="s">
        <v>288</v>
      </c>
      <c r="C131" s="958"/>
      <c r="D131" s="958"/>
      <c r="E131" s="958"/>
      <c r="F131" s="154">
        <f>SUM(F132+F133+F134+F135+F145)</f>
        <v>392500</v>
      </c>
      <c r="G131" s="154">
        <f>SUM(G132+G133+G134+G135+G145)</f>
        <v>0</v>
      </c>
      <c r="H131" s="154">
        <f>SUM(H132+H133+H134+H135+H145)</f>
        <v>0</v>
      </c>
      <c r="I131" s="154">
        <f>SUM(I132+I133+I134+I135+I145)</f>
        <v>0</v>
      </c>
      <c r="J131" s="154">
        <f t="shared" si="1"/>
        <v>392500</v>
      </c>
      <c r="K131" s="498"/>
    </row>
    <row r="132" spans="1:11" ht="12.75" hidden="1">
      <c r="A132" s="156"/>
      <c r="B132" s="156" t="s">
        <v>289</v>
      </c>
      <c r="C132" s="950" t="s">
        <v>613</v>
      </c>
      <c r="D132" s="950"/>
      <c r="E132" s="950"/>
      <c r="F132" s="157">
        <v>0</v>
      </c>
      <c r="G132" s="157">
        <v>0</v>
      </c>
      <c r="H132" s="157">
        <v>0</v>
      </c>
      <c r="I132" s="157">
        <v>0</v>
      </c>
      <c r="J132" s="158">
        <f t="shared" si="1"/>
        <v>0</v>
      </c>
      <c r="K132" s="499"/>
    </row>
    <row r="133" spans="1:11" ht="12.75" hidden="1">
      <c r="A133" s="156"/>
      <c r="B133" s="156" t="s">
        <v>290</v>
      </c>
      <c r="C133" s="950" t="s">
        <v>614</v>
      </c>
      <c r="D133" s="950"/>
      <c r="E133" s="950"/>
      <c r="F133" s="157">
        <v>0</v>
      </c>
      <c r="G133" s="157">
        <v>0</v>
      </c>
      <c r="H133" s="157">
        <v>0</v>
      </c>
      <c r="I133" s="157">
        <v>0</v>
      </c>
      <c r="J133" s="158">
        <f t="shared" si="1"/>
        <v>0</v>
      </c>
      <c r="K133" s="499"/>
    </row>
    <row r="134" spans="1:11" ht="26.25" customHeight="1" hidden="1">
      <c r="A134" s="156"/>
      <c r="B134" s="156" t="s">
        <v>292</v>
      </c>
      <c r="C134" s="959" t="s">
        <v>615</v>
      </c>
      <c r="D134" s="959"/>
      <c r="E134" s="959"/>
      <c r="F134" s="157">
        <v>0</v>
      </c>
      <c r="G134" s="157">
        <v>0</v>
      </c>
      <c r="H134" s="157">
        <v>0</v>
      </c>
      <c r="I134" s="157">
        <v>0</v>
      </c>
      <c r="J134" s="158">
        <f t="shared" si="1"/>
        <v>0</v>
      </c>
      <c r="K134" s="499"/>
    </row>
    <row r="135" spans="1:11" ht="12.75" hidden="1">
      <c r="A135" s="156"/>
      <c r="B135" s="156" t="s">
        <v>499</v>
      </c>
      <c r="C135" s="950" t="s">
        <v>616</v>
      </c>
      <c r="D135" s="950"/>
      <c r="E135" s="950"/>
      <c r="F135" s="157">
        <f>SUM(F136:F144)</f>
        <v>0</v>
      </c>
      <c r="G135" s="157">
        <v>0</v>
      </c>
      <c r="H135" s="157">
        <v>0</v>
      </c>
      <c r="I135" s="157">
        <v>0</v>
      </c>
      <c r="J135" s="158">
        <f t="shared" si="1"/>
        <v>0</v>
      </c>
      <c r="K135" s="499"/>
    </row>
    <row r="136" spans="1:11" ht="12.75" hidden="1">
      <c r="A136" s="163"/>
      <c r="B136" s="163"/>
      <c r="C136" s="165" t="s">
        <v>2</v>
      </c>
      <c r="D136" s="165" t="s">
        <v>138</v>
      </c>
      <c r="E136" s="165" t="s">
        <v>165</v>
      </c>
      <c r="F136" s="166">
        <v>0</v>
      </c>
      <c r="G136" s="166">
        <v>0</v>
      </c>
      <c r="H136" s="166">
        <v>0</v>
      </c>
      <c r="I136" s="166">
        <v>0</v>
      </c>
      <c r="J136" s="167">
        <f t="shared" si="1"/>
        <v>0</v>
      </c>
      <c r="K136" s="501"/>
    </row>
    <row r="137" spans="1:11" ht="12.75" hidden="1">
      <c r="A137" s="163"/>
      <c r="B137" s="163"/>
      <c r="C137" s="165"/>
      <c r="D137" s="165" t="s">
        <v>140</v>
      </c>
      <c r="E137" s="165" t="s">
        <v>521</v>
      </c>
      <c r="F137" s="166">
        <v>0</v>
      </c>
      <c r="G137" s="166">
        <v>0</v>
      </c>
      <c r="H137" s="166">
        <v>0</v>
      </c>
      <c r="I137" s="166">
        <v>0</v>
      </c>
      <c r="J137" s="167">
        <f t="shared" si="1"/>
        <v>0</v>
      </c>
      <c r="K137" s="501"/>
    </row>
    <row r="138" spans="1:11" ht="12.75" hidden="1">
      <c r="A138" s="163"/>
      <c r="B138" s="163"/>
      <c r="C138" s="165"/>
      <c r="D138" s="165" t="s">
        <v>142</v>
      </c>
      <c r="E138" s="165" t="s">
        <v>166</v>
      </c>
      <c r="F138" s="166">
        <v>0</v>
      </c>
      <c r="G138" s="166">
        <v>0</v>
      </c>
      <c r="H138" s="166">
        <v>0</v>
      </c>
      <c r="I138" s="166">
        <v>0</v>
      </c>
      <c r="J138" s="167">
        <f aca="true" t="shared" si="2" ref="J138:J201">SUM(F138:I138)</f>
        <v>0</v>
      </c>
      <c r="K138" s="501"/>
    </row>
    <row r="139" spans="1:11" ht="12.75" hidden="1">
      <c r="A139" s="163"/>
      <c r="B139" s="163"/>
      <c r="C139" s="165"/>
      <c r="D139" s="165" t="s">
        <v>144</v>
      </c>
      <c r="E139" s="165" t="s">
        <v>167</v>
      </c>
      <c r="F139" s="166">
        <v>0</v>
      </c>
      <c r="G139" s="166">
        <v>0</v>
      </c>
      <c r="H139" s="166">
        <v>0</v>
      </c>
      <c r="I139" s="166">
        <v>0</v>
      </c>
      <c r="J139" s="167">
        <f t="shared" si="2"/>
        <v>0</v>
      </c>
      <c r="K139" s="501"/>
    </row>
    <row r="140" spans="1:11" ht="12.75" hidden="1">
      <c r="A140" s="163"/>
      <c r="B140" s="163"/>
      <c r="C140" s="165"/>
      <c r="D140" s="165" t="s">
        <v>146</v>
      </c>
      <c r="E140" s="165" t="s">
        <v>168</v>
      </c>
      <c r="F140" s="166">
        <v>0</v>
      </c>
      <c r="G140" s="166">
        <v>0</v>
      </c>
      <c r="H140" s="166">
        <v>0</v>
      </c>
      <c r="I140" s="166">
        <v>0</v>
      </c>
      <c r="J140" s="167">
        <f t="shared" si="2"/>
        <v>0</v>
      </c>
      <c r="K140" s="501"/>
    </row>
    <row r="141" spans="1:11" ht="12.75" hidden="1">
      <c r="A141" s="163"/>
      <c r="B141" s="163"/>
      <c r="C141" s="165"/>
      <c r="D141" s="165" t="s">
        <v>148</v>
      </c>
      <c r="E141" s="165" t="s">
        <v>482</v>
      </c>
      <c r="F141" s="166">
        <v>0</v>
      </c>
      <c r="G141" s="166">
        <v>0</v>
      </c>
      <c r="H141" s="166">
        <v>0</v>
      </c>
      <c r="I141" s="166">
        <v>0</v>
      </c>
      <c r="J141" s="167">
        <f t="shared" si="2"/>
        <v>0</v>
      </c>
      <c r="K141" s="501"/>
    </row>
    <row r="142" spans="1:11" ht="12.75" hidden="1">
      <c r="A142" s="163"/>
      <c r="B142" s="163"/>
      <c r="C142" s="165"/>
      <c r="D142" s="165" t="s">
        <v>150</v>
      </c>
      <c r="E142" s="165" t="s">
        <v>481</v>
      </c>
      <c r="F142" s="175">
        <v>0</v>
      </c>
      <c r="G142" s="166">
        <v>0</v>
      </c>
      <c r="H142" s="166">
        <v>0</v>
      </c>
      <c r="I142" s="166">
        <v>0</v>
      </c>
      <c r="J142" s="167">
        <f t="shared" si="2"/>
        <v>0</v>
      </c>
      <c r="K142" s="501"/>
    </row>
    <row r="143" spans="1:11" ht="12.75" hidden="1">
      <c r="A143" s="163"/>
      <c r="B143" s="163"/>
      <c r="C143" s="165"/>
      <c r="D143" s="165" t="s">
        <v>152</v>
      </c>
      <c r="E143" s="165" t="s">
        <v>171</v>
      </c>
      <c r="F143" s="166"/>
      <c r="G143" s="166">
        <v>0</v>
      </c>
      <c r="H143" s="166">
        <v>0</v>
      </c>
      <c r="I143" s="166">
        <v>0</v>
      </c>
      <c r="J143" s="167">
        <f t="shared" si="2"/>
        <v>0</v>
      </c>
      <c r="K143" s="501"/>
    </row>
    <row r="144" spans="1:11" ht="12.75" hidden="1">
      <c r="A144" s="163"/>
      <c r="B144" s="163"/>
      <c r="C144" s="165"/>
      <c r="D144" s="165" t="s">
        <v>154</v>
      </c>
      <c r="E144" s="165" t="s">
        <v>522</v>
      </c>
      <c r="F144" s="166">
        <v>0</v>
      </c>
      <c r="G144" s="166">
        <v>0</v>
      </c>
      <c r="H144" s="166">
        <v>0</v>
      </c>
      <c r="I144" s="166">
        <v>0</v>
      </c>
      <c r="J144" s="167">
        <f t="shared" si="2"/>
        <v>0</v>
      </c>
      <c r="K144" s="501"/>
    </row>
    <row r="145" spans="1:11" ht="12.75">
      <c r="A145" s="156"/>
      <c r="B145" s="156" t="s">
        <v>500</v>
      </c>
      <c r="C145" s="950" t="s">
        <v>585</v>
      </c>
      <c r="D145" s="950"/>
      <c r="E145" s="950"/>
      <c r="F145" s="157">
        <f>SUM(F146)</f>
        <v>392500</v>
      </c>
      <c r="G145" s="157">
        <v>0</v>
      </c>
      <c r="H145" s="157">
        <v>0</v>
      </c>
      <c r="I145" s="157">
        <v>0</v>
      </c>
      <c r="J145" s="158">
        <f t="shared" si="2"/>
        <v>392500</v>
      </c>
      <c r="K145" s="499"/>
    </row>
    <row r="146" spans="1:11" ht="12.75">
      <c r="A146" s="156"/>
      <c r="B146" s="156"/>
      <c r="C146" s="165" t="s">
        <v>2</v>
      </c>
      <c r="D146" s="492"/>
      <c r="E146" s="165" t="s">
        <v>167</v>
      </c>
      <c r="F146" s="166">
        <f>375000+17500</f>
        <v>392500</v>
      </c>
      <c r="G146" s="166">
        <v>0</v>
      </c>
      <c r="H146" s="166">
        <v>0</v>
      </c>
      <c r="I146" s="166">
        <v>0</v>
      </c>
      <c r="J146" s="167">
        <f>SUM(F146:I146)</f>
        <v>392500</v>
      </c>
      <c r="K146" s="499"/>
    </row>
    <row r="147" spans="1:11" s="155" customFormat="1" ht="12.75">
      <c r="A147" s="153" t="s">
        <v>293</v>
      </c>
      <c r="B147" s="958" t="s">
        <v>294</v>
      </c>
      <c r="C147" s="958"/>
      <c r="D147" s="958"/>
      <c r="E147" s="958"/>
      <c r="F147" s="154">
        <f>SUM(F148+F149+F150+F151+F161)</f>
        <v>267460</v>
      </c>
      <c r="G147" s="154">
        <f>SUM(G148+G149+G150+G151+G161)</f>
        <v>0</v>
      </c>
      <c r="H147" s="154">
        <f>SUM(H148+H149+H150+H151+H161)</f>
        <v>0</v>
      </c>
      <c r="I147" s="154">
        <f>SUM(I148+I149+I150+I151+I161)</f>
        <v>0</v>
      </c>
      <c r="J147" s="154">
        <f t="shared" si="2"/>
        <v>267460</v>
      </c>
      <c r="K147" s="498"/>
    </row>
    <row r="148" spans="1:11" ht="12.75" hidden="1">
      <c r="A148" s="156"/>
      <c r="B148" s="156" t="s">
        <v>295</v>
      </c>
      <c r="C148" s="950" t="s">
        <v>617</v>
      </c>
      <c r="D148" s="950"/>
      <c r="E148" s="950"/>
      <c r="F148" s="157">
        <v>0</v>
      </c>
      <c r="G148" s="157">
        <v>0</v>
      </c>
      <c r="H148" s="157">
        <v>0</v>
      </c>
      <c r="I148" s="157">
        <v>0</v>
      </c>
      <c r="J148" s="158">
        <f t="shared" si="2"/>
        <v>0</v>
      </c>
      <c r="K148" s="499"/>
    </row>
    <row r="149" spans="1:11" ht="12.75" hidden="1">
      <c r="A149" s="156"/>
      <c r="B149" s="156" t="s">
        <v>296</v>
      </c>
      <c r="C149" s="950" t="s">
        <v>618</v>
      </c>
      <c r="D149" s="950"/>
      <c r="E149" s="950"/>
      <c r="F149" s="157">
        <v>0</v>
      </c>
      <c r="G149" s="157">
        <v>0</v>
      </c>
      <c r="H149" s="157">
        <v>0</v>
      </c>
      <c r="I149" s="157">
        <v>0</v>
      </c>
      <c r="J149" s="158">
        <f t="shared" si="2"/>
        <v>0</v>
      </c>
      <c r="K149" s="499"/>
    </row>
    <row r="150" spans="1:11" ht="25.5" customHeight="1" hidden="1">
      <c r="A150" s="156"/>
      <c r="B150" s="156" t="s">
        <v>297</v>
      </c>
      <c r="C150" s="959" t="s">
        <v>619</v>
      </c>
      <c r="D150" s="959"/>
      <c r="E150" s="959"/>
      <c r="F150" s="157">
        <v>0</v>
      </c>
      <c r="G150" s="157">
        <v>0</v>
      </c>
      <c r="H150" s="157">
        <v>0</v>
      </c>
      <c r="I150" s="157">
        <v>0</v>
      </c>
      <c r="J150" s="158">
        <f t="shared" si="2"/>
        <v>0</v>
      </c>
      <c r="K150" s="499"/>
    </row>
    <row r="151" spans="1:11" ht="12.75" hidden="1">
      <c r="A151" s="163"/>
      <c r="B151" s="156" t="s">
        <v>501</v>
      </c>
      <c r="C151" s="950" t="s">
        <v>620</v>
      </c>
      <c r="D151" s="950"/>
      <c r="E151" s="950"/>
      <c r="F151" s="157">
        <f>SUM(F152:F160)</f>
        <v>0</v>
      </c>
      <c r="G151" s="157">
        <f>SUM(G152:G160)</f>
        <v>0</v>
      </c>
      <c r="H151" s="157">
        <f>SUM(H152:H160)</f>
        <v>0</v>
      </c>
      <c r="I151" s="157">
        <f>SUM(I152:I160)</f>
        <v>0</v>
      </c>
      <c r="J151" s="158">
        <f t="shared" si="2"/>
        <v>0</v>
      </c>
      <c r="K151" s="499"/>
    </row>
    <row r="152" spans="1:11" ht="12.75" hidden="1">
      <c r="A152" s="163"/>
      <c r="B152" s="163"/>
      <c r="C152" s="165" t="s">
        <v>2</v>
      </c>
      <c r="D152" s="165" t="s">
        <v>138</v>
      </c>
      <c r="E152" s="165" t="s">
        <v>165</v>
      </c>
      <c r="F152" s="166">
        <v>0</v>
      </c>
      <c r="G152" s="166">
        <v>0</v>
      </c>
      <c r="H152" s="166">
        <v>0</v>
      </c>
      <c r="I152" s="166">
        <v>0</v>
      </c>
      <c r="J152" s="167">
        <f t="shared" si="2"/>
        <v>0</v>
      </c>
      <c r="K152" s="501"/>
    </row>
    <row r="153" spans="1:11" ht="12.75" hidden="1">
      <c r="A153" s="163"/>
      <c r="B153" s="163"/>
      <c r="C153" s="165"/>
      <c r="D153" s="165" t="s">
        <v>140</v>
      </c>
      <c r="E153" s="165" t="s">
        <v>521</v>
      </c>
      <c r="F153" s="166">
        <v>0</v>
      </c>
      <c r="G153" s="166">
        <v>0</v>
      </c>
      <c r="H153" s="166">
        <v>0</v>
      </c>
      <c r="I153" s="166">
        <v>0</v>
      </c>
      <c r="J153" s="167">
        <f t="shared" si="2"/>
        <v>0</v>
      </c>
      <c r="K153" s="501"/>
    </row>
    <row r="154" spans="1:11" ht="12.75" hidden="1">
      <c r="A154" s="163"/>
      <c r="B154" s="163"/>
      <c r="C154" s="165"/>
      <c r="D154" s="165" t="s">
        <v>142</v>
      </c>
      <c r="E154" s="165" t="s">
        <v>166</v>
      </c>
      <c r="F154" s="166">
        <v>0</v>
      </c>
      <c r="G154" s="166">
        <v>0</v>
      </c>
      <c r="H154" s="166">
        <v>0</v>
      </c>
      <c r="I154" s="166">
        <v>0</v>
      </c>
      <c r="J154" s="167">
        <f t="shared" si="2"/>
        <v>0</v>
      </c>
      <c r="K154" s="501"/>
    </row>
    <row r="155" spans="1:11" ht="12.75" hidden="1">
      <c r="A155" s="163"/>
      <c r="B155" s="163"/>
      <c r="C155" s="165"/>
      <c r="D155" s="165" t="s">
        <v>144</v>
      </c>
      <c r="E155" s="165" t="s">
        <v>167</v>
      </c>
      <c r="F155" s="166">
        <v>0</v>
      </c>
      <c r="G155" s="166">
        <v>0</v>
      </c>
      <c r="H155" s="166">
        <v>0</v>
      </c>
      <c r="I155" s="166">
        <v>0</v>
      </c>
      <c r="J155" s="167">
        <f t="shared" si="2"/>
        <v>0</v>
      </c>
      <c r="K155" s="501"/>
    </row>
    <row r="156" spans="1:11" ht="12.75" hidden="1">
      <c r="A156" s="163"/>
      <c r="B156" s="163"/>
      <c r="C156" s="165"/>
      <c r="D156" s="165" t="s">
        <v>146</v>
      </c>
      <c r="E156" s="165" t="s">
        <v>168</v>
      </c>
      <c r="F156" s="166">
        <v>0</v>
      </c>
      <c r="G156" s="166">
        <v>0</v>
      </c>
      <c r="H156" s="166">
        <v>0</v>
      </c>
      <c r="I156" s="166">
        <v>0</v>
      </c>
      <c r="J156" s="167">
        <f t="shared" si="2"/>
        <v>0</v>
      </c>
      <c r="K156" s="501"/>
    </row>
    <row r="157" spans="1:11" ht="12.75" hidden="1">
      <c r="A157" s="163"/>
      <c r="B157" s="163"/>
      <c r="C157" s="165"/>
      <c r="D157" s="165" t="s">
        <v>148</v>
      </c>
      <c r="E157" s="165" t="s">
        <v>482</v>
      </c>
      <c r="F157" s="166">
        <v>0</v>
      </c>
      <c r="G157" s="166">
        <v>0</v>
      </c>
      <c r="H157" s="166">
        <v>0</v>
      </c>
      <c r="I157" s="166">
        <v>0</v>
      </c>
      <c r="J157" s="167">
        <f t="shared" si="2"/>
        <v>0</v>
      </c>
      <c r="K157" s="501"/>
    </row>
    <row r="158" spans="1:11" ht="12.75" hidden="1">
      <c r="A158" s="163"/>
      <c r="B158" s="163"/>
      <c r="C158" s="165"/>
      <c r="D158" s="165" t="s">
        <v>150</v>
      </c>
      <c r="E158" s="165" t="s">
        <v>481</v>
      </c>
      <c r="F158" s="175">
        <v>0</v>
      </c>
      <c r="G158" s="166">
        <v>0</v>
      </c>
      <c r="H158" s="166">
        <v>0</v>
      </c>
      <c r="I158" s="166">
        <v>0</v>
      </c>
      <c r="J158" s="167">
        <f t="shared" si="2"/>
        <v>0</v>
      </c>
      <c r="K158" s="501"/>
    </row>
    <row r="159" spans="1:11" ht="12.75" hidden="1">
      <c r="A159" s="163"/>
      <c r="B159" s="163"/>
      <c r="C159" s="165"/>
      <c r="D159" s="165" t="s">
        <v>152</v>
      </c>
      <c r="E159" s="165" t="s">
        <v>171</v>
      </c>
      <c r="F159" s="166">
        <v>0</v>
      </c>
      <c r="G159" s="166">
        <v>0</v>
      </c>
      <c r="H159" s="166">
        <v>0</v>
      </c>
      <c r="I159" s="166">
        <v>0</v>
      </c>
      <c r="J159" s="167">
        <f t="shared" si="2"/>
        <v>0</v>
      </c>
      <c r="K159" s="501"/>
    </row>
    <row r="160" spans="1:11" ht="12.75" hidden="1">
      <c r="A160" s="163"/>
      <c r="B160" s="163"/>
      <c r="C160" s="165"/>
      <c r="D160" s="165" t="s">
        <v>154</v>
      </c>
      <c r="E160" s="165" t="s">
        <v>522</v>
      </c>
      <c r="F160" s="166">
        <v>0</v>
      </c>
      <c r="G160" s="166">
        <v>0</v>
      </c>
      <c r="H160" s="166">
        <v>0</v>
      </c>
      <c r="I160" s="166">
        <v>0</v>
      </c>
      <c r="J160" s="167">
        <f t="shared" si="2"/>
        <v>0</v>
      </c>
      <c r="K160" s="501"/>
    </row>
    <row r="161" spans="1:11" ht="12" customHeight="1">
      <c r="A161" s="163"/>
      <c r="B161" s="156" t="s">
        <v>502</v>
      </c>
      <c r="C161" s="950" t="s">
        <v>569</v>
      </c>
      <c r="D161" s="950"/>
      <c r="E161" s="950"/>
      <c r="F161" s="157">
        <f>SUM(F162:F172)</f>
        <v>267460</v>
      </c>
      <c r="G161" s="157">
        <f>SUM(G162:G172)</f>
        <v>0</v>
      </c>
      <c r="H161" s="157">
        <f>SUM(H162:H172)</f>
        <v>0</v>
      </c>
      <c r="I161" s="157">
        <f>SUM(I162:I172)</f>
        <v>0</v>
      </c>
      <c r="J161" s="158">
        <f t="shared" si="2"/>
        <v>267460</v>
      </c>
      <c r="K161" s="499"/>
    </row>
    <row r="162" spans="1:11" ht="12.75" hidden="1">
      <c r="A162" s="163"/>
      <c r="B162" s="163"/>
      <c r="C162" s="165" t="s">
        <v>2</v>
      </c>
      <c r="D162" s="165" t="s">
        <v>138</v>
      </c>
      <c r="E162" s="165" t="s">
        <v>165</v>
      </c>
      <c r="F162" s="166"/>
      <c r="G162" s="166">
        <v>0</v>
      </c>
      <c r="H162" s="166">
        <v>0</v>
      </c>
      <c r="I162" s="166">
        <v>0</v>
      </c>
      <c r="J162" s="167">
        <f t="shared" si="2"/>
        <v>0</v>
      </c>
      <c r="K162" s="501"/>
    </row>
    <row r="163" spans="1:11" ht="12.75" hidden="1">
      <c r="A163" s="163"/>
      <c r="B163" s="163"/>
      <c r="C163" s="165"/>
      <c r="D163" s="165" t="s">
        <v>140</v>
      </c>
      <c r="E163" s="165" t="s">
        <v>521</v>
      </c>
      <c r="F163" s="166">
        <v>0</v>
      </c>
      <c r="G163" s="166">
        <v>0</v>
      </c>
      <c r="H163" s="166">
        <v>0</v>
      </c>
      <c r="I163" s="166">
        <v>0</v>
      </c>
      <c r="J163" s="167">
        <f t="shared" si="2"/>
        <v>0</v>
      </c>
      <c r="K163" s="501"/>
    </row>
    <row r="164" spans="1:11" ht="12.75" hidden="1">
      <c r="A164" s="163"/>
      <c r="B164" s="163"/>
      <c r="C164" s="165"/>
      <c r="D164" s="165" t="s">
        <v>142</v>
      </c>
      <c r="E164" s="165" t="s">
        <v>166</v>
      </c>
      <c r="F164" s="166">
        <v>0</v>
      </c>
      <c r="G164" s="166">
        <v>0</v>
      </c>
      <c r="H164" s="166">
        <v>0</v>
      </c>
      <c r="I164" s="166">
        <v>0</v>
      </c>
      <c r="J164" s="167">
        <f t="shared" si="2"/>
        <v>0</v>
      </c>
      <c r="K164" s="501"/>
    </row>
    <row r="165" spans="1:11" ht="13.5" customHeight="1">
      <c r="A165" s="163"/>
      <c r="B165" s="163"/>
      <c r="C165" s="165"/>
      <c r="D165" s="165" t="s">
        <v>144</v>
      </c>
      <c r="E165" s="165" t="s">
        <v>167</v>
      </c>
      <c r="F165" s="166">
        <v>267460</v>
      </c>
      <c r="G165" s="166">
        <v>0</v>
      </c>
      <c r="H165" s="166">
        <v>0</v>
      </c>
      <c r="I165" s="166">
        <v>0</v>
      </c>
      <c r="J165" s="167">
        <f t="shared" si="2"/>
        <v>267460</v>
      </c>
      <c r="K165" s="501"/>
    </row>
    <row r="166" spans="1:11" ht="0.75" customHeight="1" hidden="1">
      <c r="A166" s="163"/>
      <c r="B166" s="163"/>
      <c r="C166" s="165"/>
      <c r="D166" s="165" t="s">
        <v>146</v>
      </c>
      <c r="E166" s="165" t="s">
        <v>168</v>
      </c>
      <c r="F166" s="166">
        <v>0</v>
      </c>
      <c r="G166" s="166">
        <v>0</v>
      </c>
      <c r="H166" s="166">
        <v>0</v>
      </c>
      <c r="I166" s="166">
        <v>0</v>
      </c>
      <c r="J166" s="167">
        <f t="shared" si="2"/>
        <v>0</v>
      </c>
      <c r="K166" s="501"/>
    </row>
    <row r="167" spans="1:11" ht="12.75" hidden="1">
      <c r="A167" s="163"/>
      <c r="B167" s="163"/>
      <c r="C167" s="165"/>
      <c r="D167" s="165" t="s">
        <v>148</v>
      </c>
      <c r="E167" s="165" t="s">
        <v>482</v>
      </c>
      <c r="F167" s="166">
        <v>0</v>
      </c>
      <c r="G167" s="166">
        <v>0</v>
      </c>
      <c r="H167" s="166">
        <v>0</v>
      </c>
      <c r="I167" s="166">
        <v>0</v>
      </c>
      <c r="J167" s="167">
        <f t="shared" si="2"/>
        <v>0</v>
      </c>
      <c r="K167" s="501"/>
    </row>
    <row r="168" spans="1:11" ht="12.75" hidden="1">
      <c r="A168" s="163"/>
      <c r="B168" s="163"/>
      <c r="C168" s="165"/>
      <c r="D168" s="165" t="s">
        <v>150</v>
      </c>
      <c r="E168" s="165" t="s">
        <v>481</v>
      </c>
      <c r="F168" s="175">
        <v>0</v>
      </c>
      <c r="G168" s="166">
        <v>0</v>
      </c>
      <c r="H168" s="166">
        <v>0</v>
      </c>
      <c r="I168" s="166">
        <v>0</v>
      </c>
      <c r="J168" s="167">
        <f t="shared" si="2"/>
        <v>0</v>
      </c>
      <c r="K168" s="501"/>
    </row>
    <row r="169" spans="1:11" ht="12.75" hidden="1">
      <c r="A169" s="163"/>
      <c r="B169" s="163"/>
      <c r="C169" s="165"/>
      <c r="D169" s="165" t="s">
        <v>152</v>
      </c>
      <c r="E169" s="165" t="s">
        <v>171</v>
      </c>
      <c r="F169" s="166">
        <v>0</v>
      </c>
      <c r="G169" s="166">
        <v>0</v>
      </c>
      <c r="H169" s="166">
        <v>0</v>
      </c>
      <c r="I169" s="166">
        <v>0</v>
      </c>
      <c r="J169" s="167">
        <f t="shared" si="2"/>
        <v>0</v>
      </c>
      <c r="K169" s="501"/>
    </row>
    <row r="170" spans="1:11" ht="12.75" hidden="1">
      <c r="A170" s="163"/>
      <c r="B170" s="163"/>
      <c r="C170" s="165"/>
      <c r="D170" s="165" t="s">
        <v>154</v>
      </c>
      <c r="E170" s="165" t="s">
        <v>172</v>
      </c>
      <c r="F170" s="166">
        <v>0</v>
      </c>
      <c r="G170" s="166">
        <v>0</v>
      </c>
      <c r="H170" s="166">
        <v>0</v>
      </c>
      <c r="I170" s="166">
        <v>0</v>
      </c>
      <c r="J170" s="167">
        <f t="shared" si="2"/>
        <v>0</v>
      </c>
      <c r="K170" s="501"/>
    </row>
    <row r="171" spans="1:11" ht="12.75" hidden="1">
      <c r="A171" s="163"/>
      <c r="B171" s="163"/>
      <c r="C171" s="165"/>
      <c r="D171" s="165" t="s">
        <v>156</v>
      </c>
      <c r="E171" s="165" t="s">
        <v>173</v>
      </c>
      <c r="F171" s="166">
        <v>0</v>
      </c>
      <c r="G171" s="166">
        <v>0</v>
      </c>
      <c r="H171" s="166">
        <v>0</v>
      </c>
      <c r="I171" s="166">
        <v>0</v>
      </c>
      <c r="J171" s="167">
        <f t="shared" si="2"/>
        <v>0</v>
      </c>
      <c r="K171" s="501"/>
    </row>
    <row r="172" spans="1:11" ht="12.75" hidden="1">
      <c r="A172" s="163"/>
      <c r="B172" s="163"/>
      <c r="C172" s="165"/>
      <c r="D172" s="165" t="s">
        <v>523</v>
      </c>
      <c r="E172" s="165" t="s">
        <v>174</v>
      </c>
      <c r="F172" s="166">
        <v>0</v>
      </c>
      <c r="G172" s="166">
        <v>0</v>
      </c>
      <c r="H172" s="166">
        <v>0</v>
      </c>
      <c r="I172" s="166">
        <v>0</v>
      </c>
      <c r="J172" s="167">
        <f t="shared" si="2"/>
        <v>0</v>
      </c>
      <c r="K172" s="501"/>
    </row>
    <row r="173" spans="1:11" s="155" customFormat="1" ht="12.75">
      <c r="A173" s="153" t="s">
        <v>298</v>
      </c>
      <c r="B173" s="958" t="s">
        <v>299</v>
      </c>
      <c r="C173" s="958"/>
      <c r="D173" s="958"/>
      <c r="E173" s="958"/>
      <c r="F173" s="154">
        <f>SUM(F174+F197+F198+F199)</f>
        <v>1157180955</v>
      </c>
      <c r="G173" s="154">
        <f>SUM(G174+G197+G198+G199)</f>
        <v>1125836</v>
      </c>
      <c r="H173" s="154">
        <f>SUM(H174+H197+H198+H199)</f>
        <v>20829102</v>
      </c>
      <c r="I173" s="154">
        <f>SUM(I174+I197+I198+I199)</f>
        <v>1443526</v>
      </c>
      <c r="J173" s="154">
        <f t="shared" si="2"/>
        <v>1180579419</v>
      </c>
      <c r="K173" s="498"/>
    </row>
    <row r="174" spans="1:11" ht="12.75">
      <c r="A174" s="163"/>
      <c r="B174" s="156" t="s">
        <v>300</v>
      </c>
      <c r="C174" s="950" t="s">
        <v>301</v>
      </c>
      <c r="D174" s="950"/>
      <c r="E174" s="950"/>
      <c r="F174" s="157">
        <f>SUM(F175+F179+F184+F189+F190+F191+F192+F193+F194)</f>
        <v>1157180955</v>
      </c>
      <c r="G174" s="157">
        <f>SUM(G175+G179+G184+G189+G190+G191+G192+G193+G194)</f>
        <v>1125836</v>
      </c>
      <c r="H174" s="157">
        <f>SUM(H175+H179+H184+H189+H190+H191+H192+H193+H194)</f>
        <v>20829102</v>
      </c>
      <c r="I174" s="157">
        <f>SUM(I175+I179+I184+I189+I190+I191+I192+I193+I194)</f>
        <v>1443526</v>
      </c>
      <c r="J174" s="158">
        <f t="shared" si="2"/>
        <v>1180579419</v>
      </c>
      <c r="K174" s="499"/>
    </row>
    <row r="175" spans="1:11" ht="12.75">
      <c r="A175" s="159"/>
      <c r="B175" s="159"/>
      <c r="C175" s="159" t="s">
        <v>302</v>
      </c>
      <c r="D175" s="159" t="s">
        <v>543</v>
      </c>
      <c r="E175" s="159"/>
      <c r="F175" s="160">
        <f>SUM(F176:F178)</f>
        <v>0</v>
      </c>
      <c r="G175" s="160">
        <f>SUM(G176:G178)</f>
        <v>0</v>
      </c>
      <c r="H175" s="160">
        <f>SUM(H176:H178)</f>
        <v>0</v>
      </c>
      <c r="I175" s="160">
        <f>SUM(I176:I178)</f>
        <v>0</v>
      </c>
      <c r="J175" s="161">
        <f t="shared" si="2"/>
        <v>0</v>
      </c>
      <c r="K175" s="500"/>
    </row>
    <row r="176" spans="1:11" ht="12.75" hidden="1">
      <c r="A176" s="176"/>
      <c r="B176" s="176"/>
      <c r="C176" s="176"/>
      <c r="D176" s="176" t="s">
        <v>303</v>
      </c>
      <c r="E176" s="176" t="s">
        <v>621</v>
      </c>
      <c r="F176" s="177">
        <v>0</v>
      </c>
      <c r="G176" s="177">
        <v>0</v>
      </c>
      <c r="H176" s="177">
        <v>0</v>
      </c>
      <c r="I176" s="177">
        <v>0</v>
      </c>
      <c r="J176" s="178">
        <f t="shared" si="2"/>
        <v>0</v>
      </c>
      <c r="K176" s="502"/>
    </row>
    <row r="177" spans="1:11" ht="12.75" hidden="1">
      <c r="A177" s="176"/>
      <c r="B177" s="176"/>
      <c r="C177" s="176"/>
      <c r="D177" s="176" t="s">
        <v>304</v>
      </c>
      <c r="E177" s="176" t="s">
        <v>622</v>
      </c>
      <c r="F177" s="177">
        <v>0</v>
      </c>
      <c r="G177" s="177">
        <v>0</v>
      </c>
      <c r="H177" s="177">
        <v>0</v>
      </c>
      <c r="I177" s="177">
        <v>0</v>
      </c>
      <c r="J177" s="178">
        <f t="shared" si="2"/>
        <v>0</v>
      </c>
      <c r="K177" s="502"/>
    </row>
    <row r="178" spans="1:11" ht="12.75" hidden="1">
      <c r="A178" s="176"/>
      <c r="B178" s="176"/>
      <c r="C178" s="176"/>
      <c r="D178" s="176" t="s">
        <v>305</v>
      </c>
      <c r="E178" s="176" t="s">
        <v>623</v>
      </c>
      <c r="F178" s="177">
        <v>0</v>
      </c>
      <c r="G178" s="177">
        <v>0</v>
      </c>
      <c r="H178" s="177">
        <v>0</v>
      </c>
      <c r="I178" s="177">
        <v>0</v>
      </c>
      <c r="J178" s="178">
        <f t="shared" si="2"/>
        <v>0</v>
      </c>
      <c r="K178" s="502"/>
    </row>
    <row r="179" spans="1:11" ht="12.75">
      <c r="A179" s="159"/>
      <c r="B179" s="159"/>
      <c r="C179" s="159" t="s">
        <v>306</v>
      </c>
      <c r="D179" s="159" t="s">
        <v>307</v>
      </c>
      <c r="E179" s="159"/>
      <c r="F179" s="160">
        <f>SUM(F180:F183)</f>
        <v>0</v>
      </c>
      <c r="G179" s="160">
        <f>SUM(G180:G183)</f>
        <v>0</v>
      </c>
      <c r="H179" s="160">
        <f>SUM(H180:H183)</f>
        <v>0</v>
      </c>
      <c r="I179" s="160">
        <f>SUM(I180:I183)</f>
        <v>0</v>
      </c>
      <c r="J179" s="161">
        <f t="shared" si="2"/>
        <v>0</v>
      </c>
      <c r="K179" s="500"/>
    </row>
    <row r="180" spans="1:11" ht="12.75" hidden="1">
      <c r="A180" s="159"/>
      <c r="B180" s="159"/>
      <c r="C180" s="159"/>
      <c r="D180" s="176" t="s">
        <v>503</v>
      </c>
      <c r="E180" s="176" t="s">
        <v>504</v>
      </c>
      <c r="F180" s="160">
        <v>0</v>
      </c>
      <c r="G180" s="160">
        <v>0</v>
      </c>
      <c r="H180" s="160">
        <v>0</v>
      </c>
      <c r="I180" s="160">
        <v>0</v>
      </c>
      <c r="J180" s="161">
        <f t="shared" si="2"/>
        <v>0</v>
      </c>
      <c r="K180" s="500"/>
    </row>
    <row r="181" spans="1:11" ht="12.75" hidden="1">
      <c r="A181" s="159"/>
      <c r="B181" s="159"/>
      <c r="C181" s="159"/>
      <c r="D181" s="176" t="s">
        <v>505</v>
      </c>
      <c r="E181" s="176" t="s">
        <v>506</v>
      </c>
      <c r="F181" s="160">
        <v>0</v>
      </c>
      <c r="G181" s="160">
        <v>0</v>
      </c>
      <c r="H181" s="160">
        <v>0</v>
      </c>
      <c r="I181" s="160">
        <v>0</v>
      </c>
      <c r="J181" s="161">
        <f t="shared" si="2"/>
        <v>0</v>
      </c>
      <c r="K181" s="500"/>
    </row>
    <row r="182" spans="1:11" ht="12.75" hidden="1">
      <c r="A182" s="159"/>
      <c r="B182" s="159"/>
      <c r="C182" s="159"/>
      <c r="D182" s="176" t="s">
        <v>507</v>
      </c>
      <c r="E182" s="176" t="s">
        <v>508</v>
      </c>
      <c r="F182" s="160">
        <v>0</v>
      </c>
      <c r="G182" s="160">
        <v>0</v>
      </c>
      <c r="H182" s="160">
        <v>0</v>
      </c>
      <c r="I182" s="160">
        <v>0</v>
      </c>
      <c r="J182" s="161">
        <f t="shared" si="2"/>
        <v>0</v>
      </c>
      <c r="K182" s="500"/>
    </row>
    <row r="183" spans="1:11" ht="12.75" hidden="1">
      <c r="A183" s="159"/>
      <c r="B183" s="159"/>
      <c r="C183" s="159"/>
      <c r="D183" s="176" t="s">
        <v>509</v>
      </c>
      <c r="E183" s="176" t="s">
        <v>510</v>
      </c>
      <c r="F183" s="160">
        <v>0</v>
      </c>
      <c r="G183" s="160">
        <v>0</v>
      </c>
      <c r="H183" s="160">
        <v>0</v>
      </c>
      <c r="I183" s="160">
        <v>0</v>
      </c>
      <c r="J183" s="161">
        <f t="shared" si="2"/>
        <v>0</v>
      </c>
      <c r="K183" s="500"/>
    </row>
    <row r="184" spans="1:11" ht="12.75">
      <c r="A184" s="159"/>
      <c r="B184" s="159"/>
      <c r="C184" s="159" t="s">
        <v>308</v>
      </c>
      <c r="D184" s="159" t="s">
        <v>309</v>
      </c>
      <c r="E184" s="159"/>
      <c r="F184" s="160">
        <f>SUM(F185,F188)</f>
        <v>1157180955</v>
      </c>
      <c r="G184" s="160">
        <f>SUM(G185,G188)</f>
        <v>1125836</v>
      </c>
      <c r="H184" s="160">
        <f>SUM(H185,H188)</f>
        <v>20829102</v>
      </c>
      <c r="I184" s="160">
        <f>SUM(I185,I188)</f>
        <v>1443526</v>
      </c>
      <c r="J184" s="161">
        <f t="shared" si="2"/>
        <v>1180579419</v>
      </c>
      <c r="K184" s="500"/>
    </row>
    <row r="185" spans="1:11" ht="12.75">
      <c r="A185" s="176"/>
      <c r="B185" s="176"/>
      <c r="C185" s="176"/>
      <c r="D185" s="176" t="s">
        <v>310</v>
      </c>
      <c r="E185" s="176" t="s">
        <v>311</v>
      </c>
      <c r="F185" s="177">
        <f>SUM(F186:F187)</f>
        <v>1157180955</v>
      </c>
      <c r="G185" s="177">
        <f>SUM(G186:G187)</f>
        <v>1125836</v>
      </c>
      <c r="H185" s="177">
        <f>SUM(H186:H187)</f>
        <v>20829102</v>
      </c>
      <c r="I185" s="177">
        <f>SUM(I186:I187)</f>
        <v>1443526</v>
      </c>
      <c r="J185" s="178">
        <f t="shared" si="2"/>
        <v>1180579419</v>
      </c>
      <c r="K185" s="502"/>
    </row>
    <row r="186" spans="1:11" s="183" customFormat="1" ht="12.75">
      <c r="A186" s="179"/>
      <c r="B186" s="179"/>
      <c r="C186" s="179"/>
      <c r="D186" s="179"/>
      <c r="E186" s="180" t="s">
        <v>36</v>
      </c>
      <c r="F186" s="181">
        <f>139338070+75829006</f>
        <v>215167076</v>
      </c>
      <c r="G186" s="181">
        <f>789210+334626+2000</f>
        <v>1125836</v>
      </c>
      <c r="H186" s="181">
        <f>7760424+13068678</f>
        <v>20829102</v>
      </c>
      <c r="I186" s="181">
        <f>5642681-4199155</f>
        <v>1443526</v>
      </c>
      <c r="J186" s="182">
        <f t="shared" si="2"/>
        <v>238565540</v>
      </c>
      <c r="K186" s="503"/>
    </row>
    <row r="187" spans="1:11" s="183" customFormat="1" ht="12.75">
      <c r="A187" s="179"/>
      <c r="B187" s="179"/>
      <c r="C187" s="179"/>
      <c r="D187" s="179"/>
      <c r="E187" s="180" t="s">
        <v>37</v>
      </c>
      <c r="F187" s="181">
        <f>896617876-510500+45906503</f>
        <v>942013879</v>
      </c>
      <c r="G187" s="181">
        <v>0</v>
      </c>
      <c r="H187" s="181">
        <v>0</v>
      </c>
      <c r="I187" s="181">
        <v>0</v>
      </c>
      <c r="J187" s="182">
        <f t="shared" si="2"/>
        <v>942013879</v>
      </c>
      <c r="K187" s="503"/>
    </row>
    <row r="188" spans="1:11" ht="12.75">
      <c r="A188" s="176"/>
      <c r="B188" s="176"/>
      <c r="C188" s="176"/>
      <c r="D188" s="176" t="s">
        <v>312</v>
      </c>
      <c r="E188" s="176" t="s">
        <v>313</v>
      </c>
      <c r="F188" s="177">
        <f>-1370149+1370149</f>
        <v>0</v>
      </c>
      <c r="G188" s="177">
        <v>0</v>
      </c>
      <c r="H188" s="177">
        <v>0</v>
      </c>
      <c r="I188" s="177">
        <v>0</v>
      </c>
      <c r="J188" s="178">
        <f t="shared" si="2"/>
        <v>0</v>
      </c>
      <c r="K188" s="502"/>
    </row>
    <row r="189" spans="1:11" ht="12.75" hidden="1">
      <c r="A189" s="159"/>
      <c r="B189" s="159"/>
      <c r="C189" s="159" t="s">
        <v>314</v>
      </c>
      <c r="D189" s="159" t="s">
        <v>544</v>
      </c>
      <c r="E189" s="159"/>
      <c r="F189" s="160">
        <v>0</v>
      </c>
      <c r="G189" s="160">
        <v>0</v>
      </c>
      <c r="H189" s="160">
        <v>0</v>
      </c>
      <c r="I189" s="160">
        <v>0</v>
      </c>
      <c r="J189" s="161">
        <f t="shared" si="2"/>
        <v>0</v>
      </c>
      <c r="K189" s="500"/>
    </row>
    <row r="190" spans="1:11" ht="12.75" hidden="1">
      <c r="A190" s="159"/>
      <c r="B190" s="159"/>
      <c r="C190" s="159" t="s">
        <v>315</v>
      </c>
      <c r="D190" s="159" t="s">
        <v>545</v>
      </c>
      <c r="E190" s="159"/>
      <c r="F190" s="160">
        <v>0</v>
      </c>
      <c r="G190" s="160">
        <v>0</v>
      </c>
      <c r="H190" s="160">
        <v>0</v>
      </c>
      <c r="I190" s="160">
        <v>0</v>
      </c>
      <c r="J190" s="161">
        <f t="shared" si="2"/>
        <v>0</v>
      </c>
      <c r="K190" s="500"/>
    </row>
    <row r="191" spans="1:11" ht="12.75" hidden="1">
      <c r="A191" s="159"/>
      <c r="B191" s="159"/>
      <c r="C191" s="159" t="s">
        <v>316</v>
      </c>
      <c r="D191" s="159" t="s">
        <v>317</v>
      </c>
      <c r="E191" s="159"/>
      <c r="F191" s="160">
        <v>0</v>
      </c>
      <c r="G191" s="160">
        <v>0</v>
      </c>
      <c r="H191" s="160">
        <v>0</v>
      </c>
      <c r="I191" s="160">
        <v>0</v>
      </c>
      <c r="J191" s="161">
        <f t="shared" si="2"/>
        <v>0</v>
      </c>
      <c r="K191" s="500"/>
    </row>
    <row r="192" spans="1:11" ht="12.75" hidden="1">
      <c r="A192" s="159"/>
      <c r="B192" s="159"/>
      <c r="C192" s="159" t="s">
        <v>318</v>
      </c>
      <c r="D192" s="159" t="s">
        <v>511</v>
      </c>
      <c r="E192" s="159"/>
      <c r="F192" s="160">
        <v>0</v>
      </c>
      <c r="G192" s="160">
        <v>0</v>
      </c>
      <c r="H192" s="160">
        <v>0</v>
      </c>
      <c r="I192" s="160">
        <v>0</v>
      </c>
      <c r="J192" s="161">
        <f t="shared" si="2"/>
        <v>0</v>
      </c>
      <c r="K192" s="500"/>
    </row>
    <row r="193" spans="1:11" ht="12.75" hidden="1">
      <c r="A193" s="159"/>
      <c r="B193" s="159"/>
      <c r="C193" s="159" t="s">
        <v>319</v>
      </c>
      <c r="D193" s="159" t="s">
        <v>320</v>
      </c>
      <c r="E193" s="159"/>
      <c r="F193" s="160">
        <v>0</v>
      </c>
      <c r="G193" s="160">
        <v>0</v>
      </c>
      <c r="H193" s="160">
        <v>0</v>
      </c>
      <c r="I193" s="160">
        <v>0</v>
      </c>
      <c r="J193" s="161">
        <f t="shared" si="2"/>
        <v>0</v>
      </c>
      <c r="K193" s="500"/>
    </row>
    <row r="194" spans="1:11" ht="12.75" hidden="1">
      <c r="A194" s="159"/>
      <c r="B194" s="159"/>
      <c r="C194" s="159" t="s">
        <v>512</v>
      </c>
      <c r="D194" s="159" t="s">
        <v>513</v>
      </c>
      <c r="E194" s="159"/>
      <c r="F194" s="160">
        <v>0</v>
      </c>
      <c r="G194" s="160">
        <v>0</v>
      </c>
      <c r="H194" s="160">
        <v>0</v>
      </c>
      <c r="I194" s="160">
        <v>0</v>
      </c>
      <c r="J194" s="161">
        <f t="shared" si="2"/>
        <v>0</v>
      </c>
      <c r="K194" s="500"/>
    </row>
    <row r="195" spans="1:11" ht="12.75" hidden="1">
      <c r="A195" s="159"/>
      <c r="B195" s="159"/>
      <c r="C195" s="159"/>
      <c r="D195" s="176" t="s">
        <v>514</v>
      </c>
      <c r="E195" s="176" t="s">
        <v>515</v>
      </c>
      <c r="F195" s="181">
        <v>0</v>
      </c>
      <c r="G195" s="181">
        <v>0</v>
      </c>
      <c r="H195" s="181">
        <v>0</v>
      </c>
      <c r="I195" s="181">
        <v>0</v>
      </c>
      <c r="J195" s="161">
        <f t="shared" si="2"/>
        <v>0</v>
      </c>
      <c r="K195" s="500"/>
    </row>
    <row r="196" spans="1:11" ht="12.75" hidden="1">
      <c r="A196" s="159"/>
      <c r="B196" s="159"/>
      <c r="C196" s="159"/>
      <c r="D196" s="176" t="s">
        <v>516</v>
      </c>
      <c r="E196" s="176" t="s">
        <v>517</v>
      </c>
      <c r="F196" s="181">
        <v>0</v>
      </c>
      <c r="G196" s="181">
        <v>0</v>
      </c>
      <c r="H196" s="181">
        <v>0</v>
      </c>
      <c r="I196" s="181">
        <v>0</v>
      </c>
      <c r="J196" s="161">
        <f t="shared" si="2"/>
        <v>0</v>
      </c>
      <c r="K196" s="500"/>
    </row>
    <row r="197" spans="1:11" ht="12.75">
      <c r="A197" s="163"/>
      <c r="B197" s="156" t="s">
        <v>321</v>
      </c>
      <c r="C197" s="950" t="s">
        <v>322</v>
      </c>
      <c r="D197" s="950"/>
      <c r="E197" s="950"/>
      <c r="F197" s="157">
        <v>0</v>
      </c>
      <c r="G197" s="157">
        <v>0</v>
      </c>
      <c r="H197" s="157">
        <v>0</v>
      </c>
      <c r="I197" s="157">
        <v>0</v>
      </c>
      <c r="J197" s="158">
        <f t="shared" si="2"/>
        <v>0</v>
      </c>
      <c r="K197" s="499"/>
    </row>
    <row r="198" spans="1:11" ht="12.75">
      <c r="A198" s="163"/>
      <c r="B198" s="156" t="s">
        <v>323</v>
      </c>
      <c r="C198" s="950" t="s">
        <v>324</v>
      </c>
      <c r="D198" s="950"/>
      <c r="E198" s="950"/>
      <c r="F198" s="157">
        <v>0</v>
      </c>
      <c r="G198" s="157">
        <v>0</v>
      </c>
      <c r="H198" s="157">
        <v>0</v>
      </c>
      <c r="I198" s="157">
        <v>0</v>
      </c>
      <c r="J198" s="158">
        <f t="shared" si="2"/>
        <v>0</v>
      </c>
      <c r="K198" s="499"/>
    </row>
    <row r="199" spans="1:11" ht="12.75">
      <c r="A199" s="163"/>
      <c r="B199" s="156" t="s">
        <v>518</v>
      </c>
      <c r="C199" s="950" t="s">
        <v>519</v>
      </c>
      <c r="D199" s="950"/>
      <c r="E199" s="950"/>
      <c r="F199" s="157">
        <v>0</v>
      </c>
      <c r="G199" s="157">
        <v>0</v>
      </c>
      <c r="H199" s="157">
        <v>0</v>
      </c>
      <c r="I199" s="157">
        <v>0</v>
      </c>
      <c r="J199" s="158">
        <f t="shared" si="2"/>
        <v>0</v>
      </c>
      <c r="K199" s="499"/>
    </row>
    <row r="200" spans="1:11" ht="12.75">
      <c r="A200" s="163"/>
      <c r="B200" s="163"/>
      <c r="C200" s="637"/>
      <c r="D200" s="639"/>
      <c r="E200" s="638"/>
      <c r="F200" s="184"/>
      <c r="G200" s="185"/>
      <c r="H200" s="185"/>
      <c r="I200" s="185"/>
      <c r="J200" s="184">
        <f t="shared" si="2"/>
        <v>0</v>
      </c>
      <c r="K200" s="504"/>
    </row>
    <row r="201" spans="1:11" s="187" customFormat="1" ht="15.75">
      <c r="A201" s="957" t="s">
        <v>429</v>
      </c>
      <c r="B201" s="957"/>
      <c r="C201" s="957"/>
      <c r="D201" s="957"/>
      <c r="E201" s="957"/>
      <c r="F201" s="186">
        <f>SUM(F173+F147+F131+F123+F87+F58+F41+F7)</f>
        <v>2335518691</v>
      </c>
      <c r="G201" s="186">
        <f>SUM(G173+G147+G131+G123+G87+G58+G41+G7)</f>
        <v>8397915</v>
      </c>
      <c r="H201" s="186">
        <f>SUM(H173+H147+H131+H123+H87+H58+H41+H7)</f>
        <v>36547514</v>
      </c>
      <c r="I201" s="186">
        <f>SUM(I173+I147+I131+I123+I87+I58+I41+I7)</f>
        <v>19084563</v>
      </c>
      <c r="J201" s="621">
        <f t="shared" si="2"/>
        <v>2399548683</v>
      </c>
      <c r="K201" s="505"/>
    </row>
  </sheetData>
  <sheetProtection/>
  <mergeCells count="54">
    <mergeCell ref="C17:E17"/>
    <mergeCell ref="C18:E18"/>
    <mergeCell ref="C29:E29"/>
    <mergeCell ref="C46:E46"/>
    <mergeCell ref="A5:E5"/>
    <mergeCell ref="B7:E7"/>
    <mergeCell ref="C8:E8"/>
    <mergeCell ref="C16:E16"/>
    <mergeCell ref="B41:E41"/>
    <mergeCell ref="C30:E30"/>
    <mergeCell ref="B131:E131"/>
    <mergeCell ref="C126:E126"/>
    <mergeCell ref="C128:E128"/>
    <mergeCell ref="D112:E112"/>
    <mergeCell ref="C130:E130"/>
    <mergeCell ref="C124:E124"/>
    <mergeCell ref="B58:E58"/>
    <mergeCell ref="D108:E108"/>
    <mergeCell ref="C61:E61"/>
    <mergeCell ref="D105:E105"/>
    <mergeCell ref="C59:E59"/>
    <mergeCell ref="C76:E76"/>
    <mergeCell ref="B87:E87"/>
    <mergeCell ref="C60:E60"/>
    <mergeCell ref="C148:E148"/>
    <mergeCell ref="C197:E197"/>
    <mergeCell ref="C133:E133"/>
    <mergeCell ref="C134:E134"/>
    <mergeCell ref="C44:E44"/>
    <mergeCell ref="C42:E42"/>
    <mergeCell ref="D120:E120"/>
    <mergeCell ref="B123:E123"/>
    <mergeCell ref="C45:E45"/>
    <mergeCell ref="D113:E113"/>
    <mergeCell ref="A201:E201"/>
    <mergeCell ref="C132:E132"/>
    <mergeCell ref="C135:E135"/>
    <mergeCell ref="C145:E145"/>
    <mergeCell ref="B147:E147"/>
    <mergeCell ref="C199:E199"/>
    <mergeCell ref="B173:E173"/>
    <mergeCell ref="C150:E150"/>
    <mergeCell ref="C151:E151"/>
    <mergeCell ref="C149:E149"/>
    <mergeCell ref="C198:E198"/>
    <mergeCell ref="C174:E174"/>
    <mergeCell ref="F1:J1"/>
    <mergeCell ref="B6:E6"/>
    <mergeCell ref="A2:J2"/>
    <mergeCell ref="C129:E129"/>
    <mergeCell ref="C43:E43"/>
    <mergeCell ref="C62:E62"/>
    <mergeCell ref="C65:E65"/>
    <mergeCell ref="C161:E161"/>
  </mergeCells>
  <printOptions horizontalCentered="1"/>
  <pageMargins left="0.5118110236220472" right="0.5118110236220472" top="0.8661417322834646" bottom="0.8661417322834646" header="0.31496062992125984" footer="0.31496062992125984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E41"/>
  <sheetViews>
    <sheetView zoomScalePageLayoutView="0" workbookViewId="0" topLeftCell="A1">
      <selection activeCell="C2" sqref="C2"/>
    </sheetView>
  </sheetViews>
  <sheetFormatPr defaultColWidth="8.875" defaultRowHeight="12.75"/>
  <cols>
    <col min="1" max="1" width="4.125" style="70" bestFit="1" customWidth="1"/>
    <col min="2" max="2" width="2.375" style="804" customWidth="1"/>
    <col min="3" max="3" width="59.25390625" style="804" customWidth="1"/>
    <col min="4" max="4" width="14.125" style="804" bestFit="1" customWidth="1"/>
    <col min="5" max="16384" width="8.875" style="804" customWidth="1"/>
  </cols>
  <sheetData>
    <row r="1" spans="3:5" ht="15">
      <c r="C1" s="994" t="s">
        <v>1134</v>
      </c>
      <c r="D1" s="1226"/>
      <c r="E1" s="66"/>
    </row>
    <row r="2" spans="3:5" ht="15">
      <c r="C2" s="2"/>
      <c r="D2" s="66"/>
      <c r="E2" s="66"/>
    </row>
    <row r="3" spans="2:4" ht="15">
      <c r="B3" s="1240" t="s">
        <v>945</v>
      </c>
      <c r="C3" s="1240"/>
      <c r="D3" s="1240"/>
    </row>
    <row r="4" spans="2:4" ht="15">
      <c r="B4" s="1240" t="s">
        <v>432</v>
      </c>
      <c r="C4" s="1240"/>
      <c r="D4" s="1240"/>
    </row>
    <row r="5" spans="2:4" ht="15">
      <c r="B5" s="805"/>
      <c r="C5" s="805"/>
      <c r="D5" s="805"/>
    </row>
    <row r="6" ht="15">
      <c r="D6" s="806"/>
    </row>
    <row r="7" spans="1:4" s="808" customFormat="1" ht="21" customHeight="1">
      <c r="A7" s="1241" t="s">
        <v>422</v>
      </c>
      <c r="B7" s="1243" t="s">
        <v>352</v>
      </c>
      <c r="C7" s="1243"/>
      <c r="D7" s="807" t="s">
        <v>363</v>
      </c>
    </row>
    <row r="8" spans="1:4" s="810" customFormat="1" ht="12">
      <c r="A8" s="1242"/>
      <c r="B8" s="1244" t="s">
        <v>416</v>
      </c>
      <c r="C8" s="1245"/>
      <c r="D8" s="809" t="s">
        <v>417</v>
      </c>
    </row>
    <row r="9" spans="1:4" s="808" customFormat="1" ht="25.5" customHeight="1">
      <c r="A9" s="809">
        <v>1</v>
      </c>
      <c r="B9" s="811" t="s">
        <v>946</v>
      </c>
      <c r="C9" s="812"/>
      <c r="D9" s="813"/>
    </row>
    <row r="10" spans="1:4" ht="15">
      <c r="A10" s="809">
        <v>2</v>
      </c>
      <c r="B10" s="814"/>
      <c r="C10" s="815" t="s">
        <v>415</v>
      </c>
      <c r="D10" s="816">
        <v>1000000</v>
      </c>
    </row>
    <row r="11" spans="1:4" ht="15">
      <c r="A11" s="809">
        <v>3</v>
      </c>
      <c r="B11" s="814"/>
      <c r="C11" s="815" t="s">
        <v>956</v>
      </c>
      <c r="D11" s="820">
        <v>-1000000</v>
      </c>
    </row>
    <row r="12" spans="1:4" s="808" customFormat="1" ht="15.75" customHeight="1">
      <c r="A12" s="809">
        <v>4</v>
      </c>
      <c r="B12" s="811" t="s">
        <v>355</v>
      </c>
      <c r="C12" s="811"/>
      <c r="D12" s="817">
        <f>SUM(D10:D11)</f>
        <v>0</v>
      </c>
    </row>
    <row r="13" spans="1:4" s="808" customFormat="1" ht="6" customHeight="1">
      <c r="A13" s="818"/>
      <c r="B13" s="819"/>
      <c r="C13" s="819"/>
      <c r="D13" s="813"/>
    </row>
    <row r="14" spans="1:4" s="808" customFormat="1" ht="25.5" customHeight="1">
      <c r="A14" s="809">
        <v>5</v>
      </c>
      <c r="B14" s="1239" t="s">
        <v>947</v>
      </c>
      <c r="C14" s="1239"/>
      <c r="D14" s="1239"/>
    </row>
    <row r="15" spans="1:4" s="808" customFormat="1" ht="30">
      <c r="A15" s="809">
        <v>6</v>
      </c>
      <c r="B15" s="814"/>
      <c r="C15" s="815" t="s">
        <v>948</v>
      </c>
      <c r="D15" s="816">
        <v>350000</v>
      </c>
    </row>
    <row r="16" spans="1:4" ht="15">
      <c r="A16" s="809">
        <v>7</v>
      </c>
      <c r="B16" s="69" t="s">
        <v>364</v>
      </c>
      <c r="C16" s="815" t="s">
        <v>997</v>
      </c>
      <c r="D16" s="816">
        <v>1841851</v>
      </c>
    </row>
    <row r="17" spans="1:4" ht="15">
      <c r="A17" s="809">
        <v>8</v>
      </c>
      <c r="B17" s="832"/>
      <c r="C17" s="833" t="s">
        <v>998</v>
      </c>
      <c r="D17" s="834">
        <f>SUM(D15:D16)</f>
        <v>2191851</v>
      </c>
    </row>
    <row r="18" spans="1:4" s="808" customFormat="1" ht="39.75" customHeight="1">
      <c r="A18" s="809">
        <v>9</v>
      </c>
      <c r="B18" s="814"/>
      <c r="C18" s="815" t="s">
        <v>949</v>
      </c>
      <c r="D18" s="816">
        <v>200000</v>
      </c>
    </row>
    <row r="19" spans="1:4" s="808" customFormat="1" ht="44.25" customHeight="1">
      <c r="A19" s="809">
        <v>10</v>
      </c>
      <c r="B19" s="814"/>
      <c r="C19" s="815" t="s">
        <v>1098</v>
      </c>
      <c r="D19" s="820">
        <v>-120000</v>
      </c>
    </row>
    <row r="20" spans="1:4" s="808" customFormat="1" ht="44.25" customHeight="1">
      <c r="A20" s="809">
        <v>11</v>
      </c>
      <c r="B20" s="814"/>
      <c r="C20" s="815" t="s">
        <v>1099</v>
      </c>
      <c r="D20" s="820">
        <v>-40000</v>
      </c>
    </row>
    <row r="21" spans="1:4" ht="30">
      <c r="A21" s="809">
        <v>12</v>
      </c>
      <c r="B21" s="832"/>
      <c r="C21" s="833" t="s">
        <v>999</v>
      </c>
      <c r="D21" s="834">
        <f>SUM(D18:D20)</f>
        <v>40000</v>
      </c>
    </row>
    <row r="22" spans="1:4" ht="15.75" customHeight="1">
      <c r="A22" s="809">
        <v>13</v>
      </c>
      <c r="B22" s="811" t="s">
        <v>355</v>
      </c>
      <c r="C22" s="811"/>
      <c r="D22" s="817">
        <f>SUM(D17+D21)</f>
        <v>2231851</v>
      </c>
    </row>
    <row r="23" spans="1:4" s="808" customFormat="1" ht="7.5" customHeight="1">
      <c r="A23" s="818"/>
      <c r="B23" s="819"/>
      <c r="C23" s="819"/>
      <c r="D23" s="813"/>
    </row>
    <row r="24" spans="1:4" s="808" customFormat="1" ht="25.5" customHeight="1">
      <c r="A24" s="809">
        <v>14</v>
      </c>
      <c r="B24" s="811" t="s">
        <v>950</v>
      </c>
      <c r="C24" s="812"/>
      <c r="D24" s="813"/>
    </row>
    <row r="25" spans="1:4" ht="15">
      <c r="A25" s="809">
        <v>15</v>
      </c>
      <c r="B25" s="814"/>
      <c r="C25" s="815" t="s">
        <v>951</v>
      </c>
      <c r="D25" s="816">
        <v>1000000</v>
      </c>
    </row>
    <row r="26" spans="1:4" ht="15">
      <c r="A26" s="809">
        <v>16</v>
      </c>
      <c r="B26" s="814"/>
      <c r="C26" s="815" t="s">
        <v>1120</v>
      </c>
      <c r="D26" s="820">
        <v>-1000000</v>
      </c>
    </row>
    <row r="27" spans="1:4" s="808" customFormat="1" ht="15.75" customHeight="1">
      <c r="A27" s="809">
        <v>17</v>
      </c>
      <c r="B27" s="811" t="s">
        <v>355</v>
      </c>
      <c r="C27" s="811"/>
      <c r="D27" s="817">
        <f>SUM(D25:D26)</f>
        <v>0</v>
      </c>
    </row>
    <row r="28" spans="1:4" s="808" customFormat="1" ht="7.5" customHeight="1">
      <c r="A28" s="818"/>
      <c r="B28" s="819"/>
      <c r="C28" s="819"/>
      <c r="D28" s="813"/>
    </row>
    <row r="29" spans="1:4" ht="14.25">
      <c r="A29" s="809">
        <v>18</v>
      </c>
      <c r="B29" s="1239" t="s">
        <v>966</v>
      </c>
      <c r="C29" s="1239"/>
      <c r="D29" s="1239"/>
    </row>
    <row r="30" spans="1:4" ht="15">
      <c r="A30" s="809">
        <v>19</v>
      </c>
      <c r="B30" s="69" t="s">
        <v>364</v>
      </c>
      <c r="C30" s="815" t="s">
        <v>994</v>
      </c>
      <c r="D30" s="816">
        <v>121735509</v>
      </c>
    </row>
    <row r="31" spans="1:4" ht="15">
      <c r="A31" s="809">
        <v>20</v>
      </c>
      <c r="B31" s="69" t="s">
        <v>364</v>
      </c>
      <c r="C31" s="815" t="s">
        <v>995</v>
      </c>
      <c r="D31" s="820">
        <v>-113802243</v>
      </c>
    </row>
    <row r="32" spans="1:4" ht="15">
      <c r="A32" s="809">
        <v>21</v>
      </c>
      <c r="B32" s="69" t="s">
        <v>364</v>
      </c>
      <c r="C32" s="815" t="s">
        <v>996</v>
      </c>
      <c r="D32" s="820">
        <f>-510500-7422766</f>
        <v>-7933266</v>
      </c>
    </row>
    <row r="33" spans="1:4" ht="14.25">
      <c r="A33" s="809">
        <v>22</v>
      </c>
      <c r="B33" s="811" t="s">
        <v>355</v>
      </c>
      <c r="C33" s="811"/>
      <c r="D33" s="817">
        <f>SUM(D30:D32)</f>
        <v>0</v>
      </c>
    </row>
    <row r="34" spans="1:4" s="808" customFormat="1" ht="7.5" customHeight="1">
      <c r="A34" s="818"/>
      <c r="B34" s="819"/>
      <c r="C34" s="819"/>
      <c r="D34" s="813"/>
    </row>
    <row r="35" spans="1:4" ht="15.75" customHeight="1">
      <c r="A35" s="809">
        <v>23</v>
      </c>
      <c r="B35" s="811" t="s">
        <v>952</v>
      </c>
      <c r="C35" s="811"/>
      <c r="D35" s="817">
        <f>SUM(D12,D33,D22,D27)</f>
        <v>2231851</v>
      </c>
    </row>
    <row r="36" spans="1:4" s="808" customFormat="1" ht="8.25" customHeight="1">
      <c r="A36" s="818"/>
      <c r="B36" s="819"/>
      <c r="C36" s="819"/>
      <c r="D36" s="813"/>
    </row>
    <row r="37" spans="1:4" s="808" customFormat="1" ht="25.5" customHeight="1">
      <c r="A37" s="809">
        <v>24</v>
      </c>
      <c r="B37" s="1239" t="s">
        <v>953</v>
      </c>
      <c r="C37" s="1239"/>
      <c r="D37" s="1239"/>
    </row>
    <row r="38" spans="1:4" ht="30">
      <c r="A38" s="809">
        <v>25</v>
      </c>
      <c r="B38" s="69" t="s">
        <v>364</v>
      </c>
      <c r="C38" s="815" t="s">
        <v>1000</v>
      </c>
      <c r="D38" s="816">
        <v>15055017</v>
      </c>
    </row>
    <row r="39" spans="1:4" ht="15.75" customHeight="1">
      <c r="A39" s="809">
        <v>26</v>
      </c>
      <c r="B39" s="811" t="s">
        <v>954</v>
      </c>
      <c r="C39" s="811"/>
      <c r="D39" s="817">
        <f>SUM(D38:D38)</f>
        <v>15055017</v>
      </c>
    </row>
    <row r="40" spans="1:4" s="808" customFormat="1" ht="6.75" customHeight="1">
      <c r="A40" s="818"/>
      <c r="B40" s="819"/>
      <c r="C40" s="819"/>
      <c r="D40" s="813"/>
    </row>
    <row r="41" spans="1:4" ht="15.75" customHeight="1">
      <c r="A41" s="809">
        <v>27</v>
      </c>
      <c r="B41" s="811" t="s">
        <v>955</v>
      </c>
      <c r="C41" s="811"/>
      <c r="D41" s="817">
        <f>SUM(D39,D35)</f>
        <v>17286868</v>
      </c>
    </row>
  </sheetData>
  <sheetProtection/>
  <mergeCells count="9">
    <mergeCell ref="B14:D14"/>
    <mergeCell ref="B37:D37"/>
    <mergeCell ref="C1:D1"/>
    <mergeCell ref="B3:D3"/>
    <mergeCell ref="B4:D4"/>
    <mergeCell ref="A7:A8"/>
    <mergeCell ref="B7:C7"/>
    <mergeCell ref="B8:C8"/>
    <mergeCell ref="B29:D2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IV53"/>
  <sheetViews>
    <sheetView zoomScalePageLayoutView="0" workbookViewId="0" topLeftCell="A1">
      <selection activeCell="A2" sqref="A2:K2"/>
    </sheetView>
  </sheetViews>
  <sheetFormatPr defaultColWidth="9.00390625" defaultRowHeight="12.75"/>
  <cols>
    <col min="1" max="1" width="8.875" style="856" bestFit="1" customWidth="1"/>
    <col min="2" max="2" width="8.875" style="857" customWidth="1"/>
    <col min="3" max="3" width="69.25390625" style="857" customWidth="1"/>
    <col min="4" max="4" width="9.75390625" style="857" bestFit="1" customWidth="1"/>
    <col min="5" max="5" width="10.375" style="857" bestFit="1" customWidth="1"/>
    <col min="6" max="6" width="16.125" style="857" bestFit="1" customWidth="1"/>
    <col min="7" max="7" width="9.75390625" style="857" bestFit="1" customWidth="1"/>
    <col min="8" max="8" width="11.25390625" style="857" customWidth="1"/>
    <col min="9" max="9" width="9.625" style="857" customWidth="1"/>
    <col min="10" max="10" width="11.25390625" style="857" customWidth="1"/>
    <col min="11" max="12" width="16.125" style="857" bestFit="1" customWidth="1"/>
    <col min="13" max="13" width="9.125" style="857" customWidth="1"/>
    <col min="14" max="14" width="12.375" style="857" bestFit="1" customWidth="1"/>
    <col min="15" max="16384" width="9.125" style="857" customWidth="1"/>
  </cols>
  <sheetData>
    <row r="1" spans="9:13" ht="15" customHeight="1">
      <c r="I1" s="858" t="s">
        <v>1135</v>
      </c>
      <c r="J1" s="859"/>
      <c r="K1" s="859"/>
      <c r="L1" s="860"/>
      <c r="M1" s="859"/>
    </row>
    <row r="2" spans="1:256" ht="15.75">
      <c r="A2" s="1255" t="s">
        <v>1005</v>
      </c>
      <c r="B2" s="1255"/>
      <c r="C2" s="1255"/>
      <c r="D2" s="1255"/>
      <c r="E2" s="1255"/>
      <c r="F2" s="1255"/>
      <c r="G2" s="1255"/>
      <c r="H2" s="1255"/>
      <c r="I2" s="1255"/>
      <c r="J2" s="1255"/>
      <c r="K2" s="1255"/>
      <c r="L2" s="861"/>
      <c r="M2" s="862"/>
      <c r="N2" s="862"/>
      <c r="O2" s="862"/>
      <c r="P2" s="862"/>
      <c r="Q2" s="862"/>
      <c r="R2" s="862"/>
      <c r="S2" s="862"/>
      <c r="T2" s="862"/>
      <c r="U2" s="862"/>
      <c r="V2" s="862"/>
      <c r="W2" s="862"/>
      <c r="X2" s="862"/>
      <c r="Y2" s="862"/>
      <c r="Z2" s="862"/>
      <c r="AA2" s="862"/>
      <c r="AB2" s="862"/>
      <c r="AC2" s="862"/>
      <c r="AD2" s="862"/>
      <c r="AE2" s="862"/>
      <c r="AF2" s="862"/>
      <c r="AG2" s="862"/>
      <c r="AH2" s="862"/>
      <c r="AI2" s="862"/>
      <c r="AJ2" s="862"/>
      <c r="AK2" s="862"/>
      <c r="AL2" s="862"/>
      <c r="AM2" s="862"/>
      <c r="AN2" s="862"/>
      <c r="AO2" s="862"/>
      <c r="AP2" s="862"/>
      <c r="AQ2" s="862"/>
      <c r="AR2" s="862"/>
      <c r="AS2" s="862"/>
      <c r="AT2" s="862"/>
      <c r="AU2" s="862"/>
      <c r="AV2" s="862"/>
      <c r="AW2" s="862"/>
      <c r="AX2" s="862"/>
      <c r="AY2" s="862"/>
      <c r="AZ2" s="862"/>
      <c r="BA2" s="862"/>
      <c r="BB2" s="862"/>
      <c r="BC2" s="862"/>
      <c r="BD2" s="862"/>
      <c r="BE2" s="862"/>
      <c r="BF2" s="862"/>
      <c r="BG2" s="862"/>
      <c r="BH2" s="862"/>
      <c r="BI2" s="862"/>
      <c r="BJ2" s="862"/>
      <c r="BK2" s="862"/>
      <c r="BL2" s="862"/>
      <c r="BM2" s="862"/>
      <c r="BN2" s="862"/>
      <c r="BO2" s="862"/>
      <c r="BP2" s="862"/>
      <c r="BQ2" s="862"/>
      <c r="BR2" s="862"/>
      <c r="BS2" s="862"/>
      <c r="BT2" s="862"/>
      <c r="BU2" s="862"/>
      <c r="BV2" s="862"/>
      <c r="BW2" s="862"/>
      <c r="BX2" s="862"/>
      <c r="BY2" s="862"/>
      <c r="BZ2" s="862"/>
      <c r="CA2" s="862"/>
      <c r="CB2" s="862"/>
      <c r="CC2" s="862"/>
      <c r="CD2" s="862"/>
      <c r="CE2" s="862"/>
      <c r="CF2" s="862"/>
      <c r="CG2" s="862"/>
      <c r="CH2" s="862"/>
      <c r="CI2" s="862"/>
      <c r="CJ2" s="862"/>
      <c r="CK2" s="862"/>
      <c r="CL2" s="862"/>
      <c r="CM2" s="862"/>
      <c r="CN2" s="862"/>
      <c r="CO2" s="862"/>
      <c r="CP2" s="862"/>
      <c r="CQ2" s="862"/>
      <c r="CR2" s="862"/>
      <c r="CS2" s="862"/>
      <c r="CT2" s="862"/>
      <c r="CU2" s="862"/>
      <c r="CV2" s="862"/>
      <c r="CW2" s="862"/>
      <c r="CX2" s="862"/>
      <c r="CY2" s="862"/>
      <c r="CZ2" s="862"/>
      <c r="DA2" s="862"/>
      <c r="DB2" s="862"/>
      <c r="DC2" s="862"/>
      <c r="DD2" s="862"/>
      <c r="DE2" s="862"/>
      <c r="DF2" s="862"/>
      <c r="DG2" s="862"/>
      <c r="DH2" s="862"/>
      <c r="DI2" s="862"/>
      <c r="DJ2" s="862"/>
      <c r="DK2" s="862"/>
      <c r="DL2" s="862"/>
      <c r="DM2" s="862"/>
      <c r="DN2" s="862"/>
      <c r="DO2" s="862"/>
      <c r="DP2" s="862"/>
      <c r="DQ2" s="862"/>
      <c r="DR2" s="862"/>
      <c r="DS2" s="862"/>
      <c r="DT2" s="862"/>
      <c r="DU2" s="862"/>
      <c r="DV2" s="862"/>
      <c r="DW2" s="862"/>
      <c r="DX2" s="862"/>
      <c r="DY2" s="862"/>
      <c r="DZ2" s="862"/>
      <c r="EA2" s="862"/>
      <c r="EB2" s="862"/>
      <c r="EC2" s="862"/>
      <c r="ED2" s="862"/>
      <c r="EE2" s="862"/>
      <c r="EF2" s="862"/>
      <c r="EG2" s="862"/>
      <c r="EH2" s="862"/>
      <c r="EI2" s="862"/>
      <c r="EJ2" s="862"/>
      <c r="EK2" s="862"/>
      <c r="EL2" s="862"/>
      <c r="EM2" s="862"/>
      <c r="EN2" s="862"/>
      <c r="EO2" s="862"/>
      <c r="EP2" s="862"/>
      <c r="EQ2" s="862"/>
      <c r="ER2" s="862"/>
      <c r="ES2" s="862"/>
      <c r="ET2" s="862"/>
      <c r="EU2" s="862"/>
      <c r="EV2" s="862"/>
      <c r="EW2" s="862"/>
      <c r="EX2" s="862"/>
      <c r="EY2" s="862"/>
      <c r="EZ2" s="862"/>
      <c r="FA2" s="862"/>
      <c r="FB2" s="862"/>
      <c r="FC2" s="862"/>
      <c r="FD2" s="862"/>
      <c r="FE2" s="862"/>
      <c r="FF2" s="862"/>
      <c r="FG2" s="862"/>
      <c r="FH2" s="862"/>
      <c r="FI2" s="862"/>
      <c r="FJ2" s="862"/>
      <c r="FK2" s="862"/>
      <c r="FL2" s="862"/>
      <c r="FM2" s="862"/>
      <c r="FN2" s="862"/>
      <c r="FO2" s="862"/>
      <c r="FP2" s="862"/>
      <c r="FQ2" s="862"/>
      <c r="FR2" s="862"/>
      <c r="FS2" s="862"/>
      <c r="FT2" s="862"/>
      <c r="FU2" s="862"/>
      <c r="FV2" s="862"/>
      <c r="FW2" s="862"/>
      <c r="FX2" s="862"/>
      <c r="FY2" s="862"/>
      <c r="FZ2" s="862"/>
      <c r="GA2" s="862"/>
      <c r="GB2" s="862"/>
      <c r="GC2" s="862"/>
      <c r="GD2" s="862"/>
      <c r="GE2" s="862"/>
      <c r="GF2" s="862"/>
      <c r="GG2" s="862"/>
      <c r="GH2" s="862"/>
      <c r="GI2" s="862"/>
      <c r="GJ2" s="862"/>
      <c r="GK2" s="862"/>
      <c r="GL2" s="862"/>
      <c r="GM2" s="862"/>
      <c r="GN2" s="862"/>
      <c r="GO2" s="862"/>
      <c r="GP2" s="862"/>
      <c r="GQ2" s="862"/>
      <c r="GR2" s="862"/>
      <c r="GS2" s="862"/>
      <c r="GT2" s="862"/>
      <c r="GU2" s="862"/>
      <c r="GV2" s="862"/>
      <c r="GW2" s="862"/>
      <c r="GX2" s="862"/>
      <c r="GY2" s="862"/>
      <c r="GZ2" s="862"/>
      <c r="HA2" s="862"/>
      <c r="HB2" s="862"/>
      <c r="HC2" s="862"/>
      <c r="HD2" s="862"/>
      <c r="HE2" s="862"/>
      <c r="HF2" s="862"/>
      <c r="HG2" s="862"/>
      <c r="HH2" s="862"/>
      <c r="HI2" s="862"/>
      <c r="HJ2" s="862"/>
      <c r="HK2" s="862"/>
      <c r="HL2" s="862"/>
      <c r="HM2" s="862"/>
      <c r="HN2" s="862"/>
      <c r="HO2" s="862"/>
      <c r="HP2" s="862"/>
      <c r="HQ2" s="862"/>
      <c r="HR2" s="862"/>
      <c r="HS2" s="862"/>
      <c r="HT2" s="862"/>
      <c r="HU2" s="862"/>
      <c r="HV2" s="862"/>
      <c r="HW2" s="862"/>
      <c r="HX2" s="862"/>
      <c r="HY2" s="862"/>
      <c r="HZ2" s="862"/>
      <c r="IA2" s="862"/>
      <c r="IB2" s="862"/>
      <c r="IC2" s="862"/>
      <c r="ID2" s="862"/>
      <c r="IE2" s="862"/>
      <c r="IF2" s="862"/>
      <c r="IG2" s="862"/>
      <c r="IH2" s="862"/>
      <c r="II2" s="862"/>
      <c r="IJ2" s="862"/>
      <c r="IK2" s="862"/>
      <c r="IL2" s="862"/>
      <c r="IM2" s="862"/>
      <c r="IN2" s="862"/>
      <c r="IO2" s="862"/>
      <c r="IP2" s="862"/>
      <c r="IQ2" s="862"/>
      <c r="IR2" s="862"/>
      <c r="IS2" s="862"/>
      <c r="IT2" s="862"/>
      <c r="IU2" s="862"/>
      <c r="IV2" s="862"/>
    </row>
    <row r="3" spans="1:256" ht="15.75">
      <c r="A3" s="1256" t="s">
        <v>1006</v>
      </c>
      <c r="B3" s="1256"/>
      <c r="C3" s="1256"/>
      <c r="D3" s="1256"/>
      <c r="E3" s="1256"/>
      <c r="F3" s="1256"/>
      <c r="G3" s="1256"/>
      <c r="H3" s="1256"/>
      <c r="I3" s="1256"/>
      <c r="J3" s="1256"/>
      <c r="K3" s="1256"/>
      <c r="L3" s="863"/>
      <c r="M3" s="862"/>
      <c r="N3" s="862"/>
      <c r="O3" s="862"/>
      <c r="P3" s="862"/>
      <c r="Q3" s="862"/>
      <c r="R3" s="862"/>
      <c r="S3" s="862"/>
      <c r="T3" s="862"/>
      <c r="U3" s="862"/>
      <c r="V3" s="862"/>
      <c r="W3" s="862"/>
      <c r="X3" s="862"/>
      <c r="Y3" s="862"/>
      <c r="Z3" s="862"/>
      <c r="AA3" s="862"/>
      <c r="AB3" s="862"/>
      <c r="AC3" s="862"/>
      <c r="AD3" s="862"/>
      <c r="AE3" s="862"/>
      <c r="AF3" s="862"/>
      <c r="AG3" s="862"/>
      <c r="AH3" s="862"/>
      <c r="AI3" s="862"/>
      <c r="AJ3" s="862"/>
      <c r="AK3" s="862"/>
      <c r="AL3" s="862"/>
      <c r="AM3" s="862"/>
      <c r="AN3" s="862"/>
      <c r="AO3" s="862"/>
      <c r="AP3" s="862"/>
      <c r="AQ3" s="862"/>
      <c r="AR3" s="862"/>
      <c r="AS3" s="862"/>
      <c r="AT3" s="862"/>
      <c r="AU3" s="862"/>
      <c r="AV3" s="862"/>
      <c r="AW3" s="862"/>
      <c r="AX3" s="862"/>
      <c r="AY3" s="862"/>
      <c r="AZ3" s="862"/>
      <c r="BA3" s="862"/>
      <c r="BB3" s="862"/>
      <c r="BC3" s="862"/>
      <c r="BD3" s="862"/>
      <c r="BE3" s="862"/>
      <c r="BF3" s="862"/>
      <c r="BG3" s="862"/>
      <c r="BH3" s="862"/>
      <c r="BI3" s="862"/>
      <c r="BJ3" s="862"/>
      <c r="BK3" s="862"/>
      <c r="BL3" s="862"/>
      <c r="BM3" s="862"/>
      <c r="BN3" s="862"/>
      <c r="BO3" s="862"/>
      <c r="BP3" s="862"/>
      <c r="BQ3" s="862"/>
      <c r="BR3" s="862"/>
      <c r="BS3" s="862"/>
      <c r="BT3" s="862"/>
      <c r="BU3" s="862"/>
      <c r="BV3" s="862"/>
      <c r="BW3" s="862"/>
      <c r="BX3" s="862"/>
      <c r="BY3" s="862"/>
      <c r="BZ3" s="862"/>
      <c r="CA3" s="862"/>
      <c r="CB3" s="862"/>
      <c r="CC3" s="862"/>
      <c r="CD3" s="862"/>
      <c r="CE3" s="862"/>
      <c r="CF3" s="862"/>
      <c r="CG3" s="862"/>
      <c r="CH3" s="862"/>
      <c r="CI3" s="862"/>
      <c r="CJ3" s="862"/>
      <c r="CK3" s="862"/>
      <c r="CL3" s="862"/>
      <c r="CM3" s="862"/>
      <c r="CN3" s="862"/>
      <c r="CO3" s="862"/>
      <c r="CP3" s="862"/>
      <c r="CQ3" s="862"/>
      <c r="CR3" s="862"/>
      <c r="CS3" s="862"/>
      <c r="CT3" s="862"/>
      <c r="CU3" s="862"/>
      <c r="CV3" s="862"/>
      <c r="CW3" s="862"/>
      <c r="CX3" s="862"/>
      <c r="CY3" s="862"/>
      <c r="CZ3" s="862"/>
      <c r="DA3" s="862"/>
      <c r="DB3" s="862"/>
      <c r="DC3" s="862"/>
      <c r="DD3" s="862"/>
      <c r="DE3" s="862"/>
      <c r="DF3" s="862"/>
      <c r="DG3" s="862"/>
      <c r="DH3" s="862"/>
      <c r="DI3" s="862"/>
      <c r="DJ3" s="862"/>
      <c r="DK3" s="862"/>
      <c r="DL3" s="862"/>
      <c r="DM3" s="862"/>
      <c r="DN3" s="862"/>
      <c r="DO3" s="862"/>
      <c r="DP3" s="862"/>
      <c r="DQ3" s="862"/>
      <c r="DR3" s="862"/>
      <c r="DS3" s="862"/>
      <c r="DT3" s="862"/>
      <c r="DU3" s="862"/>
      <c r="DV3" s="862"/>
      <c r="DW3" s="862"/>
      <c r="DX3" s="862"/>
      <c r="DY3" s="862"/>
      <c r="DZ3" s="862"/>
      <c r="EA3" s="862"/>
      <c r="EB3" s="862"/>
      <c r="EC3" s="862"/>
      <c r="ED3" s="862"/>
      <c r="EE3" s="862"/>
      <c r="EF3" s="862"/>
      <c r="EG3" s="862"/>
      <c r="EH3" s="862"/>
      <c r="EI3" s="862"/>
      <c r="EJ3" s="862"/>
      <c r="EK3" s="862"/>
      <c r="EL3" s="862"/>
      <c r="EM3" s="862"/>
      <c r="EN3" s="862"/>
      <c r="EO3" s="862"/>
      <c r="EP3" s="862"/>
      <c r="EQ3" s="862"/>
      <c r="ER3" s="862"/>
      <c r="ES3" s="862"/>
      <c r="ET3" s="862"/>
      <c r="EU3" s="862"/>
      <c r="EV3" s="862"/>
      <c r="EW3" s="862"/>
      <c r="EX3" s="862"/>
      <c r="EY3" s="862"/>
      <c r="EZ3" s="862"/>
      <c r="FA3" s="862"/>
      <c r="FB3" s="862"/>
      <c r="FC3" s="862"/>
      <c r="FD3" s="862"/>
      <c r="FE3" s="862"/>
      <c r="FF3" s="862"/>
      <c r="FG3" s="862"/>
      <c r="FH3" s="862"/>
      <c r="FI3" s="862"/>
      <c r="FJ3" s="862"/>
      <c r="FK3" s="862"/>
      <c r="FL3" s="862"/>
      <c r="FM3" s="862"/>
      <c r="FN3" s="862"/>
      <c r="FO3" s="862"/>
      <c r="FP3" s="862"/>
      <c r="FQ3" s="862"/>
      <c r="FR3" s="862"/>
      <c r="FS3" s="862"/>
      <c r="FT3" s="862"/>
      <c r="FU3" s="862"/>
      <c r="FV3" s="862"/>
      <c r="FW3" s="862"/>
      <c r="FX3" s="862"/>
      <c r="FY3" s="862"/>
      <c r="FZ3" s="862"/>
      <c r="GA3" s="862"/>
      <c r="GB3" s="862"/>
      <c r="GC3" s="862"/>
      <c r="GD3" s="862"/>
      <c r="GE3" s="862"/>
      <c r="GF3" s="862"/>
      <c r="GG3" s="862"/>
      <c r="GH3" s="862"/>
      <c r="GI3" s="862"/>
      <c r="GJ3" s="862"/>
      <c r="GK3" s="862"/>
      <c r="GL3" s="862"/>
      <c r="GM3" s="862"/>
      <c r="GN3" s="862"/>
      <c r="GO3" s="862"/>
      <c r="GP3" s="862"/>
      <c r="GQ3" s="862"/>
      <c r="GR3" s="862"/>
      <c r="GS3" s="862"/>
      <c r="GT3" s="862"/>
      <c r="GU3" s="862"/>
      <c r="GV3" s="862"/>
      <c r="GW3" s="862"/>
      <c r="GX3" s="862"/>
      <c r="GY3" s="862"/>
      <c r="GZ3" s="862"/>
      <c r="HA3" s="862"/>
      <c r="HB3" s="862"/>
      <c r="HC3" s="862"/>
      <c r="HD3" s="862"/>
      <c r="HE3" s="862"/>
      <c r="HF3" s="862"/>
      <c r="HG3" s="862"/>
      <c r="HH3" s="862"/>
      <c r="HI3" s="862"/>
      <c r="HJ3" s="862"/>
      <c r="HK3" s="862"/>
      <c r="HL3" s="862"/>
      <c r="HM3" s="862"/>
      <c r="HN3" s="862"/>
      <c r="HO3" s="862"/>
      <c r="HP3" s="862"/>
      <c r="HQ3" s="862"/>
      <c r="HR3" s="862"/>
      <c r="HS3" s="862"/>
      <c r="HT3" s="862"/>
      <c r="HU3" s="862"/>
      <c r="HV3" s="862"/>
      <c r="HW3" s="862"/>
      <c r="HX3" s="862"/>
      <c r="HY3" s="862"/>
      <c r="HZ3" s="862"/>
      <c r="IA3" s="862"/>
      <c r="IB3" s="862"/>
      <c r="IC3" s="862"/>
      <c r="ID3" s="862"/>
      <c r="IE3" s="862"/>
      <c r="IF3" s="862"/>
      <c r="IG3" s="862"/>
      <c r="IH3" s="862"/>
      <c r="II3" s="862"/>
      <c r="IJ3" s="862"/>
      <c r="IK3" s="862"/>
      <c r="IL3" s="862"/>
      <c r="IM3" s="862"/>
      <c r="IN3" s="862"/>
      <c r="IO3" s="862"/>
      <c r="IP3" s="862"/>
      <c r="IQ3" s="862"/>
      <c r="IR3" s="862"/>
      <c r="IS3" s="862"/>
      <c r="IT3" s="862"/>
      <c r="IU3" s="862"/>
      <c r="IV3" s="862"/>
    </row>
    <row r="4" ht="13.5" thickBot="1"/>
    <row r="5" spans="1:256" ht="12.75">
      <c r="A5" s="1257" t="s">
        <v>1007</v>
      </c>
      <c r="B5" s="1258"/>
      <c r="C5" s="1259"/>
      <c r="D5" s="1257" t="s">
        <v>431</v>
      </c>
      <c r="E5" s="1258"/>
      <c r="F5" s="1260"/>
      <c r="G5" s="1261" t="s">
        <v>1008</v>
      </c>
      <c r="H5" s="1262"/>
      <c r="I5" s="1262"/>
      <c r="J5" s="1263"/>
      <c r="K5" s="1264"/>
      <c r="L5" s="1246" t="s">
        <v>1009</v>
      </c>
      <c r="M5" s="864"/>
      <c r="N5" s="864" t="s">
        <v>1010</v>
      </c>
      <c r="O5" s="864"/>
      <c r="P5" s="864"/>
      <c r="Q5" s="864"/>
      <c r="R5" s="864"/>
      <c r="S5" s="864"/>
      <c r="T5" s="864"/>
      <c r="U5" s="864"/>
      <c r="V5" s="864"/>
      <c r="W5" s="864"/>
      <c r="X5" s="864"/>
      <c r="Y5" s="864"/>
      <c r="Z5" s="864"/>
      <c r="AA5" s="864"/>
      <c r="AB5" s="864"/>
      <c r="AC5" s="864"/>
      <c r="AD5" s="864"/>
      <c r="AE5" s="864"/>
      <c r="AF5" s="864"/>
      <c r="AG5" s="864"/>
      <c r="AH5" s="864"/>
      <c r="AI5" s="864"/>
      <c r="AJ5" s="864"/>
      <c r="AK5" s="864"/>
      <c r="AL5" s="864"/>
      <c r="AM5" s="864"/>
      <c r="AN5" s="864"/>
      <c r="AO5" s="864"/>
      <c r="AP5" s="864"/>
      <c r="AQ5" s="864"/>
      <c r="AR5" s="864"/>
      <c r="AS5" s="864"/>
      <c r="AT5" s="864"/>
      <c r="AU5" s="864"/>
      <c r="AV5" s="864"/>
      <c r="AW5" s="864"/>
      <c r="AX5" s="864"/>
      <c r="AY5" s="864"/>
      <c r="AZ5" s="864"/>
      <c r="BA5" s="864"/>
      <c r="BB5" s="864"/>
      <c r="BC5" s="864"/>
      <c r="BD5" s="864"/>
      <c r="BE5" s="864"/>
      <c r="BF5" s="864"/>
      <c r="BG5" s="864"/>
      <c r="BH5" s="864"/>
      <c r="BI5" s="864"/>
      <c r="BJ5" s="864"/>
      <c r="BK5" s="864"/>
      <c r="BL5" s="864"/>
      <c r="BM5" s="864"/>
      <c r="BN5" s="864"/>
      <c r="BO5" s="864"/>
      <c r="BP5" s="864"/>
      <c r="BQ5" s="864"/>
      <c r="BR5" s="864"/>
      <c r="BS5" s="864"/>
      <c r="BT5" s="864"/>
      <c r="BU5" s="864"/>
      <c r="BV5" s="864"/>
      <c r="BW5" s="864"/>
      <c r="BX5" s="864"/>
      <c r="BY5" s="864"/>
      <c r="BZ5" s="864"/>
      <c r="CA5" s="864"/>
      <c r="CB5" s="864"/>
      <c r="CC5" s="864"/>
      <c r="CD5" s="864"/>
      <c r="CE5" s="864"/>
      <c r="CF5" s="864"/>
      <c r="CG5" s="864"/>
      <c r="CH5" s="864"/>
      <c r="CI5" s="864"/>
      <c r="CJ5" s="864"/>
      <c r="CK5" s="864"/>
      <c r="CL5" s="864"/>
      <c r="CM5" s="864"/>
      <c r="CN5" s="864"/>
      <c r="CO5" s="864"/>
      <c r="CP5" s="864"/>
      <c r="CQ5" s="864"/>
      <c r="CR5" s="864"/>
      <c r="CS5" s="864"/>
      <c r="CT5" s="864"/>
      <c r="CU5" s="864"/>
      <c r="CV5" s="864"/>
      <c r="CW5" s="864"/>
      <c r="CX5" s="864"/>
      <c r="CY5" s="864"/>
      <c r="CZ5" s="864"/>
      <c r="DA5" s="864"/>
      <c r="DB5" s="864"/>
      <c r="DC5" s="864"/>
      <c r="DD5" s="864"/>
      <c r="DE5" s="864"/>
      <c r="DF5" s="864"/>
      <c r="DG5" s="864"/>
      <c r="DH5" s="864"/>
      <c r="DI5" s="864"/>
      <c r="DJ5" s="864"/>
      <c r="DK5" s="864"/>
      <c r="DL5" s="864"/>
      <c r="DM5" s="864"/>
      <c r="DN5" s="864"/>
      <c r="DO5" s="864"/>
      <c r="DP5" s="864"/>
      <c r="DQ5" s="864"/>
      <c r="DR5" s="864"/>
      <c r="DS5" s="864"/>
      <c r="DT5" s="864"/>
      <c r="DU5" s="864"/>
      <c r="DV5" s="864"/>
      <c r="DW5" s="864"/>
      <c r="DX5" s="864"/>
      <c r="DY5" s="864"/>
      <c r="DZ5" s="864"/>
      <c r="EA5" s="864"/>
      <c r="EB5" s="864"/>
      <c r="EC5" s="864"/>
      <c r="ED5" s="864"/>
      <c r="EE5" s="864"/>
      <c r="EF5" s="864"/>
      <c r="EG5" s="864"/>
      <c r="EH5" s="864"/>
      <c r="EI5" s="864"/>
      <c r="EJ5" s="864"/>
      <c r="EK5" s="864"/>
      <c r="EL5" s="864"/>
      <c r="EM5" s="864"/>
      <c r="EN5" s="864"/>
      <c r="EO5" s="864"/>
      <c r="EP5" s="864"/>
      <c r="EQ5" s="864"/>
      <c r="ER5" s="864"/>
      <c r="ES5" s="864"/>
      <c r="ET5" s="864"/>
      <c r="EU5" s="864"/>
      <c r="EV5" s="864"/>
      <c r="EW5" s="864"/>
      <c r="EX5" s="864"/>
      <c r="EY5" s="864"/>
      <c r="EZ5" s="864"/>
      <c r="FA5" s="864"/>
      <c r="FB5" s="864"/>
      <c r="FC5" s="864"/>
      <c r="FD5" s="864"/>
      <c r="FE5" s="864"/>
      <c r="FF5" s="864"/>
      <c r="FG5" s="864"/>
      <c r="FH5" s="864"/>
      <c r="FI5" s="864"/>
      <c r="FJ5" s="864"/>
      <c r="FK5" s="864"/>
      <c r="FL5" s="864"/>
      <c r="FM5" s="864"/>
      <c r="FN5" s="864"/>
      <c r="FO5" s="864"/>
      <c r="FP5" s="864"/>
      <c r="FQ5" s="864"/>
      <c r="FR5" s="864"/>
      <c r="FS5" s="864"/>
      <c r="FT5" s="864"/>
      <c r="FU5" s="864"/>
      <c r="FV5" s="864"/>
      <c r="FW5" s="864"/>
      <c r="FX5" s="864"/>
      <c r="FY5" s="864"/>
      <c r="FZ5" s="864"/>
      <c r="GA5" s="864"/>
      <c r="GB5" s="864"/>
      <c r="GC5" s="864"/>
      <c r="GD5" s="864"/>
      <c r="GE5" s="864"/>
      <c r="GF5" s="864"/>
      <c r="GG5" s="864"/>
      <c r="GH5" s="864"/>
      <c r="GI5" s="864"/>
      <c r="GJ5" s="864"/>
      <c r="GK5" s="864"/>
      <c r="GL5" s="864"/>
      <c r="GM5" s="864"/>
      <c r="GN5" s="864"/>
      <c r="GO5" s="864"/>
      <c r="GP5" s="864"/>
      <c r="GQ5" s="864"/>
      <c r="GR5" s="864"/>
      <c r="GS5" s="864"/>
      <c r="GT5" s="864"/>
      <c r="GU5" s="864"/>
      <c r="GV5" s="864"/>
      <c r="GW5" s="864"/>
      <c r="GX5" s="864"/>
      <c r="GY5" s="864"/>
      <c r="GZ5" s="864"/>
      <c r="HA5" s="864"/>
      <c r="HB5" s="864"/>
      <c r="HC5" s="864"/>
      <c r="HD5" s="864"/>
      <c r="HE5" s="864"/>
      <c r="HF5" s="864"/>
      <c r="HG5" s="864"/>
      <c r="HH5" s="864"/>
      <c r="HI5" s="864"/>
      <c r="HJ5" s="864"/>
      <c r="HK5" s="864"/>
      <c r="HL5" s="864"/>
      <c r="HM5" s="864"/>
      <c r="HN5" s="864"/>
      <c r="HO5" s="864"/>
      <c r="HP5" s="864"/>
      <c r="HQ5" s="864"/>
      <c r="HR5" s="864"/>
      <c r="HS5" s="864"/>
      <c r="HT5" s="864"/>
      <c r="HU5" s="864"/>
      <c r="HV5" s="864"/>
      <c r="HW5" s="864"/>
      <c r="HX5" s="864"/>
      <c r="HY5" s="864"/>
      <c r="HZ5" s="864"/>
      <c r="IA5" s="864"/>
      <c r="IB5" s="864"/>
      <c r="IC5" s="864"/>
      <c r="ID5" s="864"/>
      <c r="IE5" s="864"/>
      <c r="IF5" s="864"/>
      <c r="IG5" s="864"/>
      <c r="IH5" s="864"/>
      <c r="II5" s="864"/>
      <c r="IJ5" s="864"/>
      <c r="IK5" s="864"/>
      <c r="IL5" s="864"/>
      <c r="IM5" s="864"/>
      <c r="IN5" s="864"/>
      <c r="IO5" s="864"/>
      <c r="IP5" s="864"/>
      <c r="IQ5" s="864"/>
      <c r="IR5" s="864"/>
      <c r="IS5" s="864"/>
      <c r="IT5" s="864"/>
      <c r="IU5" s="864"/>
      <c r="IV5" s="864"/>
    </row>
    <row r="6" spans="1:256" ht="25.5">
      <c r="A6" s="1248" t="s">
        <v>1011</v>
      </c>
      <c r="B6" s="1249"/>
      <c r="C6" s="865" t="s">
        <v>1012</v>
      </c>
      <c r="D6" s="866" t="s">
        <v>1013</v>
      </c>
      <c r="E6" s="867" t="s">
        <v>1014</v>
      </c>
      <c r="F6" s="868" t="s">
        <v>1015</v>
      </c>
      <c r="G6" s="866" t="s">
        <v>1016</v>
      </c>
      <c r="H6" s="869" t="s">
        <v>1017</v>
      </c>
      <c r="I6" s="869" t="s">
        <v>1018</v>
      </c>
      <c r="J6" s="869" t="s">
        <v>1017</v>
      </c>
      <c r="K6" s="868" t="s">
        <v>1019</v>
      </c>
      <c r="L6" s="1247"/>
      <c r="M6" s="864"/>
      <c r="N6" s="864"/>
      <c r="O6" s="864"/>
      <c r="P6" s="864"/>
      <c r="Q6" s="864"/>
      <c r="R6" s="864"/>
      <c r="S6" s="864"/>
      <c r="T6" s="864"/>
      <c r="U6" s="864"/>
      <c r="V6" s="864"/>
      <c r="W6" s="864"/>
      <c r="X6" s="864"/>
      <c r="Y6" s="864"/>
      <c r="Z6" s="864"/>
      <c r="AA6" s="864"/>
      <c r="AB6" s="864"/>
      <c r="AC6" s="864"/>
      <c r="AD6" s="864"/>
      <c r="AE6" s="864"/>
      <c r="AF6" s="864"/>
      <c r="AG6" s="864"/>
      <c r="AH6" s="864"/>
      <c r="AI6" s="864"/>
      <c r="AJ6" s="864"/>
      <c r="AK6" s="864"/>
      <c r="AL6" s="864"/>
      <c r="AM6" s="864"/>
      <c r="AN6" s="864"/>
      <c r="AO6" s="864"/>
      <c r="AP6" s="864"/>
      <c r="AQ6" s="864"/>
      <c r="AR6" s="864"/>
      <c r="AS6" s="864"/>
      <c r="AT6" s="864"/>
      <c r="AU6" s="864"/>
      <c r="AV6" s="864"/>
      <c r="AW6" s="864"/>
      <c r="AX6" s="864"/>
      <c r="AY6" s="864"/>
      <c r="AZ6" s="864"/>
      <c r="BA6" s="864"/>
      <c r="BB6" s="864"/>
      <c r="BC6" s="864"/>
      <c r="BD6" s="864"/>
      <c r="BE6" s="864"/>
      <c r="BF6" s="864"/>
      <c r="BG6" s="864"/>
      <c r="BH6" s="864"/>
      <c r="BI6" s="864"/>
      <c r="BJ6" s="864"/>
      <c r="BK6" s="864"/>
      <c r="BL6" s="864"/>
      <c r="BM6" s="864"/>
      <c r="BN6" s="864"/>
      <c r="BO6" s="864"/>
      <c r="BP6" s="864"/>
      <c r="BQ6" s="864"/>
      <c r="BR6" s="864"/>
      <c r="BS6" s="864"/>
      <c r="BT6" s="864"/>
      <c r="BU6" s="864"/>
      <c r="BV6" s="864"/>
      <c r="BW6" s="864"/>
      <c r="BX6" s="864"/>
      <c r="BY6" s="864"/>
      <c r="BZ6" s="864"/>
      <c r="CA6" s="864"/>
      <c r="CB6" s="864"/>
      <c r="CC6" s="864"/>
      <c r="CD6" s="864"/>
      <c r="CE6" s="864"/>
      <c r="CF6" s="864"/>
      <c r="CG6" s="864"/>
      <c r="CH6" s="864"/>
      <c r="CI6" s="864"/>
      <c r="CJ6" s="864"/>
      <c r="CK6" s="864"/>
      <c r="CL6" s="864"/>
      <c r="CM6" s="864"/>
      <c r="CN6" s="864"/>
      <c r="CO6" s="864"/>
      <c r="CP6" s="864"/>
      <c r="CQ6" s="864"/>
      <c r="CR6" s="864"/>
      <c r="CS6" s="864"/>
      <c r="CT6" s="864"/>
      <c r="CU6" s="864"/>
      <c r="CV6" s="864"/>
      <c r="CW6" s="864"/>
      <c r="CX6" s="864"/>
      <c r="CY6" s="864"/>
      <c r="CZ6" s="864"/>
      <c r="DA6" s="864"/>
      <c r="DB6" s="864"/>
      <c r="DC6" s="864"/>
      <c r="DD6" s="864"/>
      <c r="DE6" s="864"/>
      <c r="DF6" s="864"/>
      <c r="DG6" s="864"/>
      <c r="DH6" s="864"/>
      <c r="DI6" s="864"/>
      <c r="DJ6" s="864"/>
      <c r="DK6" s="864"/>
      <c r="DL6" s="864"/>
      <c r="DM6" s="864"/>
      <c r="DN6" s="864"/>
      <c r="DO6" s="864"/>
      <c r="DP6" s="864"/>
      <c r="DQ6" s="864"/>
      <c r="DR6" s="864"/>
      <c r="DS6" s="864"/>
      <c r="DT6" s="864"/>
      <c r="DU6" s="864"/>
      <c r="DV6" s="864"/>
      <c r="DW6" s="864"/>
      <c r="DX6" s="864"/>
      <c r="DY6" s="864"/>
      <c r="DZ6" s="864"/>
      <c r="EA6" s="864"/>
      <c r="EB6" s="864"/>
      <c r="EC6" s="864"/>
      <c r="ED6" s="864"/>
      <c r="EE6" s="864"/>
      <c r="EF6" s="864"/>
      <c r="EG6" s="864"/>
      <c r="EH6" s="864"/>
      <c r="EI6" s="864"/>
      <c r="EJ6" s="864"/>
      <c r="EK6" s="864"/>
      <c r="EL6" s="864"/>
      <c r="EM6" s="864"/>
      <c r="EN6" s="864"/>
      <c r="EO6" s="864"/>
      <c r="EP6" s="864"/>
      <c r="EQ6" s="864"/>
      <c r="ER6" s="864"/>
      <c r="ES6" s="864"/>
      <c r="ET6" s="864"/>
      <c r="EU6" s="864"/>
      <c r="EV6" s="864"/>
      <c r="EW6" s="864"/>
      <c r="EX6" s="864"/>
      <c r="EY6" s="864"/>
      <c r="EZ6" s="864"/>
      <c r="FA6" s="864"/>
      <c r="FB6" s="864"/>
      <c r="FC6" s="864"/>
      <c r="FD6" s="864"/>
      <c r="FE6" s="864"/>
      <c r="FF6" s="864"/>
      <c r="FG6" s="864"/>
      <c r="FH6" s="864"/>
      <c r="FI6" s="864"/>
      <c r="FJ6" s="864"/>
      <c r="FK6" s="864"/>
      <c r="FL6" s="864"/>
      <c r="FM6" s="864"/>
      <c r="FN6" s="864"/>
      <c r="FO6" s="864"/>
      <c r="FP6" s="864"/>
      <c r="FQ6" s="864"/>
      <c r="FR6" s="864"/>
      <c r="FS6" s="864"/>
      <c r="FT6" s="864"/>
      <c r="FU6" s="864"/>
      <c r="FV6" s="864"/>
      <c r="FW6" s="864"/>
      <c r="FX6" s="864"/>
      <c r="FY6" s="864"/>
      <c r="FZ6" s="864"/>
      <c r="GA6" s="864"/>
      <c r="GB6" s="864"/>
      <c r="GC6" s="864"/>
      <c r="GD6" s="864"/>
      <c r="GE6" s="864"/>
      <c r="GF6" s="864"/>
      <c r="GG6" s="864"/>
      <c r="GH6" s="864"/>
      <c r="GI6" s="864"/>
      <c r="GJ6" s="864"/>
      <c r="GK6" s="864"/>
      <c r="GL6" s="864"/>
      <c r="GM6" s="864"/>
      <c r="GN6" s="864"/>
      <c r="GO6" s="864"/>
      <c r="GP6" s="864"/>
      <c r="GQ6" s="864"/>
      <c r="GR6" s="864"/>
      <c r="GS6" s="864"/>
      <c r="GT6" s="864"/>
      <c r="GU6" s="864"/>
      <c r="GV6" s="864"/>
      <c r="GW6" s="864"/>
      <c r="GX6" s="864"/>
      <c r="GY6" s="864"/>
      <c r="GZ6" s="864"/>
      <c r="HA6" s="864"/>
      <c r="HB6" s="864"/>
      <c r="HC6" s="864"/>
      <c r="HD6" s="864"/>
      <c r="HE6" s="864"/>
      <c r="HF6" s="864"/>
      <c r="HG6" s="864"/>
      <c r="HH6" s="864"/>
      <c r="HI6" s="864"/>
      <c r="HJ6" s="864"/>
      <c r="HK6" s="864"/>
      <c r="HL6" s="864"/>
      <c r="HM6" s="864"/>
      <c r="HN6" s="864"/>
      <c r="HO6" s="864"/>
      <c r="HP6" s="864"/>
      <c r="HQ6" s="864"/>
      <c r="HR6" s="864"/>
      <c r="HS6" s="864"/>
      <c r="HT6" s="864"/>
      <c r="HU6" s="864"/>
      <c r="HV6" s="864"/>
      <c r="HW6" s="864"/>
      <c r="HX6" s="864"/>
      <c r="HY6" s="864"/>
      <c r="HZ6" s="864"/>
      <c r="IA6" s="864"/>
      <c r="IB6" s="864"/>
      <c r="IC6" s="864"/>
      <c r="ID6" s="864"/>
      <c r="IE6" s="864"/>
      <c r="IF6" s="864"/>
      <c r="IG6" s="864"/>
      <c r="IH6" s="864"/>
      <c r="II6" s="864"/>
      <c r="IJ6" s="864"/>
      <c r="IK6" s="864"/>
      <c r="IL6" s="864"/>
      <c r="IM6" s="864"/>
      <c r="IN6" s="864"/>
      <c r="IO6" s="864"/>
      <c r="IP6" s="864"/>
      <c r="IQ6" s="864"/>
      <c r="IR6" s="864"/>
      <c r="IS6" s="864"/>
      <c r="IT6" s="864"/>
      <c r="IU6" s="864"/>
      <c r="IV6" s="864"/>
    </row>
    <row r="7" spans="1:256" ht="12.75">
      <c r="A7" s="1250" t="s">
        <v>416</v>
      </c>
      <c r="B7" s="1251"/>
      <c r="C7" s="870" t="s">
        <v>417</v>
      </c>
      <c r="D7" s="871" t="s">
        <v>418</v>
      </c>
      <c r="E7" s="872" t="s">
        <v>419</v>
      </c>
      <c r="F7" s="873" t="s">
        <v>420</v>
      </c>
      <c r="G7" s="871" t="s">
        <v>421</v>
      </c>
      <c r="H7" s="874" t="s">
        <v>423</v>
      </c>
      <c r="I7" s="874" t="s">
        <v>424</v>
      </c>
      <c r="J7" s="874" t="s">
        <v>375</v>
      </c>
      <c r="K7" s="873" t="s">
        <v>376</v>
      </c>
      <c r="L7" s="875" t="s">
        <v>377</v>
      </c>
      <c r="M7" s="876"/>
      <c r="N7" s="876"/>
      <c r="O7" s="876"/>
      <c r="P7" s="876"/>
      <c r="Q7" s="876"/>
      <c r="R7" s="876"/>
      <c r="S7" s="876"/>
      <c r="T7" s="876"/>
      <c r="U7" s="876"/>
      <c r="V7" s="876"/>
      <c r="W7" s="876"/>
      <c r="X7" s="876"/>
      <c r="Y7" s="876"/>
      <c r="Z7" s="876"/>
      <c r="AA7" s="876"/>
      <c r="AB7" s="876"/>
      <c r="AC7" s="876"/>
      <c r="AD7" s="876"/>
      <c r="AE7" s="876"/>
      <c r="AF7" s="876"/>
      <c r="AG7" s="876"/>
      <c r="AH7" s="876"/>
      <c r="AI7" s="876"/>
      <c r="AJ7" s="876"/>
      <c r="AK7" s="876"/>
      <c r="AL7" s="876"/>
      <c r="AM7" s="876"/>
      <c r="AN7" s="876"/>
      <c r="AO7" s="876"/>
      <c r="AP7" s="876"/>
      <c r="AQ7" s="876"/>
      <c r="AR7" s="876"/>
      <c r="AS7" s="876"/>
      <c r="AT7" s="876"/>
      <c r="AU7" s="876"/>
      <c r="AV7" s="876"/>
      <c r="AW7" s="876"/>
      <c r="AX7" s="876"/>
      <c r="AY7" s="876"/>
      <c r="AZ7" s="876"/>
      <c r="BA7" s="876"/>
      <c r="BB7" s="876"/>
      <c r="BC7" s="876"/>
      <c r="BD7" s="876"/>
      <c r="BE7" s="876"/>
      <c r="BF7" s="876"/>
      <c r="BG7" s="876"/>
      <c r="BH7" s="876"/>
      <c r="BI7" s="876"/>
      <c r="BJ7" s="876"/>
      <c r="BK7" s="876"/>
      <c r="BL7" s="876"/>
      <c r="BM7" s="876"/>
      <c r="BN7" s="876"/>
      <c r="BO7" s="876"/>
      <c r="BP7" s="876"/>
      <c r="BQ7" s="876"/>
      <c r="BR7" s="876"/>
      <c r="BS7" s="876"/>
      <c r="BT7" s="876"/>
      <c r="BU7" s="876"/>
      <c r="BV7" s="876"/>
      <c r="BW7" s="876"/>
      <c r="BX7" s="876"/>
      <c r="BY7" s="876"/>
      <c r="BZ7" s="876"/>
      <c r="CA7" s="876"/>
      <c r="CB7" s="876"/>
      <c r="CC7" s="876"/>
      <c r="CD7" s="876"/>
      <c r="CE7" s="876"/>
      <c r="CF7" s="876"/>
      <c r="CG7" s="876"/>
      <c r="CH7" s="876"/>
      <c r="CI7" s="876"/>
      <c r="CJ7" s="876"/>
      <c r="CK7" s="876"/>
      <c r="CL7" s="876"/>
      <c r="CM7" s="876"/>
      <c r="CN7" s="876"/>
      <c r="CO7" s="876"/>
      <c r="CP7" s="876"/>
      <c r="CQ7" s="876"/>
      <c r="CR7" s="876"/>
      <c r="CS7" s="876"/>
      <c r="CT7" s="876"/>
      <c r="CU7" s="876"/>
      <c r="CV7" s="876"/>
      <c r="CW7" s="876"/>
      <c r="CX7" s="876"/>
      <c r="CY7" s="876"/>
      <c r="CZ7" s="876"/>
      <c r="DA7" s="876"/>
      <c r="DB7" s="876"/>
      <c r="DC7" s="876"/>
      <c r="DD7" s="876"/>
      <c r="DE7" s="876"/>
      <c r="DF7" s="876"/>
      <c r="DG7" s="876"/>
      <c r="DH7" s="876"/>
      <c r="DI7" s="876"/>
      <c r="DJ7" s="876"/>
      <c r="DK7" s="876"/>
      <c r="DL7" s="876"/>
      <c r="DM7" s="876"/>
      <c r="DN7" s="876"/>
      <c r="DO7" s="876"/>
      <c r="DP7" s="876"/>
      <c r="DQ7" s="876"/>
      <c r="DR7" s="876"/>
      <c r="DS7" s="876"/>
      <c r="DT7" s="876"/>
      <c r="DU7" s="876"/>
      <c r="DV7" s="876"/>
      <c r="DW7" s="876"/>
      <c r="DX7" s="876"/>
      <c r="DY7" s="876"/>
      <c r="DZ7" s="876"/>
      <c r="EA7" s="876"/>
      <c r="EB7" s="876"/>
      <c r="EC7" s="876"/>
      <c r="ED7" s="876"/>
      <c r="EE7" s="876"/>
      <c r="EF7" s="876"/>
      <c r="EG7" s="876"/>
      <c r="EH7" s="876"/>
      <c r="EI7" s="876"/>
      <c r="EJ7" s="876"/>
      <c r="EK7" s="876"/>
      <c r="EL7" s="876"/>
      <c r="EM7" s="876"/>
      <c r="EN7" s="876"/>
      <c r="EO7" s="876"/>
      <c r="EP7" s="876"/>
      <c r="EQ7" s="876"/>
      <c r="ER7" s="876"/>
      <c r="ES7" s="876"/>
      <c r="ET7" s="876"/>
      <c r="EU7" s="876"/>
      <c r="EV7" s="876"/>
      <c r="EW7" s="876"/>
      <c r="EX7" s="876"/>
      <c r="EY7" s="876"/>
      <c r="EZ7" s="876"/>
      <c r="FA7" s="876"/>
      <c r="FB7" s="876"/>
      <c r="FC7" s="876"/>
      <c r="FD7" s="876"/>
      <c r="FE7" s="876"/>
      <c r="FF7" s="876"/>
      <c r="FG7" s="876"/>
      <c r="FH7" s="876"/>
      <c r="FI7" s="876"/>
      <c r="FJ7" s="876"/>
      <c r="FK7" s="876"/>
      <c r="FL7" s="876"/>
      <c r="FM7" s="876"/>
      <c r="FN7" s="876"/>
      <c r="FO7" s="876"/>
      <c r="FP7" s="876"/>
      <c r="FQ7" s="876"/>
      <c r="FR7" s="876"/>
      <c r="FS7" s="876"/>
      <c r="FT7" s="876"/>
      <c r="FU7" s="876"/>
      <c r="FV7" s="876"/>
      <c r="FW7" s="876"/>
      <c r="FX7" s="876"/>
      <c r="FY7" s="876"/>
      <c r="FZ7" s="876"/>
      <c r="GA7" s="876"/>
      <c r="GB7" s="876"/>
      <c r="GC7" s="876"/>
      <c r="GD7" s="876"/>
      <c r="GE7" s="876"/>
      <c r="GF7" s="876"/>
      <c r="GG7" s="876"/>
      <c r="GH7" s="876"/>
      <c r="GI7" s="876"/>
      <c r="GJ7" s="876"/>
      <c r="GK7" s="876"/>
      <c r="GL7" s="876"/>
      <c r="GM7" s="876"/>
      <c r="GN7" s="876"/>
      <c r="GO7" s="876"/>
      <c r="GP7" s="876"/>
      <c r="GQ7" s="876"/>
      <c r="GR7" s="876"/>
      <c r="GS7" s="876"/>
      <c r="GT7" s="876"/>
      <c r="GU7" s="876"/>
      <c r="GV7" s="876"/>
      <c r="GW7" s="876"/>
      <c r="GX7" s="876"/>
      <c r="GY7" s="876"/>
      <c r="GZ7" s="876"/>
      <c r="HA7" s="876"/>
      <c r="HB7" s="876"/>
      <c r="HC7" s="876"/>
      <c r="HD7" s="876"/>
      <c r="HE7" s="876"/>
      <c r="HF7" s="876"/>
      <c r="HG7" s="876"/>
      <c r="HH7" s="876"/>
      <c r="HI7" s="876"/>
      <c r="HJ7" s="876"/>
      <c r="HK7" s="876"/>
      <c r="HL7" s="876"/>
      <c r="HM7" s="876"/>
      <c r="HN7" s="876"/>
      <c r="HO7" s="876"/>
      <c r="HP7" s="876"/>
      <c r="HQ7" s="876"/>
      <c r="HR7" s="876"/>
      <c r="HS7" s="876"/>
      <c r="HT7" s="876"/>
      <c r="HU7" s="876"/>
      <c r="HV7" s="876"/>
      <c r="HW7" s="876"/>
      <c r="HX7" s="876"/>
      <c r="HY7" s="876"/>
      <c r="HZ7" s="876"/>
      <c r="IA7" s="876"/>
      <c r="IB7" s="876"/>
      <c r="IC7" s="876"/>
      <c r="ID7" s="876"/>
      <c r="IE7" s="876"/>
      <c r="IF7" s="876"/>
      <c r="IG7" s="876"/>
      <c r="IH7" s="876"/>
      <c r="II7" s="876"/>
      <c r="IJ7" s="876"/>
      <c r="IK7" s="876"/>
      <c r="IL7" s="876"/>
      <c r="IM7" s="876"/>
      <c r="IN7" s="876"/>
      <c r="IO7" s="876"/>
      <c r="IP7" s="876"/>
      <c r="IQ7" s="876"/>
      <c r="IR7" s="876"/>
      <c r="IS7" s="876"/>
      <c r="IT7" s="876"/>
      <c r="IU7" s="876"/>
      <c r="IV7" s="876"/>
    </row>
    <row r="8" spans="2:256" ht="12.75">
      <c r="B8" s="877"/>
      <c r="C8" s="878" t="s">
        <v>1020</v>
      </c>
      <c r="D8" s="879"/>
      <c r="E8" s="880"/>
      <c r="F8" s="881">
        <f>F9+F10+F15+F16+F17+F18</f>
        <v>210422904</v>
      </c>
      <c r="G8" s="879"/>
      <c r="H8" s="882"/>
      <c r="I8" s="882"/>
      <c r="J8" s="880"/>
      <c r="K8" s="881"/>
      <c r="L8" s="883">
        <f aca="true" t="shared" si="0" ref="L8:L14">F8+K8</f>
        <v>210422904</v>
      </c>
      <c r="M8" s="884"/>
      <c r="N8" s="885">
        <f>SUM(N9:N18)</f>
        <v>210422904</v>
      </c>
      <c r="O8" s="886"/>
      <c r="P8" s="886"/>
      <c r="Q8" s="886"/>
      <c r="R8" s="886"/>
      <c r="S8" s="886"/>
      <c r="T8" s="886"/>
      <c r="U8" s="886"/>
      <c r="V8" s="886"/>
      <c r="W8" s="886"/>
      <c r="X8" s="886"/>
      <c r="Y8" s="886"/>
      <c r="Z8" s="886"/>
      <c r="AA8" s="886"/>
      <c r="AB8" s="886"/>
      <c r="AC8" s="886"/>
      <c r="AD8" s="886"/>
      <c r="AE8" s="886"/>
      <c r="AF8" s="886"/>
      <c r="AG8" s="886"/>
      <c r="AH8" s="886"/>
      <c r="AI8" s="886"/>
      <c r="AJ8" s="886"/>
      <c r="AK8" s="886"/>
      <c r="AL8" s="886"/>
      <c r="AM8" s="886"/>
      <c r="AN8" s="886"/>
      <c r="AO8" s="886"/>
      <c r="AP8" s="886"/>
      <c r="AQ8" s="886"/>
      <c r="AR8" s="886"/>
      <c r="AS8" s="886"/>
      <c r="AT8" s="886"/>
      <c r="AU8" s="886"/>
      <c r="AV8" s="886"/>
      <c r="AW8" s="886"/>
      <c r="AX8" s="886"/>
      <c r="AY8" s="886"/>
      <c r="AZ8" s="886"/>
      <c r="BA8" s="886"/>
      <c r="BB8" s="886"/>
      <c r="BC8" s="886"/>
      <c r="BD8" s="886"/>
      <c r="BE8" s="886"/>
      <c r="BF8" s="886"/>
      <c r="BG8" s="886"/>
      <c r="BH8" s="886"/>
      <c r="BI8" s="886"/>
      <c r="BJ8" s="886"/>
      <c r="BK8" s="886"/>
      <c r="BL8" s="886"/>
      <c r="BM8" s="886"/>
      <c r="BN8" s="886"/>
      <c r="BO8" s="886"/>
      <c r="BP8" s="886"/>
      <c r="BQ8" s="886"/>
      <c r="BR8" s="886"/>
      <c r="BS8" s="886"/>
      <c r="BT8" s="886"/>
      <c r="BU8" s="886"/>
      <c r="BV8" s="886"/>
      <c r="BW8" s="886"/>
      <c r="BX8" s="886"/>
      <c r="BY8" s="886"/>
      <c r="BZ8" s="886"/>
      <c r="CA8" s="886"/>
      <c r="CB8" s="886"/>
      <c r="CC8" s="886"/>
      <c r="CD8" s="886"/>
      <c r="CE8" s="886"/>
      <c r="CF8" s="886"/>
      <c r="CG8" s="886"/>
      <c r="CH8" s="886"/>
      <c r="CI8" s="886"/>
      <c r="CJ8" s="886"/>
      <c r="CK8" s="886"/>
      <c r="CL8" s="886"/>
      <c r="CM8" s="886"/>
      <c r="CN8" s="886"/>
      <c r="CO8" s="886"/>
      <c r="CP8" s="886"/>
      <c r="CQ8" s="886"/>
      <c r="CR8" s="886"/>
      <c r="CS8" s="886"/>
      <c r="CT8" s="886"/>
      <c r="CU8" s="886"/>
      <c r="CV8" s="886"/>
      <c r="CW8" s="886"/>
      <c r="CX8" s="886"/>
      <c r="CY8" s="886"/>
      <c r="CZ8" s="886"/>
      <c r="DA8" s="886"/>
      <c r="DB8" s="886"/>
      <c r="DC8" s="886"/>
      <c r="DD8" s="886"/>
      <c r="DE8" s="886"/>
      <c r="DF8" s="886"/>
      <c r="DG8" s="886"/>
      <c r="DH8" s="886"/>
      <c r="DI8" s="886"/>
      <c r="DJ8" s="886"/>
      <c r="DK8" s="886"/>
      <c r="DL8" s="886"/>
      <c r="DM8" s="886"/>
      <c r="DN8" s="886"/>
      <c r="DO8" s="886"/>
      <c r="DP8" s="886"/>
      <c r="DQ8" s="886"/>
      <c r="DR8" s="886"/>
      <c r="DS8" s="886"/>
      <c r="DT8" s="886"/>
      <c r="DU8" s="886"/>
      <c r="DV8" s="886"/>
      <c r="DW8" s="886"/>
      <c r="DX8" s="886"/>
      <c r="DY8" s="886"/>
      <c r="DZ8" s="886"/>
      <c r="EA8" s="886"/>
      <c r="EB8" s="886"/>
      <c r="EC8" s="886"/>
      <c r="ED8" s="886"/>
      <c r="EE8" s="886"/>
      <c r="EF8" s="886"/>
      <c r="EG8" s="886"/>
      <c r="EH8" s="886"/>
      <c r="EI8" s="886"/>
      <c r="EJ8" s="886"/>
      <c r="EK8" s="886"/>
      <c r="EL8" s="886"/>
      <c r="EM8" s="886"/>
      <c r="EN8" s="886"/>
      <c r="EO8" s="886"/>
      <c r="EP8" s="886"/>
      <c r="EQ8" s="886"/>
      <c r="ER8" s="886"/>
      <c r="ES8" s="886"/>
      <c r="ET8" s="886"/>
      <c r="EU8" s="886"/>
      <c r="EV8" s="886"/>
      <c r="EW8" s="886"/>
      <c r="EX8" s="886"/>
      <c r="EY8" s="886"/>
      <c r="EZ8" s="886"/>
      <c r="FA8" s="886"/>
      <c r="FB8" s="886"/>
      <c r="FC8" s="886"/>
      <c r="FD8" s="886"/>
      <c r="FE8" s="886"/>
      <c r="FF8" s="886"/>
      <c r="FG8" s="886"/>
      <c r="FH8" s="886"/>
      <c r="FI8" s="886"/>
      <c r="FJ8" s="886"/>
      <c r="FK8" s="886"/>
      <c r="FL8" s="886"/>
      <c r="FM8" s="886"/>
      <c r="FN8" s="886"/>
      <c r="FO8" s="886"/>
      <c r="FP8" s="886"/>
      <c r="FQ8" s="886"/>
      <c r="FR8" s="886"/>
      <c r="FS8" s="886"/>
      <c r="FT8" s="886"/>
      <c r="FU8" s="886"/>
      <c r="FV8" s="886"/>
      <c r="FW8" s="886"/>
      <c r="FX8" s="886"/>
      <c r="FY8" s="886"/>
      <c r="FZ8" s="886"/>
      <c r="GA8" s="886"/>
      <c r="GB8" s="886"/>
      <c r="GC8" s="886"/>
      <c r="GD8" s="886"/>
      <c r="GE8" s="886"/>
      <c r="GF8" s="886"/>
      <c r="GG8" s="886"/>
      <c r="GH8" s="886"/>
      <c r="GI8" s="886"/>
      <c r="GJ8" s="886"/>
      <c r="GK8" s="886"/>
      <c r="GL8" s="886"/>
      <c r="GM8" s="886"/>
      <c r="GN8" s="886"/>
      <c r="GO8" s="886"/>
      <c r="GP8" s="886"/>
      <c r="GQ8" s="886"/>
      <c r="GR8" s="886"/>
      <c r="GS8" s="886"/>
      <c r="GT8" s="886"/>
      <c r="GU8" s="886"/>
      <c r="GV8" s="886"/>
      <c r="GW8" s="886"/>
      <c r="GX8" s="886"/>
      <c r="GY8" s="886"/>
      <c r="GZ8" s="886"/>
      <c r="HA8" s="886"/>
      <c r="HB8" s="886"/>
      <c r="HC8" s="886"/>
      <c r="HD8" s="886"/>
      <c r="HE8" s="886"/>
      <c r="HF8" s="886"/>
      <c r="HG8" s="886"/>
      <c r="HH8" s="886"/>
      <c r="HI8" s="886"/>
      <c r="HJ8" s="886"/>
      <c r="HK8" s="886"/>
      <c r="HL8" s="886"/>
      <c r="HM8" s="886"/>
      <c r="HN8" s="886"/>
      <c r="HO8" s="886"/>
      <c r="HP8" s="886"/>
      <c r="HQ8" s="886"/>
      <c r="HR8" s="886"/>
      <c r="HS8" s="886"/>
      <c r="HT8" s="886"/>
      <c r="HU8" s="886"/>
      <c r="HV8" s="886"/>
      <c r="HW8" s="886"/>
      <c r="HX8" s="886"/>
      <c r="HY8" s="886"/>
      <c r="HZ8" s="886"/>
      <c r="IA8" s="886"/>
      <c r="IB8" s="886"/>
      <c r="IC8" s="886"/>
      <c r="ID8" s="886"/>
      <c r="IE8" s="886"/>
      <c r="IF8" s="886"/>
      <c r="IG8" s="886"/>
      <c r="IH8" s="886"/>
      <c r="II8" s="886"/>
      <c r="IJ8" s="886"/>
      <c r="IK8" s="886"/>
      <c r="IL8" s="886"/>
      <c r="IM8" s="886"/>
      <c r="IN8" s="886"/>
      <c r="IO8" s="886"/>
      <c r="IP8" s="886"/>
      <c r="IQ8" s="886"/>
      <c r="IR8" s="886"/>
      <c r="IS8" s="886"/>
      <c r="IT8" s="886"/>
      <c r="IU8" s="886"/>
      <c r="IV8" s="886"/>
    </row>
    <row r="9" spans="1:256" ht="12.75">
      <c r="A9" s="887" t="s">
        <v>1021</v>
      </c>
      <c r="B9" s="888" t="s">
        <v>1022</v>
      </c>
      <c r="C9" s="889" t="s">
        <v>440</v>
      </c>
      <c r="D9" s="890">
        <v>26.11</v>
      </c>
      <c r="E9" s="891">
        <v>5450000</v>
      </c>
      <c r="F9" s="892">
        <f>D9*E9+652750</f>
        <v>142952250</v>
      </c>
      <c r="G9" s="893"/>
      <c r="H9" s="894"/>
      <c r="I9" s="894"/>
      <c r="J9" s="891"/>
      <c r="K9" s="892"/>
      <c r="L9" s="895">
        <f t="shared" si="0"/>
        <v>142952250</v>
      </c>
      <c r="M9" s="896"/>
      <c r="N9" s="897">
        <f>SUM(L9)</f>
        <v>142952250</v>
      </c>
      <c r="O9" s="898"/>
      <c r="P9" s="898"/>
      <c r="Q9" s="898"/>
      <c r="R9" s="898"/>
      <c r="S9" s="898"/>
      <c r="T9" s="898"/>
      <c r="U9" s="898"/>
      <c r="V9" s="898"/>
      <c r="W9" s="898"/>
      <c r="X9" s="898"/>
      <c r="Y9" s="898"/>
      <c r="Z9" s="898"/>
      <c r="AA9" s="898"/>
      <c r="AB9" s="898"/>
      <c r="AC9" s="898"/>
      <c r="AD9" s="898"/>
      <c r="AE9" s="898"/>
      <c r="AF9" s="898"/>
      <c r="AG9" s="898"/>
      <c r="AH9" s="898"/>
      <c r="AI9" s="898"/>
      <c r="AJ9" s="898"/>
      <c r="AK9" s="898"/>
      <c r="AL9" s="898"/>
      <c r="AM9" s="898"/>
      <c r="AN9" s="898"/>
      <c r="AO9" s="898"/>
      <c r="AP9" s="898"/>
      <c r="AQ9" s="898"/>
      <c r="AR9" s="898"/>
      <c r="AS9" s="898"/>
      <c r="AT9" s="898"/>
      <c r="AU9" s="898"/>
      <c r="AV9" s="898"/>
      <c r="AW9" s="898"/>
      <c r="AX9" s="898"/>
      <c r="AY9" s="898"/>
      <c r="AZ9" s="898"/>
      <c r="BA9" s="898"/>
      <c r="BB9" s="898"/>
      <c r="BC9" s="898"/>
      <c r="BD9" s="898"/>
      <c r="BE9" s="898"/>
      <c r="BF9" s="898"/>
      <c r="BG9" s="898"/>
      <c r="BH9" s="898"/>
      <c r="BI9" s="898"/>
      <c r="BJ9" s="898"/>
      <c r="BK9" s="898"/>
      <c r="BL9" s="898"/>
      <c r="BM9" s="898"/>
      <c r="BN9" s="898"/>
      <c r="BO9" s="898"/>
      <c r="BP9" s="898"/>
      <c r="BQ9" s="898"/>
      <c r="BR9" s="898"/>
      <c r="BS9" s="898"/>
      <c r="BT9" s="898"/>
      <c r="BU9" s="898"/>
      <c r="BV9" s="898"/>
      <c r="BW9" s="898"/>
      <c r="BX9" s="898"/>
      <c r="BY9" s="898"/>
      <c r="BZ9" s="898"/>
      <c r="CA9" s="898"/>
      <c r="CB9" s="898"/>
      <c r="CC9" s="898"/>
      <c r="CD9" s="898"/>
      <c r="CE9" s="898"/>
      <c r="CF9" s="898"/>
      <c r="CG9" s="898"/>
      <c r="CH9" s="898"/>
      <c r="CI9" s="898"/>
      <c r="CJ9" s="898"/>
      <c r="CK9" s="898"/>
      <c r="CL9" s="898"/>
      <c r="CM9" s="898"/>
      <c r="CN9" s="898"/>
      <c r="CO9" s="898"/>
      <c r="CP9" s="898"/>
      <c r="CQ9" s="898"/>
      <c r="CR9" s="898"/>
      <c r="CS9" s="898"/>
      <c r="CT9" s="898"/>
      <c r="CU9" s="898"/>
      <c r="CV9" s="898"/>
      <c r="CW9" s="898"/>
      <c r="CX9" s="898"/>
      <c r="CY9" s="898"/>
      <c r="CZ9" s="898"/>
      <c r="DA9" s="898"/>
      <c r="DB9" s="898"/>
      <c r="DC9" s="898"/>
      <c r="DD9" s="898"/>
      <c r="DE9" s="898"/>
      <c r="DF9" s="898"/>
      <c r="DG9" s="898"/>
      <c r="DH9" s="898"/>
      <c r="DI9" s="898"/>
      <c r="DJ9" s="898"/>
      <c r="DK9" s="898"/>
      <c r="DL9" s="898"/>
      <c r="DM9" s="898"/>
      <c r="DN9" s="898"/>
      <c r="DO9" s="898"/>
      <c r="DP9" s="898"/>
      <c r="DQ9" s="898"/>
      <c r="DR9" s="898"/>
      <c r="DS9" s="898"/>
      <c r="DT9" s="898"/>
      <c r="DU9" s="898"/>
      <c r="DV9" s="898"/>
      <c r="DW9" s="898"/>
      <c r="DX9" s="898"/>
      <c r="DY9" s="898"/>
      <c r="DZ9" s="898"/>
      <c r="EA9" s="898"/>
      <c r="EB9" s="898"/>
      <c r="EC9" s="898"/>
      <c r="ED9" s="898"/>
      <c r="EE9" s="898"/>
      <c r="EF9" s="898"/>
      <c r="EG9" s="898"/>
      <c r="EH9" s="898"/>
      <c r="EI9" s="898"/>
      <c r="EJ9" s="898"/>
      <c r="EK9" s="898"/>
      <c r="EL9" s="898"/>
      <c r="EM9" s="898"/>
      <c r="EN9" s="898"/>
      <c r="EO9" s="898"/>
      <c r="EP9" s="898"/>
      <c r="EQ9" s="898"/>
      <c r="ER9" s="898"/>
      <c r="ES9" s="898"/>
      <c r="ET9" s="898"/>
      <c r="EU9" s="898"/>
      <c r="EV9" s="898"/>
      <c r="EW9" s="898"/>
      <c r="EX9" s="898"/>
      <c r="EY9" s="898"/>
      <c r="EZ9" s="898"/>
      <c r="FA9" s="898"/>
      <c r="FB9" s="898"/>
      <c r="FC9" s="898"/>
      <c r="FD9" s="898"/>
      <c r="FE9" s="898"/>
      <c r="FF9" s="898"/>
      <c r="FG9" s="898"/>
      <c r="FH9" s="898"/>
      <c r="FI9" s="898"/>
      <c r="FJ9" s="898"/>
      <c r="FK9" s="898"/>
      <c r="FL9" s="898"/>
      <c r="FM9" s="898"/>
      <c r="FN9" s="898"/>
      <c r="FO9" s="898"/>
      <c r="FP9" s="898"/>
      <c r="FQ9" s="898"/>
      <c r="FR9" s="898"/>
      <c r="FS9" s="898"/>
      <c r="FT9" s="898"/>
      <c r="FU9" s="898"/>
      <c r="FV9" s="898"/>
      <c r="FW9" s="898"/>
      <c r="FX9" s="898"/>
      <c r="FY9" s="898"/>
      <c r="FZ9" s="898"/>
      <c r="GA9" s="898"/>
      <c r="GB9" s="898"/>
      <c r="GC9" s="898"/>
      <c r="GD9" s="898"/>
      <c r="GE9" s="898"/>
      <c r="GF9" s="898"/>
      <c r="GG9" s="898"/>
      <c r="GH9" s="898"/>
      <c r="GI9" s="898"/>
      <c r="GJ9" s="898"/>
      <c r="GK9" s="898"/>
      <c r="GL9" s="898"/>
      <c r="GM9" s="898"/>
      <c r="GN9" s="898"/>
      <c r="GO9" s="898"/>
      <c r="GP9" s="898"/>
      <c r="GQ9" s="898"/>
      <c r="GR9" s="898"/>
      <c r="GS9" s="898"/>
      <c r="GT9" s="898"/>
      <c r="GU9" s="898"/>
      <c r="GV9" s="898"/>
      <c r="GW9" s="898"/>
      <c r="GX9" s="898"/>
      <c r="GY9" s="898"/>
      <c r="GZ9" s="898"/>
      <c r="HA9" s="898"/>
      <c r="HB9" s="898"/>
      <c r="HC9" s="898"/>
      <c r="HD9" s="898"/>
      <c r="HE9" s="898"/>
      <c r="HF9" s="898"/>
      <c r="HG9" s="898"/>
      <c r="HH9" s="898"/>
      <c r="HI9" s="898"/>
      <c r="HJ9" s="898"/>
      <c r="HK9" s="898"/>
      <c r="HL9" s="898"/>
      <c r="HM9" s="898"/>
      <c r="HN9" s="898"/>
      <c r="HO9" s="898"/>
      <c r="HP9" s="898"/>
      <c r="HQ9" s="898"/>
      <c r="HR9" s="898"/>
      <c r="HS9" s="898"/>
      <c r="HT9" s="898"/>
      <c r="HU9" s="898"/>
      <c r="HV9" s="898"/>
      <c r="HW9" s="898"/>
      <c r="HX9" s="898"/>
      <c r="HY9" s="898"/>
      <c r="HZ9" s="898"/>
      <c r="IA9" s="898"/>
      <c r="IB9" s="898"/>
      <c r="IC9" s="898"/>
      <c r="ID9" s="898"/>
      <c r="IE9" s="898"/>
      <c r="IF9" s="898"/>
      <c r="IG9" s="898"/>
      <c r="IH9" s="898"/>
      <c r="II9" s="898"/>
      <c r="IJ9" s="898"/>
      <c r="IK9" s="898"/>
      <c r="IL9" s="898"/>
      <c r="IM9" s="898"/>
      <c r="IN9" s="898"/>
      <c r="IO9" s="898"/>
      <c r="IP9" s="898"/>
      <c r="IQ9" s="898"/>
      <c r="IR9" s="898"/>
      <c r="IS9" s="898"/>
      <c r="IT9" s="898"/>
      <c r="IU9" s="898"/>
      <c r="IV9" s="898"/>
    </row>
    <row r="10" spans="1:256" ht="12.75">
      <c r="A10" s="899"/>
      <c r="B10" s="888" t="s">
        <v>1023</v>
      </c>
      <c r="C10" s="889" t="s">
        <v>1024</v>
      </c>
      <c r="D10" s="893"/>
      <c r="E10" s="891"/>
      <c r="F10" s="892">
        <v>65506481</v>
      </c>
      <c r="G10" s="893"/>
      <c r="H10" s="894"/>
      <c r="I10" s="894"/>
      <c r="J10" s="891"/>
      <c r="K10" s="892"/>
      <c r="L10" s="895">
        <f t="shared" si="0"/>
        <v>65506481</v>
      </c>
      <c r="M10" s="896"/>
      <c r="N10" s="897">
        <f>SUM(L11:L14)</f>
        <v>65506481</v>
      </c>
      <c r="O10" s="898"/>
      <c r="P10" s="898"/>
      <c r="Q10" s="898"/>
      <c r="R10" s="898"/>
      <c r="S10" s="898"/>
      <c r="T10" s="898"/>
      <c r="U10" s="898"/>
      <c r="V10" s="898"/>
      <c r="W10" s="898"/>
      <c r="X10" s="898"/>
      <c r="Y10" s="898"/>
      <c r="Z10" s="898"/>
      <c r="AA10" s="898"/>
      <c r="AB10" s="898"/>
      <c r="AC10" s="898"/>
      <c r="AD10" s="898"/>
      <c r="AE10" s="898"/>
      <c r="AF10" s="898"/>
      <c r="AG10" s="898"/>
      <c r="AH10" s="898"/>
      <c r="AI10" s="898"/>
      <c r="AJ10" s="898"/>
      <c r="AK10" s="898"/>
      <c r="AL10" s="898"/>
      <c r="AM10" s="898"/>
      <c r="AN10" s="898"/>
      <c r="AO10" s="898"/>
      <c r="AP10" s="898"/>
      <c r="AQ10" s="898"/>
      <c r="AR10" s="898"/>
      <c r="AS10" s="898"/>
      <c r="AT10" s="898"/>
      <c r="AU10" s="898"/>
      <c r="AV10" s="898"/>
      <c r="AW10" s="898"/>
      <c r="AX10" s="898"/>
      <c r="AY10" s="898"/>
      <c r="AZ10" s="898"/>
      <c r="BA10" s="898"/>
      <c r="BB10" s="898"/>
      <c r="BC10" s="898"/>
      <c r="BD10" s="898"/>
      <c r="BE10" s="898"/>
      <c r="BF10" s="898"/>
      <c r="BG10" s="898"/>
      <c r="BH10" s="898"/>
      <c r="BI10" s="898"/>
      <c r="BJ10" s="898"/>
      <c r="BK10" s="898"/>
      <c r="BL10" s="898"/>
      <c r="BM10" s="898"/>
      <c r="BN10" s="898"/>
      <c r="BO10" s="898"/>
      <c r="BP10" s="898"/>
      <c r="BQ10" s="898"/>
      <c r="BR10" s="898"/>
      <c r="BS10" s="898"/>
      <c r="BT10" s="898"/>
      <c r="BU10" s="898"/>
      <c r="BV10" s="898"/>
      <c r="BW10" s="898"/>
      <c r="BX10" s="898"/>
      <c r="BY10" s="898"/>
      <c r="BZ10" s="898"/>
      <c r="CA10" s="898"/>
      <c r="CB10" s="898"/>
      <c r="CC10" s="898"/>
      <c r="CD10" s="898"/>
      <c r="CE10" s="898"/>
      <c r="CF10" s="898"/>
      <c r="CG10" s="898"/>
      <c r="CH10" s="898"/>
      <c r="CI10" s="898"/>
      <c r="CJ10" s="898"/>
      <c r="CK10" s="898"/>
      <c r="CL10" s="898"/>
      <c r="CM10" s="898"/>
      <c r="CN10" s="898"/>
      <c r="CO10" s="898"/>
      <c r="CP10" s="898"/>
      <c r="CQ10" s="898"/>
      <c r="CR10" s="898"/>
      <c r="CS10" s="898"/>
      <c r="CT10" s="898"/>
      <c r="CU10" s="898"/>
      <c r="CV10" s="898"/>
      <c r="CW10" s="898"/>
      <c r="CX10" s="898"/>
      <c r="CY10" s="898"/>
      <c r="CZ10" s="898"/>
      <c r="DA10" s="898"/>
      <c r="DB10" s="898"/>
      <c r="DC10" s="898"/>
      <c r="DD10" s="898"/>
      <c r="DE10" s="898"/>
      <c r="DF10" s="898"/>
      <c r="DG10" s="898"/>
      <c r="DH10" s="898"/>
      <c r="DI10" s="898"/>
      <c r="DJ10" s="898"/>
      <c r="DK10" s="898"/>
      <c r="DL10" s="898"/>
      <c r="DM10" s="898"/>
      <c r="DN10" s="898"/>
      <c r="DO10" s="898"/>
      <c r="DP10" s="898"/>
      <c r="DQ10" s="898"/>
      <c r="DR10" s="898"/>
      <c r="DS10" s="898"/>
      <c r="DT10" s="898"/>
      <c r="DU10" s="898"/>
      <c r="DV10" s="898"/>
      <c r="DW10" s="898"/>
      <c r="DX10" s="898"/>
      <c r="DY10" s="898"/>
      <c r="DZ10" s="898"/>
      <c r="EA10" s="898"/>
      <c r="EB10" s="898"/>
      <c r="EC10" s="898"/>
      <c r="ED10" s="898"/>
      <c r="EE10" s="898"/>
      <c r="EF10" s="898"/>
      <c r="EG10" s="898"/>
      <c r="EH10" s="898"/>
      <c r="EI10" s="898"/>
      <c r="EJ10" s="898"/>
      <c r="EK10" s="898"/>
      <c r="EL10" s="898"/>
      <c r="EM10" s="898"/>
      <c r="EN10" s="898"/>
      <c r="EO10" s="898"/>
      <c r="EP10" s="898"/>
      <c r="EQ10" s="898"/>
      <c r="ER10" s="898"/>
      <c r="ES10" s="898"/>
      <c r="ET10" s="898"/>
      <c r="EU10" s="898"/>
      <c r="EV10" s="898"/>
      <c r="EW10" s="898"/>
      <c r="EX10" s="898"/>
      <c r="EY10" s="898"/>
      <c r="EZ10" s="898"/>
      <c r="FA10" s="898"/>
      <c r="FB10" s="898"/>
      <c r="FC10" s="898"/>
      <c r="FD10" s="898"/>
      <c r="FE10" s="898"/>
      <c r="FF10" s="898"/>
      <c r="FG10" s="898"/>
      <c r="FH10" s="898"/>
      <c r="FI10" s="898"/>
      <c r="FJ10" s="898"/>
      <c r="FK10" s="898"/>
      <c r="FL10" s="898"/>
      <c r="FM10" s="898"/>
      <c r="FN10" s="898"/>
      <c r="FO10" s="898"/>
      <c r="FP10" s="898"/>
      <c r="FQ10" s="898"/>
      <c r="FR10" s="898"/>
      <c r="FS10" s="898"/>
      <c r="FT10" s="898"/>
      <c r="FU10" s="898"/>
      <c r="FV10" s="898"/>
      <c r="FW10" s="898"/>
      <c r="FX10" s="898"/>
      <c r="FY10" s="898"/>
      <c r="FZ10" s="898"/>
      <c r="GA10" s="898"/>
      <c r="GB10" s="898"/>
      <c r="GC10" s="898"/>
      <c r="GD10" s="898"/>
      <c r="GE10" s="898"/>
      <c r="GF10" s="898"/>
      <c r="GG10" s="898"/>
      <c r="GH10" s="898"/>
      <c r="GI10" s="898"/>
      <c r="GJ10" s="898"/>
      <c r="GK10" s="898"/>
      <c r="GL10" s="898"/>
      <c r="GM10" s="898"/>
      <c r="GN10" s="898"/>
      <c r="GO10" s="898"/>
      <c r="GP10" s="898"/>
      <c r="GQ10" s="898"/>
      <c r="GR10" s="898"/>
      <c r="GS10" s="898"/>
      <c r="GT10" s="898"/>
      <c r="GU10" s="898"/>
      <c r="GV10" s="898"/>
      <c r="GW10" s="898"/>
      <c r="GX10" s="898"/>
      <c r="GY10" s="898"/>
      <c r="GZ10" s="898"/>
      <c r="HA10" s="898"/>
      <c r="HB10" s="898"/>
      <c r="HC10" s="898"/>
      <c r="HD10" s="898"/>
      <c r="HE10" s="898"/>
      <c r="HF10" s="898"/>
      <c r="HG10" s="898"/>
      <c r="HH10" s="898"/>
      <c r="HI10" s="898"/>
      <c r="HJ10" s="898"/>
      <c r="HK10" s="898"/>
      <c r="HL10" s="898"/>
      <c r="HM10" s="898"/>
      <c r="HN10" s="898"/>
      <c r="HO10" s="898"/>
      <c r="HP10" s="898"/>
      <c r="HQ10" s="898"/>
      <c r="HR10" s="898"/>
      <c r="HS10" s="898"/>
      <c r="HT10" s="898"/>
      <c r="HU10" s="898"/>
      <c r="HV10" s="898"/>
      <c r="HW10" s="898"/>
      <c r="HX10" s="898"/>
      <c r="HY10" s="898"/>
      <c r="HZ10" s="898"/>
      <c r="IA10" s="898"/>
      <c r="IB10" s="898"/>
      <c r="IC10" s="898"/>
      <c r="ID10" s="898"/>
      <c r="IE10" s="898"/>
      <c r="IF10" s="898"/>
      <c r="IG10" s="898"/>
      <c r="IH10" s="898"/>
      <c r="II10" s="898"/>
      <c r="IJ10" s="898"/>
      <c r="IK10" s="898"/>
      <c r="IL10" s="898"/>
      <c r="IM10" s="898"/>
      <c r="IN10" s="898"/>
      <c r="IO10" s="898"/>
      <c r="IP10" s="898"/>
      <c r="IQ10" s="898"/>
      <c r="IR10" s="898"/>
      <c r="IS10" s="898"/>
      <c r="IT10" s="898"/>
      <c r="IU10" s="898"/>
      <c r="IV10" s="898"/>
    </row>
    <row r="11" spans="1:14" ht="12.75">
      <c r="A11" s="900"/>
      <c r="B11" s="901" t="s">
        <v>1025</v>
      </c>
      <c r="C11" s="902" t="s">
        <v>1026</v>
      </c>
      <c r="D11" s="903"/>
      <c r="E11" s="904">
        <v>25200</v>
      </c>
      <c r="F11" s="905">
        <v>20189141</v>
      </c>
      <c r="G11" s="903"/>
      <c r="H11" s="906"/>
      <c r="I11" s="906"/>
      <c r="J11" s="904"/>
      <c r="K11" s="905"/>
      <c r="L11" s="907">
        <f t="shared" si="0"/>
        <v>20189141</v>
      </c>
      <c r="M11" s="908"/>
      <c r="N11" s="897"/>
    </row>
    <row r="12" spans="1:14" ht="12.75">
      <c r="A12" s="900"/>
      <c r="B12" s="901" t="s">
        <v>1027</v>
      </c>
      <c r="C12" s="902" t="s">
        <v>1028</v>
      </c>
      <c r="D12" s="903"/>
      <c r="E12" s="904"/>
      <c r="F12" s="905">
        <v>30240000</v>
      </c>
      <c r="G12" s="903"/>
      <c r="H12" s="906"/>
      <c r="I12" s="906"/>
      <c r="J12" s="904"/>
      <c r="K12" s="905"/>
      <c r="L12" s="907">
        <f t="shared" si="0"/>
        <v>30240000</v>
      </c>
      <c r="M12" s="908"/>
      <c r="N12" s="897"/>
    </row>
    <row r="13" spans="1:14" ht="12.75">
      <c r="A13" s="900"/>
      <c r="B13" s="901" t="s">
        <v>1029</v>
      </c>
      <c r="C13" s="902" t="s">
        <v>1030</v>
      </c>
      <c r="D13" s="903"/>
      <c r="E13" s="904"/>
      <c r="F13" s="905">
        <v>0</v>
      </c>
      <c r="G13" s="903"/>
      <c r="H13" s="906"/>
      <c r="I13" s="906"/>
      <c r="J13" s="904"/>
      <c r="K13" s="905"/>
      <c r="L13" s="907">
        <f t="shared" si="0"/>
        <v>0</v>
      </c>
      <c r="M13" s="908"/>
      <c r="N13" s="897"/>
    </row>
    <row r="14" spans="1:14" ht="12.75">
      <c r="A14" s="900"/>
      <c r="B14" s="901" t="s">
        <v>1031</v>
      </c>
      <c r="C14" s="902" t="s">
        <v>1032</v>
      </c>
      <c r="D14" s="903"/>
      <c r="E14" s="904"/>
      <c r="F14" s="905">
        <v>15077340</v>
      </c>
      <c r="G14" s="903"/>
      <c r="H14" s="906"/>
      <c r="I14" s="906"/>
      <c r="J14" s="904"/>
      <c r="K14" s="905"/>
      <c r="L14" s="907">
        <f t="shared" si="0"/>
        <v>15077340</v>
      </c>
      <c r="M14" s="908"/>
      <c r="N14" s="897"/>
    </row>
    <row r="15" spans="1:256" ht="12.75">
      <c r="A15" s="899"/>
      <c r="B15" s="888" t="s">
        <v>1033</v>
      </c>
      <c r="C15" s="909" t="s">
        <v>1034</v>
      </c>
      <c r="D15" s="893">
        <v>8650</v>
      </c>
      <c r="E15" s="891">
        <v>2700</v>
      </c>
      <c r="F15" s="892">
        <v>0</v>
      </c>
      <c r="G15" s="893"/>
      <c r="H15" s="894"/>
      <c r="I15" s="894"/>
      <c r="J15" s="891"/>
      <c r="K15" s="892"/>
      <c r="L15" s="895">
        <f>F15+K15</f>
        <v>0</v>
      </c>
      <c r="M15" s="896"/>
      <c r="N15" s="897">
        <f>SUM(L15)</f>
        <v>0</v>
      </c>
      <c r="O15" s="898"/>
      <c r="P15" s="898"/>
      <c r="Q15" s="898"/>
      <c r="R15" s="898"/>
      <c r="S15" s="898"/>
      <c r="T15" s="898"/>
      <c r="U15" s="898"/>
      <c r="V15" s="898"/>
      <c r="W15" s="898"/>
      <c r="X15" s="898"/>
      <c r="Y15" s="898"/>
      <c r="Z15" s="898"/>
      <c r="AA15" s="898"/>
      <c r="AB15" s="898"/>
      <c r="AC15" s="898"/>
      <c r="AD15" s="898"/>
      <c r="AE15" s="898"/>
      <c r="AF15" s="898"/>
      <c r="AG15" s="898"/>
      <c r="AH15" s="898"/>
      <c r="AI15" s="898"/>
      <c r="AJ15" s="898"/>
      <c r="AK15" s="898"/>
      <c r="AL15" s="898"/>
      <c r="AM15" s="898"/>
      <c r="AN15" s="898"/>
      <c r="AO15" s="898"/>
      <c r="AP15" s="898"/>
      <c r="AQ15" s="898"/>
      <c r="AR15" s="898"/>
      <c r="AS15" s="898"/>
      <c r="AT15" s="898"/>
      <c r="AU15" s="898"/>
      <c r="AV15" s="898"/>
      <c r="AW15" s="898"/>
      <c r="AX15" s="898"/>
      <c r="AY15" s="898"/>
      <c r="AZ15" s="898"/>
      <c r="BA15" s="898"/>
      <c r="BB15" s="898"/>
      <c r="BC15" s="898"/>
      <c r="BD15" s="898"/>
      <c r="BE15" s="898"/>
      <c r="BF15" s="898"/>
      <c r="BG15" s="898"/>
      <c r="BH15" s="898"/>
      <c r="BI15" s="898"/>
      <c r="BJ15" s="898"/>
      <c r="BK15" s="898"/>
      <c r="BL15" s="898"/>
      <c r="BM15" s="898"/>
      <c r="BN15" s="898"/>
      <c r="BO15" s="898"/>
      <c r="BP15" s="898"/>
      <c r="BQ15" s="898"/>
      <c r="BR15" s="898"/>
      <c r="BS15" s="898"/>
      <c r="BT15" s="898"/>
      <c r="BU15" s="898"/>
      <c r="BV15" s="898"/>
      <c r="BW15" s="898"/>
      <c r="BX15" s="898"/>
      <c r="BY15" s="898"/>
      <c r="BZ15" s="898"/>
      <c r="CA15" s="898"/>
      <c r="CB15" s="898"/>
      <c r="CC15" s="898"/>
      <c r="CD15" s="898"/>
      <c r="CE15" s="898"/>
      <c r="CF15" s="898"/>
      <c r="CG15" s="898"/>
      <c r="CH15" s="898"/>
      <c r="CI15" s="898"/>
      <c r="CJ15" s="898"/>
      <c r="CK15" s="898"/>
      <c r="CL15" s="898"/>
      <c r="CM15" s="898"/>
      <c r="CN15" s="898"/>
      <c r="CO15" s="898"/>
      <c r="CP15" s="898"/>
      <c r="CQ15" s="898"/>
      <c r="CR15" s="898"/>
      <c r="CS15" s="898"/>
      <c r="CT15" s="898"/>
      <c r="CU15" s="898"/>
      <c r="CV15" s="898"/>
      <c r="CW15" s="898"/>
      <c r="CX15" s="898"/>
      <c r="CY15" s="898"/>
      <c r="CZ15" s="898"/>
      <c r="DA15" s="898"/>
      <c r="DB15" s="898"/>
      <c r="DC15" s="898"/>
      <c r="DD15" s="898"/>
      <c r="DE15" s="898"/>
      <c r="DF15" s="898"/>
      <c r="DG15" s="898"/>
      <c r="DH15" s="898"/>
      <c r="DI15" s="898"/>
      <c r="DJ15" s="898"/>
      <c r="DK15" s="898"/>
      <c r="DL15" s="898"/>
      <c r="DM15" s="898"/>
      <c r="DN15" s="898"/>
      <c r="DO15" s="898"/>
      <c r="DP15" s="898"/>
      <c r="DQ15" s="898"/>
      <c r="DR15" s="898"/>
      <c r="DS15" s="898"/>
      <c r="DT15" s="898"/>
      <c r="DU15" s="898"/>
      <c r="DV15" s="898"/>
      <c r="DW15" s="898"/>
      <c r="DX15" s="898"/>
      <c r="DY15" s="898"/>
      <c r="DZ15" s="898"/>
      <c r="EA15" s="898"/>
      <c r="EB15" s="898"/>
      <c r="EC15" s="898"/>
      <c r="ED15" s="898"/>
      <c r="EE15" s="898"/>
      <c r="EF15" s="898"/>
      <c r="EG15" s="898"/>
      <c r="EH15" s="898"/>
      <c r="EI15" s="898"/>
      <c r="EJ15" s="898"/>
      <c r="EK15" s="898"/>
      <c r="EL15" s="898"/>
      <c r="EM15" s="898"/>
      <c r="EN15" s="898"/>
      <c r="EO15" s="898"/>
      <c r="EP15" s="898"/>
      <c r="EQ15" s="898"/>
      <c r="ER15" s="898"/>
      <c r="ES15" s="898"/>
      <c r="ET15" s="898"/>
      <c r="EU15" s="898"/>
      <c r="EV15" s="898"/>
      <c r="EW15" s="898"/>
      <c r="EX15" s="898"/>
      <c r="EY15" s="898"/>
      <c r="EZ15" s="898"/>
      <c r="FA15" s="898"/>
      <c r="FB15" s="898"/>
      <c r="FC15" s="898"/>
      <c r="FD15" s="898"/>
      <c r="FE15" s="898"/>
      <c r="FF15" s="898"/>
      <c r="FG15" s="898"/>
      <c r="FH15" s="898"/>
      <c r="FI15" s="898"/>
      <c r="FJ15" s="898"/>
      <c r="FK15" s="898"/>
      <c r="FL15" s="898"/>
      <c r="FM15" s="898"/>
      <c r="FN15" s="898"/>
      <c r="FO15" s="898"/>
      <c r="FP15" s="898"/>
      <c r="FQ15" s="898"/>
      <c r="FR15" s="898"/>
      <c r="FS15" s="898"/>
      <c r="FT15" s="898"/>
      <c r="FU15" s="898"/>
      <c r="FV15" s="898"/>
      <c r="FW15" s="898"/>
      <c r="FX15" s="898"/>
      <c r="FY15" s="898"/>
      <c r="FZ15" s="898"/>
      <c r="GA15" s="898"/>
      <c r="GB15" s="898"/>
      <c r="GC15" s="898"/>
      <c r="GD15" s="898"/>
      <c r="GE15" s="898"/>
      <c r="GF15" s="898"/>
      <c r="GG15" s="898"/>
      <c r="GH15" s="898"/>
      <c r="GI15" s="898"/>
      <c r="GJ15" s="898"/>
      <c r="GK15" s="898"/>
      <c r="GL15" s="898"/>
      <c r="GM15" s="898"/>
      <c r="GN15" s="898"/>
      <c r="GO15" s="898"/>
      <c r="GP15" s="898"/>
      <c r="GQ15" s="898"/>
      <c r="GR15" s="898"/>
      <c r="GS15" s="898"/>
      <c r="GT15" s="898"/>
      <c r="GU15" s="898"/>
      <c r="GV15" s="898"/>
      <c r="GW15" s="898"/>
      <c r="GX15" s="898"/>
      <c r="GY15" s="898"/>
      <c r="GZ15" s="898"/>
      <c r="HA15" s="898"/>
      <c r="HB15" s="898"/>
      <c r="HC15" s="898"/>
      <c r="HD15" s="898"/>
      <c r="HE15" s="898"/>
      <c r="HF15" s="898"/>
      <c r="HG15" s="898"/>
      <c r="HH15" s="898"/>
      <c r="HI15" s="898"/>
      <c r="HJ15" s="898"/>
      <c r="HK15" s="898"/>
      <c r="HL15" s="898"/>
      <c r="HM15" s="898"/>
      <c r="HN15" s="898"/>
      <c r="HO15" s="898"/>
      <c r="HP15" s="898"/>
      <c r="HQ15" s="898"/>
      <c r="HR15" s="898"/>
      <c r="HS15" s="898"/>
      <c r="HT15" s="898"/>
      <c r="HU15" s="898"/>
      <c r="HV15" s="898"/>
      <c r="HW15" s="898"/>
      <c r="HX15" s="898"/>
      <c r="HY15" s="898"/>
      <c r="HZ15" s="898"/>
      <c r="IA15" s="898"/>
      <c r="IB15" s="898"/>
      <c r="IC15" s="898"/>
      <c r="ID15" s="898"/>
      <c r="IE15" s="898"/>
      <c r="IF15" s="898"/>
      <c r="IG15" s="898"/>
      <c r="IH15" s="898"/>
      <c r="II15" s="898"/>
      <c r="IJ15" s="898"/>
      <c r="IK15" s="898"/>
      <c r="IL15" s="898"/>
      <c r="IM15" s="898"/>
      <c r="IN15" s="898"/>
      <c r="IO15" s="898"/>
      <c r="IP15" s="898"/>
      <c r="IQ15" s="898"/>
      <c r="IR15" s="898"/>
      <c r="IS15" s="898"/>
      <c r="IT15" s="898"/>
      <c r="IU15" s="898"/>
      <c r="IV15" s="898"/>
    </row>
    <row r="16" spans="1:256" ht="12.75">
      <c r="A16" s="899"/>
      <c r="B16" s="888" t="s">
        <v>1035</v>
      </c>
      <c r="C16" s="909" t="s">
        <v>1036</v>
      </c>
      <c r="D16" s="893">
        <v>264</v>
      </c>
      <c r="E16" s="891">
        <v>2550</v>
      </c>
      <c r="F16" s="892">
        <v>0</v>
      </c>
      <c r="G16" s="893"/>
      <c r="H16" s="894"/>
      <c r="I16" s="894"/>
      <c r="J16" s="891"/>
      <c r="K16" s="892"/>
      <c r="L16" s="895">
        <f>F16+K16</f>
        <v>0</v>
      </c>
      <c r="M16" s="896"/>
      <c r="N16" s="897">
        <f>SUM(L16)</f>
        <v>0</v>
      </c>
      <c r="O16" s="898"/>
      <c r="P16" s="898"/>
      <c r="Q16" s="898"/>
      <c r="R16" s="898"/>
      <c r="S16" s="898"/>
      <c r="T16" s="898"/>
      <c r="U16" s="898"/>
      <c r="V16" s="898"/>
      <c r="W16" s="898"/>
      <c r="X16" s="898"/>
      <c r="Y16" s="898"/>
      <c r="Z16" s="898"/>
      <c r="AA16" s="898"/>
      <c r="AB16" s="898"/>
      <c r="AC16" s="898"/>
      <c r="AD16" s="898"/>
      <c r="AE16" s="898"/>
      <c r="AF16" s="898"/>
      <c r="AG16" s="898"/>
      <c r="AH16" s="898"/>
      <c r="AI16" s="898"/>
      <c r="AJ16" s="898"/>
      <c r="AK16" s="898"/>
      <c r="AL16" s="898"/>
      <c r="AM16" s="898"/>
      <c r="AN16" s="898"/>
      <c r="AO16" s="898"/>
      <c r="AP16" s="898"/>
      <c r="AQ16" s="898"/>
      <c r="AR16" s="898"/>
      <c r="AS16" s="898"/>
      <c r="AT16" s="898"/>
      <c r="AU16" s="898"/>
      <c r="AV16" s="898"/>
      <c r="AW16" s="898"/>
      <c r="AX16" s="898"/>
      <c r="AY16" s="898"/>
      <c r="AZ16" s="898"/>
      <c r="BA16" s="898"/>
      <c r="BB16" s="898"/>
      <c r="BC16" s="898"/>
      <c r="BD16" s="898"/>
      <c r="BE16" s="898"/>
      <c r="BF16" s="898"/>
      <c r="BG16" s="898"/>
      <c r="BH16" s="898"/>
      <c r="BI16" s="898"/>
      <c r="BJ16" s="898"/>
      <c r="BK16" s="898"/>
      <c r="BL16" s="898"/>
      <c r="BM16" s="898"/>
      <c r="BN16" s="898"/>
      <c r="BO16" s="898"/>
      <c r="BP16" s="898"/>
      <c r="BQ16" s="898"/>
      <c r="BR16" s="898"/>
      <c r="BS16" s="898"/>
      <c r="BT16" s="898"/>
      <c r="BU16" s="898"/>
      <c r="BV16" s="898"/>
      <c r="BW16" s="898"/>
      <c r="BX16" s="898"/>
      <c r="BY16" s="898"/>
      <c r="BZ16" s="898"/>
      <c r="CA16" s="898"/>
      <c r="CB16" s="898"/>
      <c r="CC16" s="898"/>
      <c r="CD16" s="898"/>
      <c r="CE16" s="898"/>
      <c r="CF16" s="898"/>
      <c r="CG16" s="898"/>
      <c r="CH16" s="898"/>
      <c r="CI16" s="898"/>
      <c r="CJ16" s="898"/>
      <c r="CK16" s="898"/>
      <c r="CL16" s="898"/>
      <c r="CM16" s="898"/>
      <c r="CN16" s="898"/>
      <c r="CO16" s="898"/>
      <c r="CP16" s="898"/>
      <c r="CQ16" s="898"/>
      <c r="CR16" s="898"/>
      <c r="CS16" s="898"/>
      <c r="CT16" s="898"/>
      <c r="CU16" s="898"/>
      <c r="CV16" s="898"/>
      <c r="CW16" s="898"/>
      <c r="CX16" s="898"/>
      <c r="CY16" s="898"/>
      <c r="CZ16" s="898"/>
      <c r="DA16" s="898"/>
      <c r="DB16" s="898"/>
      <c r="DC16" s="898"/>
      <c r="DD16" s="898"/>
      <c r="DE16" s="898"/>
      <c r="DF16" s="898"/>
      <c r="DG16" s="898"/>
      <c r="DH16" s="898"/>
      <c r="DI16" s="898"/>
      <c r="DJ16" s="898"/>
      <c r="DK16" s="898"/>
      <c r="DL16" s="898"/>
      <c r="DM16" s="898"/>
      <c r="DN16" s="898"/>
      <c r="DO16" s="898"/>
      <c r="DP16" s="898"/>
      <c r="DQ16" s="898"/>
      <c r="DR16" s="898"/>
      <c r="DS16" s="898"/>
      <c r="DT16" s="898"/>
      <c r="DU16" s="898"/>
      <c r="DV16" s="898"/>
      <c r="DW16" s="898"/>
      <c r="DX16" s="898"/>
      <c r="DY16" s="898"/>
      <c r="DZ16" s="898"/>
      <c r="EA16" s="898"/>
      <c r="EB16" s="898"/>
      <c r="EC16" s="898"/>
      <c r="ED16" s="898"/>
      <c r="EE16" s="898"/>
      <c r="EF16" s="898"/>
      <c r="EG16" s="898"/>
      <c r="EH16" s="898"/>
      <c r="EI16" s="898"/>
      <c r="EJ16" s="898"/>
      <c r="EK16" s="898"/>
      <c r="EL16" s="898"/>
      <c r="EM16" s="898"/>
      <c r="EN16" s="898"/>
      <c r="EO16" s="898"/>
      <c r="EP16" s="898"/>
      <c r="EQ16" s="898"/>
      <c r="ER16" s="898"/>
      <c r="ES16" s="898"/>
      <c r="ET16" s="898"/>
      <c r="EU16" s="898"/>
      <c r="EV16" s="898"/>
      <c r="EW16" s="898"/>
      <c r="EX16" s="898"/>
      <c r="EY16" s="898"/>
      <c r="EZ16" s="898"/>
      <c r="FA16" s="898"/>
      <c r="FB16" s="898"/>
      <c r="FC16" s="898"/>
      <c r="FD16" s="898"/>
      <c r="FE16" s="898"/>
      <c r="FF16" s="898"/>
      <c r="FG16" s="898"/>
      <c r="FH16" s="898"/>
      <c r="FI16" s="898"/>
      <c r="FJ16" s="898"/>
      <c r="FK16" s="898"/>
      <c r="FL16" s="898"/>
      <c r="FM16" s="898"/>
      <c r="FN16" s="898"/>
      <c r="FO16" s="898"/>
      <c r="FP16" s="898"/>
      <c r="FQ16" s="898"/>
      <c r="FR16" s="898"/>
      <c r="FS16" s="898"/>
      <c r="FT16" s="898"/>
      <c r="FU16" s="898"/>
      <c r="FV16" s="898"/>
      <c r="FW16" s="898"/>
      <c r="FX16" s="898"/>
      <c r="FY16" s="898"/>
      <c r="FZ16" s="898"/>
      <c r="GA16" s="898"/>
      <c r="GB16" s="898"/>
      <c r="GC16" s="898"/>
      <c r="GD16" s="898"/>
      <c r="GE16" s="898"/>
      <c r="GF16" s="898"/>
      <c r="GG16" s="898"/>
      <c r="GH16" s="898"/>
      <c r="GI16" s="898"/>
      <c r="GJ16" s="898"/>
      <c r="GK16" s="898"/>
      <c r="GL16" s="898"/>
      <c r="GM16" s="898"/>
      <c r="GN16" s="898"/>
      <c r="GO16" s="898"/>
      <c r="GP16" s="898"/>
      <c r="GQ16" s="898"/>
      <c r="GR16" s="898"/>
      <c r="GS16" s="898"/>
      <c r="GT16" s="898"/>
      <c r="GU16" s="898"/>
      <c r="GV16" s="898"/>
      <c r="GW16" s="898"/>
      <c r="GX16" s="898"/>
      <c r="GY16" s="898"/>
      <c r="GZ16" s="898"/>
      <c r="HA16" s="898"/>
      <c r="HB16" s="898"/>
      <c r="HC16" s="898"/>
      <c r="HD16" s="898"/>
      <c r="HE16" s="898"/>
      <c r="HF16" s="898"/>
      <c r="HG16" s="898"/>
      <c r="HH16" s="898"/>
      <c r="HI16" s="898"/>
      <c r="HJ16" s="898"/>
      <c r="HK16" s="898"/>
      <c r="HL16" s="898"/>
      <c r="HM16" s="898"/>
      <c r="HN16" s="898"/>
      <c r="HO16" s="898"/>
      <c r="HP16" s="898"/>
      <c r="HQ16" s="898"/>
      <c r="HR16" s="898"/>
      <c r="HS16" s="898"/>
      <c r="HT16" s="898"/>
      <c r="HU16" s="898"/>
      <c r="HV16" s="898"/>
      <c r="HW16" s="898"/>
      <c r="HX16" s="898"/>
      <c r="HY16" s="898"/>
      <c r="HZ16" s="898"/>
      <c r="IA16" s="898"/>
      <c r="IB16" s="898"/>
      <c r="IC16" s="898"/>
      <c r="ID16" s="898"/>
      <c r="IE16" s="898"/>
      <c r="IF16" s="898"/>
      <c r="IG16" s="898"/>
      <c r="IH16" s="898"/>
      <c r="II16" s="898"/>
      <c r="IJ16" s="898"/>
      <c r="IK16" s="898"/>
      <c r="IL16" s="898"/>
      <c r="IM16" s="898"/>
      <c r="IN16" s="898"/>
      <c r="IO16" s="898"/>
      <c r="IP16" s="898"/>
      <c r="IQ16" s="898"/>
      <c r="IR16" s="898"/>
      <c r="IS16" s="898"/>
      <c r="IT16" s="898"/>
      <c r="IU16" s="898"/>
      <c r="IV16" s="898"/>
    </row>
    <row r="17" spans="1:256" ht="12.75">
      <c r="A17" s="899"/>
      <c r="B17" s="888" t="s">
        <v>1037</v>
      </c>
      <c r="C17" s="909" t="s">
        <v>1038</v>
      </c>
      <c r="D17" s="893"/>
      <c r="E17" s="891"/>
      <c r="F17" s="892">
        <v>1538000</v>
      </c>
      <c r="G17" s="893"/>
      <c r="H17" s="894"/>
      <c r="I17" s="894"/>
      <c r="J17" s="891"/>
      <c r="K17" s="892"/>
      <c r="L17" s="895">
        <f>F17+K17</f>
        <v>1538000</v>
      </c>
      <c r="M17" s="896"/>
      <c r="N17" s="897">
        <f>SUM(L17)</f>
        <v>1538000</v>
      </c>
      <c r="O17" s="898"/>
      <c r="P17" s="898"/>
      <c r="Q17" s="898"/>
      <c r="R17" s="898"/>
      <c r="S17" s="898"/>
      <c r="T17" s="898"/>
      <c r="U17" s="898"/>
      <c r="V17" s="898"/>
      <c r="W17" s="898"/>
      <c r="X17" s="898"/>
      <c r="Y17" s="898"/>
      <c r="Z17" s="898"/>
      <c r="AA17" s="898"/>
      <c r="AB17" s="898"/>
      <c r="AC17" s="898"/>
      <c r="AD17" s="898"/>
      <c r="AE17" s="898"/>
      <c r="AF17" s="898"/>
      <c r="AG17" s="898"/>
      <c r="AH17" s="898"/>
      <c r="AI17" s="898"/>
      <c r="AJ17" s="898"/>
      <c r="AK17" s="898"/>
      <c r="AL17" s="898"/>
      <c r="AM17" s="898"/>
      <c r="AN17" s="898"/>
      <c r="AO17" s="898"/>
      <c r="AP17" s="898"/>
      <c r="AQ17" s="898"/>
      <c r="AR17" s="898"/>
      <c r="AS17" s="898"/>
      <c r="AT17" s="898"/>
      <c r="AU17" s="898"/>
      <c r="AV17" s="898"/>
      <c r="AW17" s="898"/>
      <c r="AX17" s="898"/>
      <c r="AY17" s="898"/>
      <c r="AZ17" s="898"/>
      <c r="BA17" s="898"/>
      <c r="BB17" s="898"/>
      <c r="BC17" s="898"/>
      <c r="BD17" s="898"/>
      <c r="BE17" s="898"/>
      <c r="BF17" s="898"/>
      <c r="BG17" s="898"/>
      <c r="BH17" s="898"/>
      <c r="BI17" s="898"/>
      <c r="BJ17" s="898"/>
      <c r="BK17" s="898"/>
      <c r="BL17" s="898"/>
      <c r="BM17" s="898"/>
      <c r="BN17" s="898"/>
      <c r="BO17" s="898"/>
      <c r="BP17" s="898"/>
      <c r="BQ17" s="898"/>
      <c r="BR17" s="898"/>
      <c r="BS17" s="898"/>
      <c r="BT17" s="898"/>
      <c r="BU17" s="898"/>
      <c r="BV17" s="898"/>
      <c r="BW17" s="898"/>
      <c r="BX17" s="898"/>
      <c r="BY17" s="898"/>
      <c r="BZ17" s="898"/>
      <c r="CA17" s="898"/>
      <c r="CB17" s="898"/>
      <c r="CC17" s="898"/>
      <c r="CD17" s="898"/>
      <c r="CE17" s="898"/>
      <c r="CF17" s="898"/>
      <c r="CG17" s="898"/>
      <c r="CH17" s="898"/>
      <c r="CI17" s="898"/>
      <c r="CJ17" s="898"/>
      <c r="CK17" s="898"/>
      <c r="CL17" s="898"/>
      <c r="CM17" s="898"/>
      <c r="CN17" s="898"/>
      <c r="CO17" s="898"/>
      <c r="CP17" s="898"/>
      <c r="CQ17" s="898"/>
      <c r="CR17" s="898"/>
      <c r="CS17" s="898"/>
      <c r="CT17" s="898"/>
      <c r="CU17" s="898"/>
      <c r="CV17" s="898"/>
      <c r="CW17" s="898"/>
      <c r="CX17" s="898"/>
      <c r="CY17" s="898"/>
      <c r="CZ17" s="898"/>
      <c r="DA17" s="898"/>
      <c r="DB17" s="898"/>
      <c r="DC17" s="898"/>
      <c r="DD17" s="898"/>
      <c r="DE17" s="898"/>
      <c r="DF17" s="898"/>
      <c r="DG17" s="898"/>
      <c r="DH17" s="898"/>
      <c r="DI17" s="898"/>
      <c r="DJ17" s="898"/>
      <c r="DK17" s="898"/>
      <c r="DL17" s="898"/>
      <c r="DM17" s="898"/>
      <c r="DN17" s="898"/>
      <c r="DO17" s="898"/>
      <c r="DP17" s="898"/>
      <c r="DQ17" s="898"/>
      <c r="DR17" s="898"/>
      <c r="DS17" s="898"/>
      <c r="DT17" s="898"/>
      <c r="DU17" s="898"/>
      <c r="DV17" s="898"/>
      <c r="DW17" s="898"/>
      <c r="DX17" s="898"/>
      <c r="DY17" s="898"/>
      <c r="DZ17" s="898"/>
      <c r="EA17" s="898"/>
      <c r="EB17" s="898"/>
      <c r="EC17" s="898"/>
      <c r="ED17" s="898"/>
      <c r="EE17" s="898"/>
      <c r="EF17" s="898"/>
      <c r="EG17" s="898"/>
      <c r="EH17" s="898"/>
      <c r="EI17" s="898"/>
      <c r="EJ17" s="898"/>
      <c r="EK17" s="898"/>
      <c r="EL17" s="898"/>
      <c r="EM17" s="898"/>
      <c r="EN17" s="898"/>
      <c r="EO17" s="898"/>
      <c r="EP17" s="898"/>
      <c r="EQ17" s="898"/>
      <c r="ER17" s="898"/>
      <c r="ES17" s="898"/>
      <c r="ET17" s="898"/>
      <c r="EU17" s="898"/>
      <c r="EV17" s="898"/>
      <c r="EW17" s="898"/>
      <c r="EX17" s="898"/>
      <c r="EY17" s="898"/>
      <c r="EZ17" s="898"/>
      <c r="FA17" s="898"/>
      <c r="FB17" s="898"/>
      <c r="FC17" s="898"/>
      <c r="FD17" s="898"/>
      <c r="FE17" s="898"/>
      <c r="FF17" s="898"/>
      <c r="FG17" s="898"/>
      <c r="FH17" s="898"/>
      <c r="FI17" s="898"/>
      <c r="FJ17" s="898"/>
      <c r="FK17" s="898"/>
      <c r="FL17" s="898"/>
      <c r="FM17" s="898"/>
      <c r="FN17" s="898"/>
      <c r="FO17" s="898"/>
      <c r="FP17" s="898"/>
      <c r="FQ17" s="898"/>
      <c r="FR17" s="898"/>
      <c r="FS17" s="898"/>
      <c r="FT17" s="898"/>
      <c r="FU17" s="898"/>
      <c r="FV17" s="898"/>
      <c r="FW17" s="898"/>
      <c r="FX17" s="898"/>
      <c r="FY17" s="898"/>
      <c r="FZ17" s="898"/>
      <c r="GA17" s="898"/>
      <c r="GB17" s="898"/>
      <c r="GC17" s="898"/>
      <c r="GD17" s="898"/>
      <c r="GE17" s="898"/>
      <c r="GF17" s="898"/>
      <c r="GG17" s="898"/>
      <c r="GH17" s="898"/>
      <c r="GI17" s="898"/>
      <c r="GJ17" s="898"/>
      <c r="GK17" s="898"/>
      <c r="GL17" s="898"/>
      <c r="GM17" s="898"/>
      <c r="GN17" s="898"/>
      <c r="GO17" s="898"/>
      <c r="GP17" s="898"/>
      <c r="GQ17" s="898"/>
      <c r="GR17" s="898"/>
      <c r="GS17" s="898"/>
      <c r="GT17" s="898"/>
      <c r="GU17" s="898"/>
      <c r="GV17" s="898"/>
      <c r="GW17" s="898"/>
      <c r="GX17" s="898"/>
      <c r="GY17" s="898"/>
      <c r="GZ17" s="898"/>
      <c r="HA17" s="898"/>
      <c r="HB17" s="898"/>
      <c r="HC17" s="898"/>
      <c r="HD17" s="898"/>
      <c r="HE17" s="898"/>
      <c r="HF17" s="898"/>
      <c r="HG17" s="898"/>
      <c r="HH17" s="898"/>
      <c r="HI17" s="898"/>
      <c r="HJ17" s="898"/>
      <c r="HK17" s="898"/>
      <c r="HL17" s="898"/>
      <c r="HM17" s="898"/>
      <c r="HN17" s="898"/>
      <c r="HO17" s="898"/>
      <c r="HP17" s="898"/>
      <c r="HQ17" s="898"/>
      <c r="HR17" s="898"/>
      <c r="HS17" s="898"/>
      <c r="HT17" s="898"/>
      <c r="HU17" s="898"/>
      <c r="HV17" s="898"/>
      <c r="HW17" s="898"/>
      <c r="HX17" s="898"/>
      <c r="HY17" s="898"/>
      <c r="HZ17" s="898"/>
      <c r="IA17" s="898"/>
      <c r="IB17" s="898"/>
      <c r="IC17" s="898"/>
      <c r="ID17" s="898"/>
      <c r="IE17" s="898"/>
      <c r="IF17" s="898"/>
      <c r="IG17" s="898"/>
      <c r="IH17" s="898"/>
      <c r="II17" s="898"/>
      <c r="IJ17" s="898"/>
      <c r="IK17" s="898"/>
      <c r="IL17" s="898"/>
      <c r="IM17" s="898"/>
      <c r="IN17" s="898"/>
      <c r="IO17" s="898"/>
      <c r="IP17" s="898"/>
      <c r="IQ17" s="898"/>
      <c r="IR17" s="898"/>
      <c r="IS17" s="898"/>
      <c r="IT17" s="898"/>
      <c r="IU17" s="898"/>
      <c r="IV17" s="898"/>
    </row>
    <row r="18" spans="1:256" ht="25.5">
      <c r="A18" s="887" t="s">
        <v>1039</v>
      </c>
      <c r="B18" s="888" t="s">
        <v>1040</v>
      </c>
      <c r="C18" s="889" t="s">
        <v>1041</v>
      </c>
      <c r="D18" s="910"/>
      <c r="E18" s="911"/>
      <c r="F18" s="892">
        <f>383873+42300</f>
        <v>426173</v>
      </c>
      <c r="G18" s="912"/>
      <c r="H18" s="894"/>
      <c r="I18" s="913"/>
      <c r="J18" s="891"/>
      <c r="K18" s="892"/>
      <c r="L18" s="895">
        <f>F18+K18</f>
        <v>426173</v>
      </c>
      <c r="M18" s="896"/>
      <c r="N18" s="897">
        <f>SUM(L18)</f>
        <v>426173</v>
      </c>
      <c r="O18" s="898"/>
      <c r="P18" s="898"/>
      <c r="Q18" s="898"/>
      <c r="R18" s="898"/>
      <c r="S18" s="898"/>
      <c r="T18" s="898"/>
      <c r="U18" s="898"/>
      <c r="V18" s="898"/>
      <c r="W18" s="898"/>
      <c r="X18" s="898"/>
      <c r="Y18" s="898"/>
      <c r="Z18" s="898"/>
      <c r="AA18" s="898"/>
      <c r="AB18" s="898"/>
      <c r="AC18" s="898"/>
      <c r="AD18" s="898"/>
      <c r="AE18" s="898"/>
      <c r="AF18" s="898"/>
      <c r="AG18" s="898"/>
      <c r="AH18" s="898"/>
      <c r="AI18" s="898"/>
      <c r="AJ18" s="898"/>
      <c r="AK18" s="898"/>
      <c r="AL18" s="898"/>
      <c r="AM18" s="898"/>
      <c r="AN18" s="898"/>
      <c r="AO18" s="898"/>
      <c r="AP18" s="898"/>
      <c r="AQ18" s="898"/>
      <c r="AR18" s="898"/>
      <c r="AS18" s="898"/>
      <c r="AT18" s="898"/>
      <c r="AU18" s="898"/>
      <c r="AV18" s="898"/>
      <c r="AW18" s="898"/>
      <c r="AX18" s="898"/>
      <c r="AY18" s="898"/>
      <c r="AZ18" s="898"/>
      <c r="BA18" s="898"/>
      <c r="BB18" s="898"/>
      <c r="BC18" s="898"/>
      <c r="BD18" s="898"/>
      <c r="BE18" s="898"/>
      <c r="BF18" s="898"/>
      <c r="BG18" s="898"/>
      <c r="BH18" s="898"/>
      <c r="BI18" s="898"/>
      <c r="BJ18" s="898"/>
      <c r="BK18" s="898"/>
      <c r="BL18" s="898"/>
      <c r="BM18" s="898"/>
      <c r="BN18" s="898"/>
      <c r="BO18" s="898"/>
      <c r="BP18" s="898"/>
      <c r="BQ18" s="898"/>
      <c r="BR18" s="898"/>
      <c r="BS18" s="898"/>
      <c r="BT18" s="898"/>
      <c r="BU18" s="898"/>
      <c r="BV18" s="898"/>
      <c r="BW18" s="898"/>
      <c r="BX18" s="898"/>
      <c r="BY18" s="898"/>
      <c r="BZ18" s="898"/>
      <c r="CA18" s="898"/>
      <c r="CB18" s="898"/>
      <c r="CC18" s="898"/>
      <c r="CD18" s="898"/>
      <c r="CE18" s="898"/>
      <c r="CF18" s="898"/>
      <c r="CG18" s="898"/>
      <c r="CH18" s="898"/>
      <c r="CI18" s="898"/>
      <c r="CJ18" s="898"/>
      <c r="CK18" s="898"/>
      <c r="CL18" s="898"/>
      <c r="CM18" s="898"/>
      <c r="CN18" s="898"/>
      <c r="CO18" s="898"/>
      <c r="CP18" s="898"/>
      <c r="CQ18" s="898"/>
      <c r="CR18" s="898"/>
      <c r="CS18" s="898"/>
      <c r="CT18" s="898"/>
      <c r="CU18" s="898"/>
      <c r="CV18" s="898"/>
      <c r="CW18" s="898"/>
      <c r="CX18" s="898"/>
      <c r="CY18" s="898"/>
      <c r="CZ18" s="898"/>
      <c r="DA18" s="898"/>
      <c r="DB18" s="898"/>
      <c r="DC18" s="898"/>
      <c r="DD18" s="898"/>
      <c r="DE18" s="898"/>
      <c r="DF18" s="898"/>
      <c r="DG18" s="898"/>
      <c r="DH18" s="898"/>
      <c r="DI18" s="898"/>
      <c r="DJ18" s="898"/>
      <c r="DK18" s="898"/>
      <c r="DL18" s="898"/>
      <c r="DM18" s="898"/>
      <c r="DN18" s="898"/>
      <c r="DO18" s="898"/>
      <c r="DP18" s="898"/>
      <c r="DQ18" s="898"/>
      <c r="DR18" s="898"/>
      <c r="DS18" s="898"/>
      <c r="DT18" s="898"/>
      <c r="DU18" s="898"/>
      <c r="DV18" s="898"/>
      <c r="DW18" s="898"/>
      <c r="DX18" s="898"/>
      <c r="DY18" s="898"/>
      <c r="DZ18" s="898"/>
      <c r="EA18" s="898"/>
      <c r="EB18" s="898"/>
      <c r="EC18" s="898"/>
      <c r="ED18" s="898"/>
      <c r="EE18" s="898"/>
      <c r="EF18" s="898"/>
      <c r="EG18" s="898"/>
      <c r="EH18" s="898"/>
      <c r="EI18" s="898"/>
      <c r="EJ18" s="898"/>
      <c r="EK18" s="898"/>
      <c r="EL18" s="898"/>
      <c r="EM18" s="898"/>
      <c r="EN18" s="898"/>
      <c r="EO18" s="898"/>
      <c r="EP18" s="898"/>
      <c r="EQ18" s="898"/>
      <c r="ER18" s="898"/>
      <c r="ES18" s="898"/>
      <c r="ET18" s="898"/>
      <c r="EU18" s="898"/>
      <c r="EV18" s="898"/>
      <c r="EW18" s="898"/>
      <c r="EX18" s="898"/>
      <c r="EY18" s="898"/>
      <c r="EZ18" s="898"/>
      <c r="FA18" s="898"/>
      <c r="FB18" s="898"/>
      <c r="FC18" s="898"/>
      <c r="FD18" s="898"/>
      <c r="FE18" s="898"/>
      <c r="FF18" s="898"/>
      <c r="FG18" s="898"/>
      <c r="FH18" s="898"/>
      <c r="FI18" s="898"/>
      <c r="FJ18" s="898"/>
      <c r="FK18" s="898"/>
      <c r="FL18" s="898"/>
      <c r="FM18" s="898"/>
      <c r="FN18" s="898"/>
      <c r="FO18" s="898"/>
      <c r="FP18" s="898"/>
      <c r="FQ18" s="898"/>
      <c r="FR18" s="898"/>
      <c r="FS18" s="898"/>
      <c r="FT18" s="898"/>
      <c r="FU18" s="898"/>
      <c r="FV18" s="898"/>
      <c r="FW18" s="898"/>
      <c r="FX18" s="898"/>
      <c r="FY18" s="898"/>
      <c r="FZ18" s="898"/>
      <c r="GA18" s="898"/>
      <c r="GB18" s="898"/>
      <c r="GC18" s="898"/>
      <c r="GD18" s="898"/>
      <c r="GE18" s="898"/>
      <c r="GF18" s="898"/>
      <c r="GG18" s="898"/>
      <c r="GH18" s="898"/>
      <c r="GI18" s="898"/>
      <c r="GJ18" s="898"/>
      <c r="GK18" s="898"/>
      <c r="GL18" s="898"/>
      <c r="GM18" s="898"/>
      <c r="GN18" s="898"/>
      <c r="GO18" s="898"/>
      <c r="GP18" s="898"/>
      <c r="GQ18" s="898"/>
      <c r="GR18" s="898"/>
      <c r="GS18" s="898"/>
      <c r="GT18" s="898"/>
      <c r="GU18" s="898"/>
      <c r="GV18" s="898"/>
      <c r="GW18" s="898"/>
      <c r="GX18" s="898"/>
      <c r="GY18" s="898"/>
      <c r="GZ18" s="898"/>
      <c r="HA18" s="898"/>
      <c r="HB18" s="898"/>
      <c r="HC18" s="898"/>
      <c r="HD18" s="898"/>
      <c r="HE18" s="898"/>
      <c r="HF18" s="898"/>
      <c r="HG18" s="898"/>
      <c r="HH18" s="898"/>
      <c r="HI18" s="898"/>
      <c r="HJ18" s="898"/>
      <c r="HK18" s="898"/>
      <c r="HL18" s="898"/>
      <c r="HM18" s="898"/>
      <c r="HN18" s="898"/>
      <c r="HO18" s="898"/>
      <c r="HP18" s="898"/>
      <c r="HQ18" s="898"/>
      <c r="HR18" s="898"/>
      <c r="HS18" s="898"/>
      <c r="HT18" s="898"/>
      <c r="HU18" s="898"/>
      <c r="HV18" s="898"/>
      <c r="HW18" s="898"/>
      <c r="HX18" s="898"/>
      <c r="HY18" s="898"/>
      <c r="HZ18" s="898"/>
      <c r="IA18" s="898"/>
      <c r="IB18" s="898"/>
      <c r="IC18" s="898"/>
      <c r="ID18" s="898"/>
      <c r="IE18" s="898"/>
      <c r="IF18" s="898"/>
      <c r="IG18" s="898"/>
      <c r="IH18" s="898"/>
      <c r="II18" s="898"/>
      <c r="IJ18" s="898"/>
      <c r="IK18" s="898"/>
      <c r="IL18" s="898"/>
      <c r="IM18" s="898"/>
      <c r="IN18" s="898"/>
      <c r="IO18" s="898"/>
      <c r="IP18" s="898"/>
      <c r="IQ18" s="898"/>
      <c r="IR18" s="898"/>
      <c r="IS18" s="898"/>
      <c r="IT18" s="898"/>
      <c r="IU18" s="898"/>
      <c r="IV18" s="898"/>
    </row>
    <row r="19" spans="2:14" ht="25.5">
      <c r="B19" s="914"/>
      <c r="C19" s="878" t="s">
        <v>1042</v>
      </c>
      <c r="D19" s="915"/>
      <c r="E19" s="916"/>
      <c r="F19" s="881"/>
      <c r="G19" s="915"/>
      <c r="H19" s="917"/>
      <c r="I19" s="917"/>
      <c r="J19" s="916"/>
      <c r="K19" s="881">
        <f>K20+K23+K24</f>
        <v>129496325</v>
      </c>
      <c r="L19" s="883">
        <f>F19+K19</f>
        <v>129496325</v>
      </c>
      <c r="M19" s="908"/>
      <c r="N19" s="918">
        <f>SUM(N23:N24,+N20)</f>
        <v>129496325</v>
      </c>
    </row>
    <row r="20" spans="1:256" ht="25.5">
      <c r="A20" s="887" t="s">
        <v>1043</v>
      </c>
      <c r="B20" s="888" t="s">
        <v>1044</v>
      </c>
      <c r="C20" s="889" t="s">
        <v>1045</v>
      </c>
      <c r="D20" s="893"/>
      <c r="E20" s="891"/>
      <c r="F20" s="892"/>
      <c r="G20" s="893"/>
      <c r="H20" s="894"/>
      <c r="I20" s="894"/>
      <c r="J20" s="891"/>
      <c r="K20" s="892">
        <f>SUM(K21:K22)</f>
        <v>103316800</v>
      </c>
      <c r="L20" s="895">
        <f>SUM(K20,F20)</f>
        <v>103316800</v>
      </c>
      <c r="M20" s="896"/>
      <c r="N20" s="897">
        <f>SUM(L21:L22)</f>
        <v>103316800</v>
      </c>
      <c r="O20" s="898"/>
      <c r="P20" s="898"/>
      <c r="Q20" s="898"/>
      <c r="R20" s="898"/>
      <c r="S20" s="898"/>
      <c r="T20" s="898"/>
      <c r="U20" s="898"/>
      <c r="V20" s="898"/>
      <c r="W20" s="898"/>
      <c r="X20" s="898"/>
      <c r="Y20" s="898"/>
      <c r="Z20" s="898"/>
      <c r="AA20" s="898"/>
      <c r="AB20" s="898"/>
      <c r="AC20" s="898"/>
      <c r="AD20" s="898"/>
      <c r="AE20" s="898"/>
      <c r="AF20" s="898"/>
      <c r="AG20" s="898"/>
      <c r="AH20" s="898"/>
      <c r="AI20" s="898"/>
      <c r="AJ20" s="898"/>
      <c r="AK20" s="898"/>
      <c r="AL20" s="898"/>
      <c r="AM20" s="898"/>
      <c r="AN20" s="898"/>
      <c r="AO20" s="898"/>
      <c r="AP20" s="898"/>
      <c r="AQ20" s="898"/>
      <c r="AR20" s="898"/>
      <c r="AS20" s="898"/>
      <c r="AT20" s="898"/>
      <c r="AU20" s="898"/>
      <c r="AV20" s="898"/>
      <c r="AW20" s="898"/>
      <c r="AX20" s="898"/>
      <c r="AY20" s="898"/>
      <c r="AZ20" s="898"/>
      <c r="BA20" s="898"/>
      <c r="BB20" s="898"/>
      <c r="BC20" s="898"/>
      <c r="BD20" s="898"/>
      <c r="BE20" s="898"/>
      <c r="BF20" s="898"/>
      <c r="BG20" s="898"/>
      <c r="BH20" s="898"/>
      <c r="BI20" s="898"/>
      <c r="BJ20" s="898"/>
      <c r="BK20" s="898"/>
      <c r="BL20" s="898"/>
      <c r="BM20" s="898"/>
      <c r="BN20" s="898"/>
      <c r="BO20" s="898"/>
      <c r="BP20" s="898"/>
      <c r="BQ20" s="898"/>
      <c r="BR20" s="898"/>
      <c r="BS20" s="898"/>
      <c r="BT20" s="898"/>
      <c r="BU20" s="898"/>
      <c r="BV20" s="898"/>
      <c r="BW20" s="898"/>
      <c r="BX20" s="898"/>
      <c r="BY20" s="898"/>
      <c r="BZ20" s="898"/>
      <c r="CA20" s="898"/>
      <c r="CB20" s="898"/>
      <c r="CC20" s="898"/>
      <c r="CD20" s="898"/>
      <c r="CE20" s="898"/>
      <c r="CF20" s="898"/>
      <c r="CG20" s="898"/>
      <c r="CH20" s="898"/>
      <c r="CI20" s="898"/>
      <c r="CJ20" s="898"/>
      <c r="CK20" s="898"/>
      <c r="CL20" s="898"/>
      <c r="CM20" s="898"/>
      <c r="CN20" s="898"/>
      <c r="CO20" s="898"/>
      <c r="CP20" s="898"/>
      <c r="CQ20" s="898"/>
      <c r="CR20" s="898"/>
      <c r="CS20" s="898"/>
      <c r="CT20" s="898"/>
      <c r="CU20" s="898"/>
      <c r="CV20" s="898"/>
      <c r="CW20" s="898"/>
      <c r="CX20" s="898"/>
      <c r="CY20" s="898"/>
      <c r="CZ20" s="898"/>
      <c r="DA20" s="898"/>
      <c r="DB20" s="898"/>
      <c r="DC20" s="898"/>
      <c r="DD20" s="898"/>
      <c r="DE20" s="898"/>
      <c r="DF20" s="898"/>
      <c r="DG20" s="898"/>
      <c r="DH20" s="898"/>
      <c r="DI20" s="898"/>
      <c r="DJ20" s="898"/>
      <c r="DK20" s="898"/>
      <c r="DL20" s="898"/>
      <c r="DM20" s="898"/>
      <c r="DN20" s="898"/>
      <c r="DO20" s="898"/>
      <c r="DP20" s="898"/>
      <c r="DQ20" s="898"/>
      <c r="DR20" s="898"/>
      <c r="DS20" s="898"/>
      <c r="DT20" s="898"/>
      <c r="DU20" s="898"/>
      <c r="DV20" s="898"/>
      <c r="DW20" s="898"/>
      <c r="DX20" s="898"/>
      <c r="DY20" s="898"/>
      <c r="DZ20" s="898"/>
      <c r="EA20" s="898"/>
      <c r="EB20" s="898"/>
      <c r="EC20" s="898"/>
      <c r="ED20" s="898"/>
      <c r="EE20" s="898"/>
      <c r="EF20" s="898"/>
      <c r="EG20" s="898"/>
      <c r="EH20" s="898"/>
      <c r="EI20" s="898"/>
      <c r="EJ20" s="898"/>
      <c r="EK20" s="898"/>
      <c r="EL20" s="898"/>
      <c r="EM20" s="898"/>
      <c r="EN20" s="898"/>
      <c r="EO20" s="898"/>
      <c r="EP20" s="898"/>
      <c r="EQ20" s="898"/>
      <c r="ER20" s="898"/>
      <c r="ES20" s="898"/>
      <c r="ET20" s="898"/>
      <c r="EU20" s="898"/>
      <c r="EV20" s="898"/>
      <c r="EW20" s="898"/>
      <c r="EX20" s="898"/>
      <c r="EY20" s="898"/>
      <c r="EZ20" s="898"/>
      <c r="FA20" s="898"/>
      <c r="FB20" s="898"/>
      <c r="FC20" s="898"/>
      <c r="FD20" s="898"/>
      <c r="FE20" s="898"/>
      <c r="FF20" s="898"/>
      <c r="FG20" s="898"/>
      <c r="FH20" s="898"/>
      <c r="FI20" s="898"/>
      <c r="FJ20" s="898"/>
      <c r="FK20" s="898"/>
      <c r="FL20" s="898"/>
      <c r="FM20" s="898"/>
      <c r="FN20" s="898"/>
      <c r="FO20" s="898"/>
      <c r="FP20" s="898"/>
      <c r="FQ20" s="898"/>
      <c r="FR20" s="898"/>
      <c r="FS20" s="898"/>
      <c r="FT20" s="898"/>
      <c r="FU20" s="898"/>
      <c r="FV20" s="898"/>
      <c r="FW20" s="898"/>
      <c r="FX20" s="898"/>
      <c r="FY20" s="898"/>
      <c r="FZ20" s="898"/>
      <c r="GA20" s="898"/>
      <c r="GB20" s="898"/>
      <c r="GC20" s="898"/>
      <c r="GD20" s="898"/>
      <c r="GE20" s="898"/>
      <c r="GF20" s="898"/>
      <c r="GG20" s="898"/>
      <c r="GH20" s="898"/>
      <c r="GI20" s="898"/>
      <c r="GJ20" s="898"/>
      <c r="GK20" s="898"/>
      <c r="GL20" s="898"/>
      <c r="GM20" s="898"/>
      <c r="GN20" s="898"/>
      <c r="GO20" s="898"/>
      <c r="GP20" s="898"/>
      <c r="GQ20" s="898"/>
      <c r="GR20" s="898"/>
      <c r="GS20" s="898"/>
      <c r="GT20" s="898"/>
      <c r="GU20" s="898"/>
      <c r="GV20" s="898"/>
      <c r="GW20" s="898"/>
      <c r="GX20" s="898"/>
      <c r="GY20" s="898"/>
      <c r="GZ20" s="898"/>
      <c r="HA20" s="898"/>
      <c r="HB20" s="898"/>
      <c r="HC20" s="898"/>
      <c r="HD20" s="898"/>
      <c r="HE20" s="898"/>
      <c r="HF20" s="898"/>
      <c r="HG20" s="898"/>
      <c r="HH20" s="898"/>
      <c r="HI20" s="898"/>
      <c r="HJ20" s="898"/>
      <c r="HK20" s="898"/>
      <c r="HL20" s="898"/>
      <c r="HM20" s="898"/>
      <c r="HN20" s="898"/>
      <c r="HO20" s="898"/>
      <c r="HP20" s="898"/>
      <c r="HQ20" s="898"/>
      <c r="HR20" s="898"/>
      <c r="HS20" s="898"/>
      <c r="HT20" s="898"/>
      <c r="HU20" s="898"/>
      <c r="HV20" s="898"/>
      <c r="HW20" s="898"/>
      <c r="HX20" s="898"/>
      <c r="HY20" s="898"/>
      <c r="HZ20" s="898"/>
      <c r="IA20" s="898"/>
      <c r="IB20" s="898"/>
      <c r="IC20" s="898"/>
      <c r="ID20" s="898"/>
      <c r="IE20" s="898"/>
      <c r="IF20" s="898"/>
      <c r="IG20" s="898"/>
      <c r="IH20" s="898"/>
      <c r="II20" s="898"/>
      <c r="IJ20" s="898"/>
      <c r="IK20" s="898"/>
      <c r="IL20" s="898"/>
      <c r="IM20" s="898"/>
      <c r="IN20" s="898"/>
      <c r="IO20" s="898"/>
      <c r="IP20" s="898"/>
      <c r="IQ20" s="898"/>
      <c r="IR20" s="898"/>
      <c r="IS20" s="898"/>
      <c r="IT20" s="898"/>
      <c r="IU20" s="898"/>
      <c r="IV20" s="898"/>
    </row>
    <row r="21" spans="1:14" ht="12.75">
      <c r="A21" s="900"/>
      <c r="B21" s="901" t="s">
        <v>1046</v>
      </c>
      <c r="C21" s="902" t="s">
        <v>1047</v>
      </c>
      <c r="D21" s="903"/>
      <c r="E21" s="904"/>
      <c r="F21" s="905"/>
      <c r="G21" s="919">
        <v>15.6</v>
      </c>
      <c r="H21" s="906">
        <v>4371500</v>
      </c>
      <c r="I21" s="920">
        <v>15.6</v>
      </c>
      <c r="J21" s="906">
        <v>4371500</v>
      </c>
      <c r="K21" s="905">
        <f>(G21*H21/12*8)+(I21*J21/12*4)+3221400</f>
        <v>71416800</v>
      </c>
      <c r="L21" s="907">
        <f>F21+K21</f>
        <v>71416800</v>
      </c>
      <c r="M21" s="908"/>
      <c r="N21" s="897"/>
    </row>
    <row r="22" spans="1:14" ht="25.5">
      <c r="A22" s="900"/>
      <c r="B22" s="901" t="s">
        <v>1048</v>
      </c>
      <c r="C22" s="921" t="s">
        <v>1049</v>
      </c>
      <c r="D22" s="903"/>
      <c r="E22" s="904"/>
      <c r="F22" s="905"/>
      <c r="G22" s="903">
        <v>11</v>
      </c>
      <c r="H22" s="906">
        <v>2400000</v>
      </c>
      <c r="I22" s="906">
        <v>11</v>
      </c>
      <c r="J22" s="904">
        <v>2400000</v>
      </c>
      <c r="K22" s="905">
        <f>(G22*H22/12*8)+(I22*J22/12*4)+5500000</f>
        <v>31900000</v>
      </c>
      <c r="L22" s="907">
        <f>F22+K22</f>
        <v>31900000</v>
      </c>
      <c r="M22" s="908"/>
      <c r="N22" s="897"/>
    </row>
    <row r="23" spans="1:256" ht="12.75">
      <c r="A23" s="899"/>
      <c r="B23" s="888" t="s">
        <v>1050</v>
      </c>
      <c r="C23" s="909" t="s">
        <v>441</v>
      </c>
      <c r="D23" s="910"/>
      <c r="E23" s="911"/>
      <c r="F23" s="892"/>
      <c r="G23" s="912">
        <v>179</v>
      </c>
      <c r="H23" s="894">
        <v>97400</v>
      </c>
      <c r="I23" s="913">
        <v>179</v>
      </c>
      <c r="J23" s="891">
        <v>97400</v>
      </c>
      <c r="K23" s="892">
        <f>(G23*H23/12*8)+(I23*J23/12*4)</f>
        <v>17434600</v>
      </c>
      <c r="L23" s="895">
        <f>F23+K23</f>
        <v>17434600</v>
      </c>
      <c r="M23" s="896"/>
      <c r="N23" s="897">
        <f>SUM(L23)</f>
        <v>17434600</v>
      </c>
      <c r="O23" s="898"/>
      <c r="P23" s="898"/>
      <c r="Q23" s="898"/>
      <c r="R23" s="898"/>
      <c r="S23" s="898"/>
      <c r="T23" s="898"/>
      <c r="U23" s="898"/>
      <c r="V23" s="898"/>
      <c r="W23" s="898"/>
      <c r="X23" s="898"/>
      <c r="Y23" s="898"/>
      <c r="Z23" s="898"/>
      <c r="AA23" s="898"/>
      <c r="AB23" s="898"/>
      <c r="AC23" s="898"/>
      <c r="AD23" s="898"/>
      <c r="AE23" s="898"/>
      <c r="AF23" s="898"/>
      <c r="AG23" s="898"/>
      <c r="AH23" s="898"/>
      <c r="AI23" s="898"/>
      <c r="AJ23" s="898"/>
      <c r="AK23" s="898"/>
      <c r="AL23" s="898"/>
      <c r="AM23" s="898"/>
      <c r="AN23" s="898"/>
      <c r="AO23" s="898"/>
      <c r="AP23" s="898"/>
      <c r="AQ23" s="898"/>
      <c r="AR23" s="898"/>
      <c r="AS23" s="898"/>
      <c r="AT23" s="898"/>
      <c r="AU23" s="898"/>
      <c r="AV23" s="898"/>
      <c r="AW23" s="898"/>
      <c r="AX23" s="898"/>
      <c r="AY23" s="898"/>
      <c r="AZ23" s="898"/>
      <c r="BA23" s="898"/>
      <c r="BB23" s="898"/>
      <c r="BC23" s="898"/>
      <c r="BD23" s="898"/>
      <c r="BE23" s="898"/>
      <c r="BF23" s="898"/>
      <c r="BG23" s="898"/>
      <c r="BH23" s="898"/>
      <c r="BI23" s="898"/>
      <c r="BJ23" s="898"/>
      <c r="BK23" s="898"/>
      <c r="BL23" s="898"/>
      <c r="BM23" s="898"/>
      <c r="BN23" s="898"/>
      <c r="BO23" s="898"/>
      <c r="BP23" s="898"/>
      <c r="BQ23" s="898"/>
      <c r="BR23" s="898"/>
      <c r="BS23" s="898"/>
      <c r="BT23" s="898"/>
      <c r="BU23" s="898"/>
      <c r="BV23" s="898"/>
      <c r="BW23" s="898"/>
      <c r="BX23" s="898"/>
      <c r="BY23" s="898"/>
      <c r="BZ23" s="898"/>
      <c r="CA23" s="898"/>
      <c r="CB23" s="898"/>
      <c r="CC23" s="898"/>
      <c r="CD23" s="898"/>
      <c r="CE23" s="898"/>
      <c r="CF23" s="898"/>
      <c r="CG23" s="898"/>
      <c r="CH23" s="898"/>
      <c r="CI23" s="898"/>
      <c r="CJ23" s="898"/>
      <c r="CK23" s="898"/>
      <c r="CL23" s="898"/>
      <c r="CM23" s="898"/>
      <c r="CN23" s="898"/>
      <c r="CO23" s="898"/>
      <c r="CP23" s="898"/>
      <c r="CQ23" s="898"/>
      <c r="CR23" s="898"/>
      <c r="CS23" s="898"/>
      <c r="CT23" s="898"/>
      <c r="CU23" s="898"/>
      <c r="CV23" s="898"/>
      <c r="CW23" s="898"/>
      <c r="CX23" s="898"/>
      <c r="CY23" s="898"/>
      <c r="CZ23" s="898"/>
      <c r="DA23" s="898"/>
      <c r="DB23" s="898"/>
      <c r="DC23" s="898"/>
      <c r="DD23" s="898"/>
      <c r="DE23" s="898"/>
      <c r="DF23" s="898"/>
      <c r="DG23" s="898"/>
      <c r="DH23" s="898"/>
      <c r="DI23" s="898"/>
      <c r="DJ23" s="898"/>
      <c r="DK23" s="898"/>
      <c r="DL23" s="898"/>
      <c r="DM23" s="898"/>
      <c r="DN23" s="898"/>
      <c r="DO23" s="898"/>
      <c r="DP23" s="898"/>
      <c r="DQ23" s="898"/>
      <c r="DR23" s="898"/>
      <c r="DS23" s="898"/>
      <c r="DT23" s="898"/>
      <c r="DU23" s="898"/>
      <c r="DV23" s="898"/>
      <c r="DW23" s="898"/>
      <c r="DX23" s="898"/>
      <c r="DY23" s="898"/>
      <c r="DZ23" s="898"/>
      <c r="EA23" s="898"/>
      <c r="EB23" s="898"/>
      <c r="EC23" s="898"/>
      <c r="ED23" s="898"/>
      <c r="EE23" s="898"/>
      <c r="EF23" s="898"/>
      <c r="EG23" s="898"/>
      <c r="EH23" s="898"/>
      <c r="EI23" s="898"/>
      <c r="EJ23" s="898"/>
      <c r="EK23" s="898"/>
      <c r="EL23" s="898"/>
      <c r="EM23" s="898"/>
      <c r="EN23" s="898"/>
      <c r="EO23" s="898"/>
      <c r="EP23" s="898"/>
      <c r="EQ23" s="898"/>
      <c r="ER23" s="898"/>
      <c r="ES23" s="898"/>
      <c r="ET23" s="898"/>
      <c r="EU23" s="898"/>
      <c r="EV23" s="898"/>
      <c r="EW23" s="898"/>
      <c r="EX23" s="898"/>
      <c r="EY23" s="898"/>
      <c r="EZ23" s="898"/>
      <c r="FA23" s="898"/>
      <c r="FB23" s="898"/>
      <c r="FC23" s="898"/>
      <c r="FD23" s="898"/>
      <c r="FE23" s="898"/>
      <c r="FF23" s="898"/>
      <c r="FG23" s="898"/>
      <c r="FH23" s="898"/>
      <c r="FI23" s="898"/>
      <c r="FJ23" s="898"/>
      <c r="FK23" s="898"/>
      <c r="FL23" s="898"/>
      <c r="FM23" s="898"/>
      <c r="FN23" s="898"/>
      <c r="FO23" s="898"/>
      <c r="FP23" s="898"/>
      <c r="FQ23" s="898"/>
      <c r="FR23" s="898"/>
      <c r="FS23" s="898"/>
      <c r="FT23" s="898"/>
      <c r="FU23" s="898"/>
      <c r="FV23" s="898"/>
      <c r="FW23" s="898"/>
      <c r="FX23" s="898"/>
      <c r="FY23" s="898"/>
      <c r="FZ23" s="898"/>
      <c r="GA23" s="898"/>
      <c r="GB23" s="898"/>
      <c r="GC23" s="898"/>
      <c r="GD23" s="898"/>
      <c r="GE23" s="898"/>
      <c r="GF23" s="898"/>
      <c r="GG23" s="898"/>
      <c r="GH23" s="898"/>
      <c r="GI23" s="898"/>
      <c r="GJ23" s="898"/>
      <c r="GK23" s="898"/>
      <c r="GL23" s="898"/>
      <c r="GM23" s="898"/>
      <c r="GN23" s="898"/>
      <c r="GO23" s="898"/>
      <c r="GP23" s="898"/>
      <c r="GQ23" s="898"/>
      <c r="GR23" s="898"/>
      <c r="GS23" s="898"/>
      <c r="GT23" s="898"/>
      <c r="GU23" s="898"/>
      <c r="GV23" s="898"/>
      <c r="GW23" s="898"/>
      <c r="GX23" s="898"/>
      <c r="GY23" s="898"/>
      <c r="GZ23" s="898"/>
      <c r="HA23" s="898"/>
      <c r="HB23" s="898"/>
      <c r="HC23" s="898"/>
      <c r="HD23" s="898"/>
      <c r="HE23" s="898"/>
      <c r="HF23" s="898"/>
      <c r="HG23" s="898"/>
      <c r="HH23" s="898"/>
      <c r="HI23" s="898"/>
      <c r="HJ23" s="898"/>
      <c r="HK23" s="898"/>
      <c r="HL23" s="898"/>
      <c r="HM23" s="898"/>
      <c r="HN23" s="898"/>
      <c r="HO23" s="898"/>
      <c r="HP23" s="898"/>
      <c r="HQ23" s="898"/>
      <c r="HR23" s="898"/>
      <c r="HS23" s="898"/>
      <c r="HT23" s="898"/>
      <c r="HU23" s="898"/>
      <c r="HV23" s="898"/>
      <c r="HW23" s="898"/>
      <c r="HX23" s="898"/>
      <c r="HY23" s="898"/>
      <c r="HZ23" s="898"/>
      <c r="IA23" s="898"/>
      <c r="IB23" s="898"/>
      <c r="IC23" s="898"/>
      <c r="ID23" s="898"/>
      <c r="IE23" s="898"/>
      <c r="IF23" s="898"/>
      <c r="IG23" s="898"/>
      <c r="IH23" s="898"/>
      <c r="II23" s="898"/>
      <c r="IJ23" s="898"/>
      <c r="IK23" s="898"/>
      <c r="IL23" s="898"/>
      <c r="IM23" s="898"/>
      <c r="IN23" s="898"/>
      <c r="IO23" s="898"/>
      <c r="IP23" s="898"/>
      <c r="IQ23" s="898"/>
      <c r="IR23" s="898"/>
      <c r="IS23" s="898"/>
      <c r="IT23" s="898"/>
      <c r="IU23" s="898"/>
      <c r="IV23" s="898"/>
    </row>
    <row r="24" spans="1:256" ht="25.5">
      <c r="A24" s="899"/>
      <c r="B24" s="888" t="s">
        <v>1051</v>
      </c>
      <c r="C24" s="889" t="s">
        <v>479</v>
      </c>
      <c r="D24" s="910"/>
      <c r="E24" s="911"/>
      <c r="F24" s="892"/>
      <c r="G24" s="912"/>
      <c r="H24" s="894"/>
      <c r="I24" s="913"/>
      <c r="J24" s="891"/>
      <c r="K24" s="892">
        <f>SUM(K25:K28)</f>
        <v>8744925</v>
      </c>
      <c r="L24" s="895">
        <f>F24+K24</f>
        <v>8744925</v>
      </c>
      <c r="M24" s="896"/>
      <c r="N24" s="897">
        <f>SUM(L25:L28)</f>
        <v>8744925</v>
      </c>
      <c r="O24" s="898"/>
      <c r="P24" s="898"/>
      <c r="Q24" s="898"/>
      <c r="R24" s="898"/>
      <c r="S24" s="898"/>
      <c r="T24" s="898"/>
      <c r="U24" s="898"/>
      <c r="V24" s="898"/>
      <c r="W24" s="898"/>
      <c r="X24" s="898"/>
      <c r="Y24" s="898"/>
      <c r="Z24" s="898"/>
      <c r="AA24" s="898"/>
      <c r="AB24" s="898"/>
      <c r="AC24" s="898"/>
      <c r="AD24" s="898"/>
      <c r="AE24" s="898"/>
      <c r="AF24" s="898"/>
      <c r="AG24" s="898"/>
      <c r="AH24" s="898"/>
      <c r="AI24" s="898"/>
      <c r="AJ24" s="898"/>
      <c r="AK24" s="898"/>
      <c r="AL24" s="898"/>
      <c r="AM24" s="898"/>
      <c r="AN24" s="898"/>
      <c r="AO24" s="898"/>
      <c r="AP24" s="898"/>
      <c r="AQ24" s="898"/>
      <c r="AR24" s="898"/>
      <c r="AS24" s="898"/>
      <c r="AT24" s="898"/>
      <c r="AU24" s="898"/>
      <c r="AV24" s="898"/>
      <c r="AW24" s="898"/>
      <c r="AX24" s="898"/>
      <c r="AY24" s="898"/>
      <c r="AZ24" s="898"/>
      <c r="BA24" s="898"/>
      <c r="BB24" s="898"/>
      <c r="BC24" s="898"/>
      <c r="BD24" s="898"/>
      <c r="BE24" s="898"/>
      <c r="BF24" s="898"/>
      <c r="BG24" s="898"/>
      <c r="BH24" s="898"/>
      <c r="BI24" s="898"/>
      <c r="BJ24" s="898"/>
      <c r="BK24" s="898"/>
      <c r="BL24" s="898"/>
      <c r="BM24" s="898"/>
      <c r="BN24" s="898"/>
      <c r="BO24" s="898"/>
      <c r="BP24" s="898"/>
      <c r="BQ24" s="898"/>
      <c r="BR24" s="898"/>
      <c r="BS24" s="898"/>
      <c r="BT24" s="898"/>
      <c r="BU24" s="898"/>
      <c r="BV24" s="898"/>
      <c r="BW24" s="898"/>
      <c r="BX24" s="898"/>
      <c r="BY24" s="898"/>
      <c r="BZ24" s="898"/>
      <c r="CA24" s="898"/>
      <c r="CB24" s="898"/>
      <c r="CC24" s="898"/>
      <c r="CD24" s="898"/>
      <c r="CE24" s="898"/>
      <c r="CF24" s="898"/>
      <c r="CG24" s="898"/>
      <c r="CH24" s="898"/>
      <c r="CI24" s="898"/>
      <c r="CJ24" s="898"/>
      <c r="CK24" s="898"/>
      <c r="CL24" s="898"/>
      <c r="CM24" s="898"/>
      <c r="CN24" s="898"/>
      <c r="CO24" s="898"/>
      <c r="CP24" s="898"/>
      <c r="CQ24" s="898"/>
      <c r="CR24" s="898"/>
      <c r="CS24" s="898"/>
      <c r="CT24" s="898"/>
      <c r="CU24" s="898"/>
      <c r="CV24" s="898"/>
      <c r="CW24" s="898"/>
      <c r="CX24" s="898"/>
      <c r="CY24" s="898"/>
      <c r="CZ24" s="898"/>
      <c r="DA24" s="898"/>
      <c r="DB24" s="898"/>
      <c r="DC24" s="898"/>
      <c r="DD24" s="898"/>
      <c r="DE24" s="898"/>
      <c r="DF24" s="898"/>
      <c r="DG24" s="898"/>
      <c r="DH24" s="898"/>
      <c r="DI24" s="898"/>
      <c r="DJ24" s="898"/>
      <c r="DK24" s="898"/>
      <c r="DL24" s="898"/>
      <c r="DM24" s="898"/>
      <c r="DN24" s="898"/>
      <c r="DO24" s="898"/>
      <c r="DP24" s="898"/>
      <c r="DQ24" s="898"/>
      <c r="DR24" s="898"/>
      <c r="DS24" s="898"/>
      <c r="DT24" s="898"/>
      <c r="DU24" s="898"/>
      <c r="DV24" s="898"/>
      <c r="DW24" s="898"/>
      <c r="DX24" s="898"/>
      <c r="DY24" s="898"/>
      <c r="DZ24" s="898"/>
      <c r="EA24" s="898"/>
      <c r="EB24" s="898"/>
      <c r="EC24" s="898"/>
      <c r="ED24" s="898"/>
      <c r="EE24" s="898"/>
      <c r="EF24" s="898"/>
      <c r="EG24" s="898"/>
      <c r="EH24" s="898"/>
      <c r="EI24" s="898"/>
      <c r="EJ24" s="898"/>
      <c r="EK24" s="898"/>
      <c r="EL24" s="898"/>
      <c r="EM24" s="898"/>
      <c r="EN24" s="898"/>
      <c r="EO24" s="898"/>
      <c r="EP24" s="898"/>
      <c r="EQ24" s="898"/>
      <c r="ER24" s="898"/>
      <c r="ES24" s="898"/>
      <c r="ET24" s="898"/>
      <c r="EU24" s="898"/>
      <c r="EV24" s="898"/>
      <c r="EW24" s="898"/>
      <c r="EX24" s="898"/>
      <c r="EY24" s="898"/>
      <c r="EZ24" s="898"/>
      <c r="FA24" s="898"/>
      <c r="FB24" s="898"/>
      <c r="FC24" s="898"/>
      <c r="FD24" s="898"/>
      <c r="FE24" s="898"/>
      <c r="FF24" s="898"/>
      <c r="FG24" s="898"/>
      <c r="FH24" s="898"/>
      <c r="FI24" s="898"/>
      <c r="FJ24" s="898"/>
      <c r="FK24" s="898"/>
      <c r="FL24" s="898"/>
      <c r="FM24" s="898"/>
      <c r="FN24" s="898"/>
      <c r="FO24" s="898"/>
      <c r="FP24" s="898"/>
      <c r="FQ24" s="898"/>
      <c r="FR24" s="898"/>
      <c r="FS24" s="898"/>
      <c r="FT24" s="898"/>
      <c r="FU24" s="898"/>
      <c r="FV24" s="898"/>
      <c r="FW24" s="898"/>
      <c r="FX24" s="898"/>
      <c r="FY24" s="898"/>
      <c r="FZ24" s="898"/>
      <c r="GA24" s="898"/>
      <c r="GB24" s="898"/>
      <c r="GC24" s="898"/>
      <c r="GD24" s="898"/>
      <c r="GE24" s="898"/>
      <c r="GF24" s="898"/>
      <c r="GG24" s="898"/>
      <c r="GH24" s="898"/>
      <c r="GI24" s="898"/>
      <c r="GJ24" s="898"/>
      <c r="GK24" s="898"/>
      <c r="GL24" s="898"/>
      <c r="GM24" s="898"/>
      <c r="GN24" s="898"/>
      <c r="GO24" s="898"/>
      <c r="GP24" s="898"/>
      <c r="GQ24" s="898"/>
      <c r="GR24" s="898"/>
      <c r="GS24" s="898"/>
      <c r="GT24" s="898"/>
      <c r="GU24" s="898"/>
      <c r="GV24" s="898"/>
      <c r="GW24" s="898"/>
      <c r="GX24" s="898"/>
      <c r="GY24" s="898"/>
      <c r="GZ24" s="898"/>
      <c r="HA24" s="898"/>
      <c r="HB24" s="898"/>
      <c r="HC24" s="898"/>
      <c r="HD24" s="898"/>
      <c r="HE24" s="898"/>
      <c r="HF24" s="898"/>
      <c r="HG24" s="898"/>
      <c r="HH24" s="898"/>
      <c r="HI24" s="898"/>
      <c r="HJ24" s="898"/>
      <c r="HK24" s="898"/>
      <c r="HL24" s="898"/>
      <c r="HM24" s="898"/>
      <c r="HN24" s="898"/>
      <c r="HO24" s="898"/>
      <c r="HP24" s="898"/>
      <c r="HQ24" s="898"/>
      <c r="HR24" s="898"/>
      <c r="HS24" s="898"/>
      <c r="HT24" s="898"/>
      <c r="HU24" s="898"/>
      <c r="HV24" s="898"/>
      <c r="HW24" s="898"/>
      <c r="HX24" s="898"/>
      <c r="HY24" s="898"/>
      <c r="HZ24" s="898"/>
      <c r="IA24" s="898"/>
      <c r="IB24" s="898"/>
      <c r="IC24" s="898"/>
      <c r="ID24" s="898"/>
      <c r="IE24" s="898"/>
      <c r="IF24" s="898"/>
      <c r="IG24" s="898"/>
      <c r="IH24" s="898"/>
      <c r="II24" s="898"/>
      <c r="IJ24" s="898"/>
      <c r="IK24" s="898"/>
      <c r="IL24" s="898"/>
      <c r="IM24" s="898"/>
      <c r="IN24" s="898"/>
      <c r="IO24" s="898"/>
      <c r="IP24" s="898"/>
      <c r="IQ24" s="898"/>
      <c r="IR24" s="898"/>
      <c r="IS24" s="898"/>
      <c r="IT24" s="898"/>
      <c r="IU24" s="898"/>
      <c r="IV24" s="898"/>
    </row>
    <row r="25" spans="1:14" ht="25.5">
      <c r="A25" s="900"/>
      <c r="B25" s="901" t="s">
        <v>1052</v>
      </c>
      <c r="C25" s="921" t="s">
        <v>1108</v>
      </c>
      <c r="D25" s="903"/>
      <c r="E25" s="904"/>
      <c r="F25" s="905"/>
      <c r="G25" s="903">
        <v>7</v>
      </c>
      <c r="H25" s="906">
        <v>396700</v>
      </c>
      <c r="I25" s="906"/>
      <c r="J25" s="904"/>
      <c r="K25" s="905">
        <f>G25*H25+119000</f>
        <v>2895900</v>
      </c>
      <c r="L25" s="907">
        <f>SUM(K25)</f>
        <v>2895900</v>
      </c>
      <c r="M25" s="908"/>
      <c r="N25" s="897"/>
    </row>
    <row r="26" spans="1:14" ht="38.25">
      <c r="A26" s="900"/>
      <c r="B26" s="901"/>
      <c r="C26" s="921" t="s">
        <v>1053</v>
      </c>
      <c r="D26" s="903"/>
      <c r="E26" s="904"/>
      <c r="F26" s="905"/>
      <c r="G26" s="903">
        <v>4</v>
      </c>
      <c r="H26" s="906">
        <v>363642</v>
      </c>
      <c r="I26" s="906"/>
      <c r="J26" s="904"/>
      <c r="K26" s="905">
        <f>G26*H26+62332</f>
        <v>1516900</v>
      </c>
      <c r="L26" s="907">
        <f>SUM(K26)</f>
        <v>1516900</v>
      </c>
      <c r="M26" s="908"/>
      <c r="N26" s="897"/>
    </row>
    <row r="27" spans="1:14" ht="25.5">
      <c r="A27" s="900"/>
      <c r="B27" s="901" t="s">
        <v>1054</v>
      </c>
      <c r="C27" s="921" t="s">
        <v>1055</v>
      </c>
      <c r="D27" s="903"/>
      <c r="E27" s="904"/>
      <c r="F27" s="905"/>
      <c r="G27" s="903">
        <v>2</v>
      </c>
      <c r="H27" s="906">
        <v>1447300</v>
      </c>
      <c r="I27" s="906"/>
      <c r="J27" s="904"/>
      <c r="K27" s="905">
        <f>G27*H27+76000</f>
        <v>2970600</v>
      </c>
      <c r="L27" s="907">
        <f>SUM(K27)</f>
        <v>2970600</v>
      </c>
      <c r="M27" s="908"/>
      <c r="N27" s="897"/>
    </row>
    <row r="28" spans="1:14" ht="38.25">
      <c r="A28" s="900"/>
      <c r="B28" s="901"/>
      <c r="C28" s="921" t="s">
        <v>1056</v>
      </c>
      <c r="D28" s="903"/>
      <c r="E28" s="904"/>
      <c r="F28" s="905"/>
      <c r="G28" s="903">
        <v>1</v>
      </c>
      <c r="H28" s="906">
        <v>1326692</v>
      </c>
      <c r="I28" s="906"/>
      <c r="J28" s="904"/>
      <c r="K28" s="905">
        <f>G28*H28+34833</f>
        <v>1361525</v>
      </c>
      <c r="L28" s="907">
        <f>SUM(K28)</f>
        <v>1361525</v>
      </c>
      <c r="M28" s="908"/>
      <c r="N28" s="897"/>
    </row>
    <row r="29" spans="2:256" ht="25.5">
      <c r="B29" s="922"/>
      <c r="C29" s="878" t="s">
        <v>1057</v>
      </c>
      <c r="D29" s="879"/>
      <c r="E29" s="880"/>
      <c r="F29" s="881">
        <f>SUM(F37+F31+F42+F30)</f>
        <v>56917923</v>
      </c>
      <c r="G29" s="923"/>
      <c r="H29" s="882"/>
      <c r="I29" s="924"/>
      <c r="J29" s="880"/>
      <c r="K29" s="881">
        <f>SUM(K37+K31+K30+K42)</f>
        <v>55565033</v>
      </c>
      <c r="L29" s="881">
        <f>SUM(L37+L31+L30+L42)</f>
        <v>112482956</v>
      </c>
      <c r="M29" s="896"/>
      <c r="N29" s="918">
        <f>SUM(N30:N42)</f>
        <v>112482956</v>
      </c>
      <c r="O29" s="898"/>
      <c r="P29" s="898"/>
      <c r="Q29" s="898"/>
      <c r="R29" s="898"/>
      <c r="S29" s="898"/>
      <c r="T29" s="898"/>
      <c r="U29" s="898"/>
      <c r="V29" s="898"/>
      <c r="W29" s="898"/>
      <c r="X29" s="898"/>
      <c r="Y29" s="898"/>
      <c r="Z29" s="898"/>
      <c r="AA29" s="898"/>
      <c r="AB29" s="898"/>
      <c r="AC29" s="898"/>
      <c r="AD29" s="898"/>
      <c r="AE29" s="898"/>
      <c r="AF29" s="898"/>
      <c r="AG29" s="898"/>
      <c r="AH29" s="898"/>
      <c r="AI29" s="898"/>
      <c r="AJ29" s="898"/>
      <c r="AK29" s="898"/>
      <c r="AL29" s="898"/>
      <c r="AM29" s="898"/>
      <c r="AN29" s="898"/>
      <c r="AO29" s="898"/>
      <c r="AP29" s="898"/>
      <c r="AQ29" s="898"/>
      <c r="AR29" s="898"/>
      <c r="AS29" s="898"/>
      <c r="AT29" s="898"/>
      <c r="AU29" s="898"/>
      <c r="AV29" s="898"/>
      <c r="AW29" s="898"/>
      <c r="AX29" s="898"/>
      <c r="AY29" s="898"/>
      <c r="AZ29" s="898"/>
      <c r="BA29" s="898"/>
      <c r="BB29" s="898"/>
      <c r="BC29" s="898"/>
      <c r="BD29" s="898"/>
      <c r="BE29" s="898"/>
      <c r="BF29" s="898"/>
      <c r="BG29" s="898"/>
      <c r="BH29" s="898"/>
      <c r="BI29" s="898"/>
      <c r="BJ29" s="898"/>
      <c r="BK29" s="898"/>
      <c r="BL29" s="898"/>
      <c r="BM29" s="898"/>
      <c r="BN29" s="898"/>
      <c r="BO29" s="898"/>
      <c r="BP29" s="898"/>
      <c r="BQ29" s="898"/>
      <c r="BR29" s="898"/>
      <c r="BS29" s="898"/>
      <c r="BT29" s="898"/>
      <c r="BU29" s="898"/>
      <c r="BV29" s="898"/>
      <c r="BW29" s="898"/>
      <c r="BX29" s="898"/>
      <c r="BY29" s="898"/>
      <c r="BZ29" s="898"/>
      <c r="CA29" s="898"/>
      <c r="CB29" s="898"/>
      <c r="CC29" s="898"/>
      <c r="CD29" s="898"/>
      <c r="CE29" s="898"/>
      <c r="CF29" s="898"/>
      <c r="CG29" s="898"/>
      <c r="CH29" s="898"/>
      <c r="CI29" s="898"/>
      <c r="CJ29" s="898"/>
      <c r="CK29" s="898"/>
      <c r="CL29" s="898"/>
      <c r="CM29" s="898"/>
      <c r="CN29" s="898"/>
      <c r="CO29" s="898"/>
      <c r="CP29" s="898"/>
      <c r="CQ29" s="898"/>
      <c r="CR29" s="898"/>
      <c r="CS29" s="898"/>
      <c r="CT29" s="898"/>
      <c r="CU29" s="898"/>
      <c r="CV29" s="898"/>
      <c r="CW29" s="898"/>
      <c r="CX29" s="898"/>
      <c r="CY29" s="898"/>
      <c r="CZ29" s="898"/>
      <c r="DA29" s="898"/>
      <c r="DB29" s="898"/>
      <c r="DC29" s="898"/>
      <c r="DD29" s="898"/>
      <c r="DE29" s="898"/>
      <c r="DF29" s="898"/>
      <c r="DG29" s="898"/>
      <c r="DH29" s="898"/>
      <c r="DI29" s="898"/>
      <c r="DJ29" s="898"/>
      <c r="DK29" s="898"/>
      <c r="DL29" s="898"/>
      <c r="DM29" s="898"/>
      <c r="DN29" s="898"/>
      <c r="DO29" s="898"/>
      <c r="DP29" s="898"/>
      <c r="DQ29" s="898"/>
      <c r="DR29" s="898"/>
      <c r="DS29" s="898"/>
      <c r="DT29" s="898"/>
      <c r="DU29" s="898"/>
      <c r="DV29" s="898"/>
      <c r="DW29" s="898"/>
      <c r="DX29" s="898"/>
      <c r="DY29" s="898"/>
      <c r="DZ29" s="898"/>
      <c r="EA29" s="898"/>
      <c r="EB29" s="898"/>
      <c r="EC29" s="898"/>
      <c r="ED29" s="898"/>
      <c r="EE29" s="898"/>
      <c r="EF29" s="898"/>
      <c r="EG29" s="898"/>
      <c r="EH29" s="898"/>
      <c r="EI29" s="898"/>
      <c r="EJ29" s="898"/>
      <c r="EK29" s="898"/>
      <c r="EL29" s="898"/>
      <c r="EM29" s="898"/>
      <c r="EN29" s="898"/>
      <c r="EO29" s="898"/>
      <c r="EP29" s="898"/>
      <c r="EQ29" s="898"/>
      <c r="ER29" s="898"/>
      <c r="ES29" s="898"/>
      <c r="ET29" s="898"/>
      <c r="EU29" s="898"/>
      <c r="EV29" s="898"/>
      <c r="EW29" s="898"/>
      <c r="EX29" s="898"/>
      <c r="EY29" s="898"/>
      <c r="EZ29" s="898"/>
      <c r="FA29" s="898"/>
      <c r="FB29" s="898"/>
      <c r="FC29" s="898"/>
      <c r="FD29" s="898"/>
      <c r="FE29" s="898"/>
      <c r="FF29" s="898"/>
      <c r="FG29" s="898"/>
      <c r="FH29" s="898"/>
      <c r="FI29" s="898"/>
      <c r="FJ29" s="898"/>
      <c r="FK29" s="898"/>
      <c r="FL29" s="898"/>
      <c r="FM29" s="898"/>
      <c r="FN29" s="898"/>
      <c r="FO29" s="898"/>
      <c r="FP29" s="898"/>
      <c r="FQ29" s="898"/>
      <c r="FR29" s="898"/>
      <c r="FS29" s="898"/>
      <c r="FT29" s="898"/>
      <c r="FU29" s="898"/>
      <c r="FV29" s="898"/>
      <c r="FW29" s="898"/>
      <c r="FX29" s="898"/>
      <c r="FY29" s="898"/>
      <c r="FZ29" s="898"/>
      <c r="GA29" s="898"/>
      <c r="GB29" s="898"/>
      <c r="GC29" s="898"/>
      <c r="GD29" s="898"/>
      <c r="GE29" s="898"/>
      <c r="GF29" s="898"/>
      <c r="GG29" s="898"/>
      <c r="GH29" s="898"/>
      <c r="GI29" s="898"/>
      <c r="GJ29" s="898"/>
      <c r="GK29" s="898"/>
      <c r="GL29" s="898"/>
      <c r="GM29" s="898"/>
      <c r="GN29" s="898"/>
      <c r="GO29" s="898"/>
      <c r="GP29" s="898"/>
      <c r="GQ29" s="898"/>
      <c r="GR29" s="898"/>
      <c r="GS29" s="898"/>
      <c r="GT29" s="898"/>
      <c r="GU29" s="898"/>
      <c r="GV29" s="898"/>
      <c r="GW29" s="898"/>
      <c r="GX29" s="898"/>
      <c r="GY29" s="898"/>
      <c r="GZ29" s="898"/>
      <c r="HA29" s="898"/>
      <c r="HB29" s="898"/>
      <c r="HC29" s="898"/>
      <c r="HD29" s="898"/>
      <c r="HE29" s="898"/>
      <c r="HF29" s="898"/>
      <c r="HG29" s="898"/>
      <c r="HH29" s="898"/>
      <c r="HI29" s="898"/>
      <c r="HJ29" s="898"/>
      <c r="HK29" s="898"/>
      <c r="HL29" s="898"/>
      <c r="HM29" s="898"/>
      <c r="HN29" s="898"/>
      <c r="HO29" s="898"/>
      <c r="HP29" s="898"/>
      <c r="HQ29" s="898"/>
      <c r="HR29" s="898"/>
      <c r="HS29" s="898"/>
      <c r="HT29" s="898"/>
      <c r="HU29" s="898"/>
      <c r="HV29" s="898"/>
      <c r="HW29" s="898"/>
      <c r="HX29" s="898"/>
      <c r="HY29" s="898"/>
      <c r="HZ29" s="898"/>
      <c r="IA29" s="898"/>
      <c r="IB29" s="898"/>
      <c r="IC29" s="898"/>
      <c r="ID29" s="898"/>
      <c r="IE29" s="898"/>
      <c r="IF29" s="898"/>
      <c r="IG29" s="898"/>
      <c r="IH29" s="898"/>
      <c r="II29" s="898"/>
      <c r="IJ29" s="898"/>
      <c r="IK29" s="898"/>
      <c r="IL29" s="898"/>
      <c r="IM29" s="898"/>
      <c r="IN29" s="898"/>
      <c r="IO29" s="898"/>
      <c r="IP29" s="898"/>
      <c r="IQ29" s="898"/>
      <c r="IR29" s="898"/>
      <c r="IS29" s="898"/>
      <c r="IT29" s="898"/>
      <c r="IU29" s="898"/>
      <c r="IV29" s="898"/>
    </row>
    <row r="30" spans="1:256" ht="12.75">
      <c r="A30" s="887" t="s">
        <v>1058</v>
      </c>
      <c r="B30" s="888" t="s">
        <v>1059</v>
      </c>
      <c r="C30" s="909" t="s">
        <v>1060</v>
      </c>
      <c r="D30" s="910"/>
      <c r="E30" s="911"/>
      <c r="F30" s="892">
        <v>48822917</v>
      </c>
      <c r="G30" s="912"/>
      <c r="H30" s="894"/>
      <c r="I30" s="913"/>
      <c r="J30" s="891"/>
      <c r="K30" s="892">
        <v>0</v>
      </c>
      <c r="L30" s="895">
        <f aca="true" t="shared" si="1" ref="L30:L41">F30+K30</f>
        <v>48822917</v>
      </c>
      <c r="M30" s="896"/>
      <c r="N30" s="897">
        <f>SUM(L30)</f>
        <v>48822917</v>
      </c>
      <c r="O30" s="898"/>
      <c r="P30" s="898"/>
      <c r="Q30" s="898"/>
      <c r="R30" s="898"/>
      <c r="S30" s="898"/>
      <c r="T30" s="898"/>
      <c r="U30" s="898"/>
      <c r="V30" s="898"/>
      <c r="W30" s="898"/>
      <c r="X30" s="898"/>
      <c r="Y30" s="898"/>
      <c r="Z30" s="898"/>
      <c r="AA30" s="898"/>
      <c r="AB30" s="898"/>
      <c r="AC30" s="898"/>
      <c r="AD30" s="898"/>
      <c r="AE30" s="898"/>
      <c r="AF30" s="898"/>
      <c r="AG30" s="898"/>
      <c r="AH30" s="898"/>
      <c r="AI30" s="898"/>
      <c r="AJ30" s="898"/>
      <c r="AK30" s="898"/>
      <c r="AL30" s="898"/>
      <c r="AM30" s="898"/>
      <c r="AN30" s="898"/>
      <c r="AO30" s="898"/>
      <c r="AP30" s="898"/>
      <c r="AQ30" s="898"/>
      <c r="AR30" s="898"/>
      <c r="AS30" s="898"/>
      <c r="AT30" s="898"/>
      <c r="AU30" s="898"/>
      <c r="AV30" s="898"/>
      <c r="AW30" s="898"/>
      <c r="AX30" s="898"/>
      <c r="AY30" s="898"/>
      <c r="AZ30" s="898"/>
      <c r="BA30" s="898"/>
      <c r="BB30" s="898"/>
      <c r="BC30" s="898"/>
      <c r="BD30" s="898"/>
      <c r="BE30" s="898"/>
      <c r="BF30" s="898"/>
      <c r="BG30" s="898"/>
      <c r="BH30" s="898"/>
      <c r="BI30" s="898"/>
      <c r="BJ30" s="898"/>
      <c r="BK30" s="898"/>
      <c r="BL30" s="898"/>
      <c r="BM30" s="898"/>
      <c r="BN30" s="898"/>
      <c r="BO30" s="898"/>
      <c r="BP30" s="898"/>
      <c r="BQ30" s="898"/>
      <c r="BR30" s="898"/>
      <c r="BS30" s="898"/>
      <c r="BT30" s="898"/>
      <c r="BU30" s="898"/>
      <c r="BV30" s="898"/>
      <c r="BW30" s="898"/>
      <c r="BX30" s="898"/>
      <c r="BY30" s="898"/>
      <c r="BZ30" s="898"/>
      <c r="CA30" s="898"/>
      <c r="CB30" s="898"/>
      <c r="CC30" s="898"/>
      <c r="CD30" s="898"/>
      <c r="CE30" s="898"/>
      <c r="CF30" s="898"/>
      <c r="CG30" s="898"/>
      <c r="CH30" s="898"/>
      <c r="CI30" s="898"/>
      <c r="CJ30" s="898"/>
      <c r="CK30" s="898"/>
      <c r="CL30" s="898"/>
      <c r="CM30" s="898"/>
      <c r="CN30" s="898"/>
      <c r="CO30" s="898"/>
      <c r="CP30" s="898"/>
      <c r="CQ30" s="898"/>
      <c r="CR30" s="898"/>
      <c r="CS30" s="898"/>
      <c r="CT30" s="898"/>
      <c r="CU30" s="898"/>
      <c r="CV30" s="898"/>
      <c r="CW30" s="898"/>
      <c r="CX30" s="898"/>
      <c r="CY30" s="898"/>
      <c r="CZ30" s="898"/>
      <c r="DA30" s="898"/>
      <c r="DB30" s="898"/>
      <c r="DC30" s="898"/>
      <c r="DD30" s="898"/>
      <c r="DE30" s="898"/>
      <c r="DF30" s="898"/>
      <c r="DG30" s="898"/>
      <c r="DH30" s="898"/>
      <c r="DI30" s="898"/>
      <c r="DJ30" s="898"/>
      <c r="DK30" s="898"/>
      <c r="DL30" s="898"/>
      <c r="DM30" s="898"/>
      <c r="DN30" s="898"/>
      <c r="DO30" s="898"/>
      <c r="DP30" s="898"/>
      <c r="DQ30" s="898"/>
      <c r="DR30" s="898"/>
      <c r="DS30" s="898"/>
      <c r="DT30" s="898"/>
      <c r="DU30" s="898"/>
      <c r="DV30" s="898"/>
      <c r="DW30" s="898"/>
      <c r="DX30" s="898"/>
      <c r="DY30" s="898"/>
      <c r="DZ30" s="898"/>
      <c r="EA30" s="898"/>
      <c r="EB30" s="898"/>
      <c r="EC30" s="898"/>
      <c r="ED30" s="898"/>
      <c r="EE30" s="898"/>
      <c r="EF30" s="898"/>
      <c r="EG30" s="898"/>
      <c r="EH30" s="898"/>
      <c r="EI30" s="898"/>
      <c r="EJ30" s="898"/>
      <c r="EK30" s="898"/>
      <c r="EL30" s="898"/>
      <c r="EM30" s="898"/>
      <c r="EN30" s="898"/>
      <c r="EO30" s="898"/>
      <c r="EP30" s="898"/>
      <c r="EQ30" s="898"/>
      <c r="ER30" s="898"/>
      <c r="ES30" s="898"/>
      <c r="ET30" s="898"/>
      <c r="EU30" s="898"/>
      <c r="EV30" s="898"/>
      <c r="EW30" s="898"/>
      <c r="EX30" s="898"/>
      <c r="EY30" s="898"/>
      <c r="EZ30" s="898"/>
      <c r="FA30" s="898"/>
      <c r="FB30" s="898"/>
      <c r="FC30" s="898"/>
      <c r="FD30" s="898"/>
      <c r="FE30" s="898"/>
      <c r="FF30" s="898"/>
      <c r="FG30" s="898"/>
      <c r="FH30" s="898"/>
      <c r="FI30" s="898"/>
      <c r="FJ30" s="898"/>
      <c r="FK30" s="898"/>
      <c r="FL30" s="898"/>
      <c r="FM30" s="898"/>
      <c r="FN30" s="898"/>
      <c r="FO30" s="898"/>
      <c r="FP30" s="898"/>
      <c r="FQ30" s="898"/>
      <c r="FR30" s="898"/>
      <c r="FS30" s="898"/>
      <c r="FT30" s="898"/>
      <c r="FU30" s="898"/>
      <c r="FV30" s="898"/>
      <c r="FW30" s="898"/>
      <c r="FX30" s="898"/>
      <c r="FY30" s="898"/>
      <c r="FZ30" s="898"/>
      <c r="GA30" s="898"/>
      <c r="GB30" s="898"/>
      <c r="GC30" s="898"/>
      <c r="GD30" s="898"/>
      <c r="GE30" s="898"/>
      <c r="GF30" s="898"/>
      <c r="GG30" s="898"/>
      <c r="GH30" s="898"/>
      <c r="GI30" s="898"/>
      <c r="GJ30" s="898"/>
      <c r="GK30" s="898"/>
      <c r="GL30" s="898"/>
      <c r="GM30" s="898"/>
      <c r="GN30" s="898"/>
      <c r="GO30" s="898"/>
      <c r="GP30" s="898"/>
      <c r="GQ30" s="898"/>
      <c r="GR30" s="898"/>
      <c r="GS30" s="898"/>
      <c r="GT30" s="898"/>
      <c r="GU30" s="898"/>
      <c r="GV30" s="898"/>
      <c r="GW30" s="898"/>
      <c r="GX30" s="898"/>
      <c r="GY30" s="898"/>
      <c r="GZ30" s="898"/>
      <c r="HA30" s="898"/>
      <c r="HB30" s="898"/>
      <c r="HC30" s="898"/>
      <c r="HD30" s="898"/>
      <c r="HE30" s="898"/>
      <c r="HF30" s="898"/>
      <c r="HG30" s="898"/>
      <c r="HH30" s="898"/>
      <c r="HI30" s="898"/>
      <c r="HJ30" s="898"/>
      <c r="HK30" s="898"/>
      <c r="HL30" s="898"/>
      <c r="HM30" s="898"/>
      <c r="HN30" s="898"/>
      <c r="HO30" s="898"/>
      <c r="HP30" s="898"/>
      <c r="HQ30" s="898"/>
      <c r="HR30" s="898"/>
      <c r="HS30" s="898"/>
      <c r="HT30" s="898"/>
      <c r="HU30" s="898"/>
      <c r="HV30" s="898"/>
      <c r="HW30" s="898"/>
      <c r="HX30" s="898"/>
      <c r="HY30" s="898"/>
      <c r="HZ30" s="898"/>
      <c r="IA30" s="898"/>
      <c r="IB30" s="898"/>
      <c r="IC30" s="898"/>
      <c r="ID30" s="898"/>
      <c r="IE30" s="898"/>
      <c r="IF30" s="898"/>
      <c r="IG30" s="898"/>
      <c r="IH30" s="898"/>
      <c r="II30" s="898"/>
      <c r="IJ30" s="898"/>
      <c r="IK30" s="898"/>
      <c r="IL30" s="898"/>
      <c r="IM30" s="898"/>
      <c r="IN30" s="898"/>
      <c r="IO30" s="898"/>
      <c r="IP30" s="898"/>
      <c r="IQ30" s="898"/>
      <c r="IR30" s="898"/>
      <c r="IS30" s="898"/>
      <c r="IT30" s="898"/>
      <c r="IU30" s="898"/>
      <c r="IV30" s="898"/>
    </row>
    <row r="31" spans="1:256" ht="12.75">
      <c r="A31" s="899"/>
      <c r="B31" s="888" t="s">
        <v>1061</v>
      </c>
      <c r="C31" s="909" t="s">
        <v>1062</v>
      </c>
      <c r="D31" s="910"/>
      <c r="E31" s="911"/>
      <c r="F31" s="892">
        <f>SUM(F32:F36)</f>
        <v>7545200</v>
      </c>
      <c r="G31" s="912"/>
      <c r="H31" s="894"/>
      <c r="I31" s="913"/>
      <c r="J31" s="891"/>
      <c r="K31" s="892">
        <f>SUM(K32:K36)</f>
        <v>31888142</v>
      </c>
      <c r="L31" s="895">
        <f t="shared" si="1"/>
        <v>39433342</v>
      </c>
      <c r="M31" s="896"/>
      <c r="N31" s="897">
        <f>SUM(L31)</f>
        <v>39433342</v>
      </c>
      <c r="O31" s="898"/>
      <c r="P31" s="898"/>
      <c r="Q31" s="898"/>
      <c r="R31" s="898"/>
      <c r="S31" s="898"/>
      <c r="T31" s="898"/>
      <c r="U31" s="898"/>
      <c r="V31" s="898"/>
      <c r="W31" s="898"/>
      <c r="X31" s="898"/>
      <c r="Y31" s="898"/>
      <c r="Z31" s="898"/>
      <c r="AA31" s="898"/>
      <c r="AB31" s="898"/>
      <c r="AC31" s="898"/>
      <c r="AD31" s="898"/>
      <c r="AE31" s="898"/>
      <c r="AF31" s="898"/>
      <c r="AG31" s="898"/>
      <c r="AH31" s="898"/>
      <c r="AI31" s="898"/>
      <c r="AJ31" s="898"/>
      <c r="AK31" s="898"/>
      <c r="AL31" s="898"/>
      <c r="AM31" s="898"/>
      <c r="AN31" s="898"/>
      <c r="AO31" s="898"/>
      <c r="AP31" s="898"/>
      <c r="AQ31" s="898"/>
      <c r="AR31" s="898"/>
      <c r="AS31" s="898"/>
      <c r="AT31" s="898"/>
      <c r="AU31" s="898"/>
      <c r="AV31" s="898"/>
      <c r="AW31" s="898"/>
      <c r="AX31" s="898"/>
      <c r="AY31" s="898"/>
      <c r="AZ31" s="898"/>
      <c r="BA31" s="898"/>
      <c r="BB31" s="898"/>
      <c r="BC31" s="898"/>
      <c r="BD31" s="898"/>
      <c r="BE31" s="898"/>
      <c r="BF31" s="898"/>
      <c r="BG31" s="898"/>
      <c r="BH31" s="898"/>
      <c r="BI31" s="898"/>
      <c r="BJ31" s="898"/>
      <c r="BK31" s="898"/>
      <c r="BL31" s="898"/>
      <c r="BM31" s="898"/>
      <c r="BN31" s="898"/>
      <c r="BO31" s="898"/>
      <c r="BP31" s="898"/>
      <c r="BQ31" s="898"/>
      <c r="BR31" s="898"/>
      <c r="BS31" s="898"/>
      <c r="BT31" s="898"/>
      <c r="BU31" s="898"/>
      <c r="BV31" s="898"/>
      <c r="BW31" s="898"/>
      <c r="BX31" s="898"/>
      <c r="BY31" s="898"/>
      <c r="BZ31" s="898"/>
      <c r="CA31" s="898"/>
      <c r="CB31" s="898"/>
      <c r="CC31" s="898"/>
      <c r="CD31" s="898"/>
      <c r="CE31" s="898"/>
      <c r="CF31" s="898"/>
      <c r="CG31" s="898"/>
      <c r="CH31" s="898"/>
      <c r="CI31" s="898"/>
      <c r="CJ31" s="898"/>
      <c r="CK31" s="898"/>
      <c r="CL31" s="898"/>
      <c r="CM31" s="898"/>
      <c r="CN31" s="898"/>
      <c r="CO31" s="898"/>
      <c r="CP31" s="898"/>
      <c r="CQ31" s="898"/>
      <c r="CR31" s="898"/>
      <c r="CS31" s="898"/>
      <c r="CT31" s="898"/>
      <c r="CU31" s="898"/>
      <c r="CV31" s="898"/>
      <c r="CW31" s="898"/>
      <c r="CX31" s="898"/>
      <c r="CY31" s="898"/>
      <c r="CZ31" s="898"/>
      <c r="DA31" s="898"/>
      <c r="DB31" s="898"/>
      <c r="DC31" s="898"/>
      <c r="DD31" s="898"/>
      <c r="DE31" s="898"/>
      <c r="DF31" s="898"/>
      <c r="DG31" s="898"/>
      <c r="DH31" s="898"/>
      <c r="DI31" s="898"/>
      <c r="DJ31" s="898"/>
      <c r="DK31" s="898"/>
      <c r="DL31" s="898"/>
      <c r="DM31" s="898"/>
      <c r="DN31" s="898"/>
      <c r="DO31" s="898"/>
      <c r="DP31" s="898"/>
      <c r="DQ31" s="898"/>
      <c r="DR31" s="898"/>
      <c r="DS31" s="898"/>
      <c r="DT31" s="898"/>
      <c r="DU31" s="898"/>
      <c r="DV31" s="898"/>
      <c r="DW31" s="898"/>
      <c r="DX31" s="898"/>
      <c r="DY31" s="898"/>
      <c r="DZ31" s="898"/>
      <c r="EA31" s="898"/>
      <c r="EB31" s="898"/>
      <c r="EC31" s="898"/>
      <c r="ED31" s="898"/>
      <c r="EE31" s="898"/>
      <c r="EF31" s="898"/>
      <c r="EG31" s="898"/>
      <c r="EH31" s="898"/>
      <c r="EI31" s="898"/>
      <c r="EJ31" s="898"/>
      <c r="EK31" s="898"/>
      <c r="EL31" s="898"/>
      <c r="EM31" s="898"/>
      <c r="EN31" s="898"/>
      <c r="EO31" s="898"/>
      <c r="EP31" s="898"/>
      <c r="EQ31" s="898"/>
      <c r="ER31" s="898"/>
      <c r="ES31" s="898"/>
      <c r="ET31" s="898"/>
      <c r="EU31" s="898"/>
      <c r="EV31" s="898"/>
      <c r="EW31" s="898"/>
      <c r="EX31" s="898"/>
      <c r="EY31" s="898"/>
      <c r="EZ31" s="898"/>
      <c r="FA31" s="898"/>
      <c r="FB31" s="898"/>
      <c r="FC31" s="898"/>
      <c r="FD31" s="898"/>
      <c r="FE31" s="898"/>
      <c r="FF31" s="898"/>
      <c r="FG31" s="898"/>
      <c r="FH31" s="898"/>
      <c r="FI31" s="898"/>
      <c r="FJ31" s="898"/>
      <c r="FK31" s="898"/>
      <c r="FL31" s="898"/>
      <c r="FM31" s="898"/>
      <c r="FN31" s="898"/>
      <c r="FO31" s="898"/>
      <c r="FP31" s="898"/>
      <c r="FQ31" s="898"/>
      <c r="FR31" s="898"/>
      <c r="FS31" s="898"/>
      <c r="FT31" s="898"/>
      <c r="FU31" s="898"/>
      <c r="FV31" s="898"/>
      <c r="FW31" s="898"/>
      <c r="FX31" s="898"/>
      <c r="FY31" s="898"/>
      <c r="FZ31" s="898"/>
      <c r="GA31" s="898"/>
      <c r="GB31" s="898"/>
      <c r="GC31" s="898"/>
      <c r="GD31" s="898"/>
      <c r="GE31" s="898"/>
      <c r="GF31" s="898"/>
      <c r="GG31" s="898"/>
      <c r="GH31" s="898"/>
      <c r="GI31" s="898"/>
      <c r="GJ31" s="898"/>
      <c r="GK31" s="898"/>
      <c r="GL31" s="898"/>
      <c r="GM31" s="898"/>
      <c r="GN31" s="898"/>
      <c r="GO31" s="898"/>
      <c r="GP31" s="898"/>
      <c r="GQ31" s="898"/>
      <c r="GR31" s="898"/>
      <c r="GS31" s="898"/>
      <c r="GT31" s="898"/>
      <c r="GU31" s="898"/>
      <c r="GV31" s="898"/>
      <c r="GW31" s="898"/>
      <c r="GX31" s="898"/>
      <c r="GY31" s="898"/>
      <c r="GZ31" s="898"/>
      <c r="HA31" s="898"/>
      <c r="HB31" s="898"/>
      <c r="HC31" s="898"/>
      <c r="HD31" s="898"/>
      <c r="HE31" s="898"/>
      <c r="HF31" s="898"/>
      <c r="HG31" s="898"/>
      <c r="HH31" s="898"/>
      <c r="HI31" s="898"/>
      <c r="HJ31" s="898"/>
      <c r="HK31" s="898"/>
      <c r="HL31" s="898"/>
      <c r="HM31" s="898"/>
      <c r="HN31" s="898"/>
      <c r="HO31" s="898"/>
      <c r="HP31" s="898"/>
      <c r="HQ31" s="898"/>
      <c r="HR31" s="898"/>
      <c r="HS31" s="898"/>
      <c r="HT31" s="898"/>
      <c r="HU31" s="898"/>
      <c r="HV31" s="898"/>
      <c r="HW31" s="898"/>
      <c r="HX31" s="898"/>
      <c r="HY31" s="898"/>
      <c r="HZ31" s="898"/>
      <c r="IA31" s="898"/>
      <c r="IB31" s="898"/>
      <c r="IC31" s="898"/>
      <c r="ID31" s="898"/>
      <c r="IE31" s="898"/>
      <c r="IF31" s="898"/>
      <c r="IG31" s="898"/>
      <c r="IH31" s="898"/>
      <c r="II31" s="898"/>
      <c r="IJ31" s="898"/>
      <c r="IK31" s="898"/>
      <c r="IL31" s="898"/>
      <c r="IM31" s="898"/>
      <c r="IN31" s="898"/>
      <c r="IO31" s="898"/>
      <c r="IP31" s="898"/>
      <c r="IQ31" s="898"/>
      <c r="IR31" s="898"/>
      <c r="IS31" s="898"/>
      <c r="IT31" s="898"/>
      <c r="IU31" s="898"/>
      <c r="IV31" s="898"/>
    </row>
    <row r="32" spans="1:14" ht="12.75">
      <c r="A32" s="900"/>
      <c r="B32" s="901" t="s">
        <v>1063</v>
      </c>
      <c r="C32" s="902" t="s">
        <v>1064</v>
      </c>
      <c r="D32" s="919"/>
      <c r="E32" s="904"/>
      <c r="F32" s="905"/>
      <c r="G32" s="925"/>
      <c r="H32" s="906"/>
      <c r="I32" s="926"/>
      <c r="J32" s="904"/>
      <c r="K32" s="905">
        <f>4158000+352000</f>
        <v>4510000</v>
      </c>
      <c r="L32" s="907">
        <f t="shared" si="1"/>
        <v>4510000</v>
      </c>
      <c r="M32" s="908"/>
      <c r="N32" s="897"/>
    </row>
    <row r="33" spans="1:14" ht="12.75">
      <c r="A33" s="900"/>
      <c r="B33" s="901" t="s">
        <v>1065</v>
      </c>
      <c r="C33" s="902" t="s">
        <v>1066</v>
      </c>
      <c r="D33" s="919"/>
      <c r="E33" s="904"/>
      <c r="F33" s="905"/>
      <c r="G33" s="925"/>
      <c r="H33" s="906"/>
      <c r="I33" s="926"/>
      <c r="J33" s="904"/>
      <c r="K33" s="905">
        <f>18150000+1925000</f>
        <v>20075000</v>
      </c>
      <c r="L33" s="907">
        <f t="shared" si="1"/>
        <v>20075000</v>
      </c>
      <c r="M33" s="908"/>
      <c r="N33" s="897"/>
    </row>
    <row r="34" spans="1:14" ht="12.75">
      <c r="A34" s="900"/>
      <c r="B34" s="901" t="s">
        <v>1067</v>
      </c>
      <c r="C34" s="902" t="s">
        <v>434</v>
      </c>
      <c r="D34" s="919">
        <v>70</v>
      </c>
      <c r="E34" s="904">
        <v>65360</v>
      </c>
      <c r="F34" s="905">
        <f>E34*D34</f>
        <v>4575200</v>
      </c>
      <c r="G34" s="925"/>
      <c r="H34" s="906"/>
      <c r="I34" s="926"/>
      <c r="J34" s="904"/>
      <c r="K34" s="905"/>
      <c r="L34" s="907"/>
      <c r="M34" s="908"/>
      <c r="N34" s="897"/>
    </row>
    <row r="35" spans="1:14" ht="12.75">
      <c r="A35" s="900"/>
      <c r="B35" s="901" t="s">
        <v>1068</v>
      </c>
      <c r="C35" s="902" t="s">
        <v>1069</v>
      </c>
      <c r="D35" s="919">
        <v>9</v>
      </c>
      <c r="E35" s="904">
        <v>330000</v>
      </c>
      <c r="F35" s="905">
        <f>E35*D35</f>
        <v>2970000</v>
      </c>
      <c r="G35" s="925"/>
      <c r="H35" s="906"/>
      <c r="I35" s="926"/>
      <c r="J35" s="904"/>
      <c r="K35" s="905"/>
      <c r="L35" s="907"/>
      <c r="M35" s="908"/>
      <c r="N35" s="897"/>
    </row>
    <row r="36" spans="1:14" ht="12.75">
      <c r="A36" s="900"/>
      <c r="B36" s="901" t="s">
        <v>1070</v>
      </c>
      <c r="C36" s="902" t="s">
        <v>720</v>
      </c>
      <c r="D36" s="903"/>
      <c r="E36" s="904"/>
      <c r="F36" s="905"/>
      <c r="G36" s="925"/>
      <c r="H36" s="906"/>
      <c r="I36" s="926"/>
      <c r="J36" s="904"/>
      <c r="K36" s="905">
        <v>7303142</v>
      </c>
      <c r="L36" s="907">
        <f t="shared" si="1"/>
        <v>7303142</v>
      </c>
      <c r="M36" s="908"/>
      <c r="N36" s="897"/>
    </row>
    <row r="37" spans="1:256" ht="12.75">
      <c r="A37" s="899"/>
      <c r="B37" s="888" t="s">
        <v>1071</v>
      </c>
      <c r="C37" s="909" t="s">
        <v>1072</v>
      </c>
      <c r="D37" s="910"/>
      <c r="E37" s="911"/>
      <c r="F37" s="892"/>
      <c r="G37" s="912"/>
      <c r="H37" s="894"/>
      <c r="I37" s="913"/>
      <c r="J37" s="891"/>
      <c r="K37" s="892">
        <f>SUM(K38:K41)</f>
        <v>13608500</v>
      </c>
      <c r="L37" s="895">
        <f t="shared" si="1"/>
        <v>13608500</v>
      </c>
      <c r="M37" s="896"/>
      <c r="N37" s="897">
        <f>SUM(L37)</f>
        <v>13608500</v>
      </c>
      <c r="O37" s="898"/>
      <c r="P37" s="898"/>
      <c r="Q37" s="898"/>
      <c r="R37" s="898"/>
      <c r="S37" s="898"/>
      <c r="T37" s="898"/>
      <c r="U37" s="898"/>
      <c r="V37" s="898"/>
      <c r="W37" s="898"/>
      <c r="X37" s="898"/>
      <c r="Y37" s="898"/>
      <c r="Z37" s="898"/>
      <c r="AA37" s="898"/>
      <c r="AB37" s="898"/>
      <c r="AC37" s="898"/>
      <c r="AD37" s="898"/>
      <c r="AE37" s="898"/>
      <c r="AF37" s="898"/>
      <c r="AG37" s="898"/>
      <c r="AH37" s="898"/>
      <c r="AI37" s="898"/>
      <c r="AJ37" s="898"/>
      <c r="AK37" s="898"/>
      <c r="AL37" s="898"/>
      <c r="AM37" s="898"/>
      <c r="AN37" s="898"/>
      <c r="AO37" s="898"/>
      <c r="AP37" s="898"/>
      <c r="AQ37" s="898"/>
      <c r="AR37" s="898"/>
      <c r="AS37" s="898"/>
      <c r="AT37" s="898"/>
      <c r="AU37" s="898"/>
      <c r="AV37" s="898"/>
      <c r="AW37" s="898"/>
      <c r="AX37" s="898"/>
      <c r="AY37" s="898"/>
      <c r="AZ37" s="898"/>
      <c r="BA37" s="898"/>
      <c r="BB37" s="898"/>
      <c r="BC37" s="898"/>
      <c r="BD37" s="898"/>
      <c r="BE37" s="898"/>
      <c r="BF37" s="898"/>
      <c r="BG37" s="898"/>
      <c r="BH37" s="898"/>
      <c r="BI37" s="898"/>
      <c r="BJ37" s="898"/>
      <c r="BK37" s="898"/>
      <c r="BL37" s="898"/>
      <c r="BM37" s="898"/>
      <c r="BN37" s="898"/>
      <c r="BO37" s="898"/>
      <c r="BP37" s="898"/>
      <c r="BQ37" s="898"/>
      <c r="BR37" s="898"/>
      <c r="BS37" s="898"/>
      <c r="BT37" s="898"/>
      <c r="BU37" s="898"/>
      <c r="BV37" s="898"/>
      <c r="BW37" s="898"/>
      <c r="BX37" s="898"/>
      <c r="BY37" s="898"/>
      <c r="BZ37" s="898"/>
      <c r="CA37" s="898"/>
      <c r="CB37" s="898"/>
      <c r="CC37" s="898"/>
      <c r="CD37" s="898"/>
      <c r="CE37" s="898"/>
      <c r="CF37" s="898"/>
      <c r="CG37" s="898"/>
      <c r="CH37" s="898"/>
      <c r="CI37" s="898"/>
      <c r="CJ37" s="898"/>
      <c r="CK37" s="898"/>
      <c r="CL37" s="898"/>
      <c r="CM37" s="898"/>
      <c r="CN37" s="898"/>
      <c r="CO37" s="898"/>
      <c r="CP37" s="898"/>
      <c r="CQ37" s="898"/>
      <c r="CR37" s="898"/>
      <c r="CS37" s="898"/>
      <c r="CT37" s="898"/>
      <c r="CU37" s="898"/>
      <c r="CV37" s="898"/>
      <c r="CW37" s="898"/>
      <c r="CX37" s="898"/>
      <c r="CY37" s="898"/>
      <c r="CZ37" s="898"/>
      <c r="DA37" s="898"/>
      <c r="DB37" s="898"/>
      <c r="DC37" s="898"/>
      <c r="DD37" s="898"/>
      <c r="DE37" s="898"/>
      <c r="DF37" s="898"/>
      <c r="DG37" s="898"/>
      <c r="DH37" s="898"/>
      <c r="DI37" s="898"/>
      <c r="DJ37" s="898"/>
      <c r="DK37" s="898"/>
      <c r="DL37" s="898"/>
      <c r="DM37" s="898"/>
      <c r="DN37" s="898"/>
      <c r="DO37" s="898"/>
      <c r="DP37" s="898"/>
      <c r="DQ37" s="898"/>
      <c r="DR37" s="898"/>
      <c r="DS37" s="898"/>
      <c r="DT37" s="898"/>
      <c r="DU37" s="898"/>
      <c r="DV37" s="898"/>
      <c r="DW37" s="898"/>
      <c r="DX37" s="898"/>
      <c r="DY37" s="898"/>
      <c r="DZ37" s="898"/>
      <c r="EA37" s="898"/>
      <c r="EB37" s="898"/>
      <c r="EC37" s="898"/>
      <c r="ED37" s="898"/>
      <c r="EE37" s="898"/>
      <c r="EF37" s="898"/>
      <c r="EG37" s="898"/>
      <c r="EH37" s="898"/>
      <c r="EI37" s="898"/>
      <c r="EJ37" s="898"/>
      <c r="EK37" s="898"/>
      <c r="EL37" s="898"/>
      <c r="EM37" s="898"/>
      <c r="EN37" s="898"/>
      <c r="EO37" s="898"/>
      <c r="EP37" s="898"/>
      <c r="EQ37" s="898"/>
      <c r="ER37" s="898"/>
      <c r="ES37" s="898"/>
      <c r="ET37" s="898"/>
      <c r="EU37" s="898"/>
      <c r="EV37" s="898"/>
      <c r="EW37" s="898"/>
      <c r="EX37" s="898"/>
      <c r="EY37" s="898"/>
      <c r="EZ37" s="898"/>
      <c r="FA37" s="898"/>
      <c r="FB37" s="898"/>
      <c r="FC37" s="898"/>
      <c r="FD37" s="898"/>
      <c r="FE37" s="898"/>
      <c r="FF37" s="898"/>
      <c r="FG37" s="898"/>
      <c r="FH37" s="898"/>
      <c r="FI37" s="898"/>
      <c r="FJ37" s="898"/>
      <c r="FK37" s="898"/>
      <c r="FL37" s="898"/>
      <c r="FM37" s="898"/>
      <c r="FN37" s="898"/>
      <c r="FO37" s="898"/>
      <c r="FP37" s="898"/>
      <c r="FQ37" s="898"/>
      <c r="FR37" s="898"/>
      <c r="FS37" s="898"/>
      <c r="FT37" s="898"/>
      <c r="FU37" s="898"/>
      <c r="FV37" s="898"/>
      <c r="FW37" s="898"/>
      <c r="FX37" s="898"/>
      <c r="FY37" s="898"/>
      <c r="FZ37" s="898"/>
      <c r="GA37" s="898"/>
      <c r="GB37" s="898"/>
      <c r="GC37" s="898"/>
      <c r="GD37" s="898"/>
      <c r="GE37" s="898"/>
      <c r="GF37" s="898"/>
      <c r="GG37" s="898"/>
      <c r="GH37" s="898"/>
      <c r="GI37" s="898"/>
      <c r="GJ37" s="898"/>
      <c r="GK37" s="898"/>
      <c r="GL37" s="898"/>
      <c r="GM37" s="898"/>
      <c r="GN37" s="898"/>
      <c r="GO37" s="898"/>
      <c r="GP37" s="898"/>
      <c r="GQ37" s="898"/>
      <c r="GR37" s="898"/>
      <c r="GS37" s="898"/>
      <c r="GT37" s="898"/>
      <c r="GU37" s="898"/>
      <c r="GV37" s="898"/>
      <c r="GW37" s="898"/>
      <c r="GX37" s="898"/>
      <c r="GY37" s="898"/>
      <c r="GZ37" s="898"/>
      <c r="HA37" s="898"/>
      <c r="HB37" s="898"/>
      <c r="HC37" s="898"/>
      <c r="HD37" s="898"/>
      <c r="HE37" s="898"/>
      <c r="HF37" s="898"/>
      <c r="HG37" s="898"/>
      <c r="HH37" s="898"/>
      <c r="HI37" s="898"/>
      <c r="HJ37" s="898"/>
      <c r="HK37" s="898"/>
      <c r="HL37" s="898"/>
      <c r="HM37" s="898"/>
      <c r="HN37" s="898"/>
      <c r="HO37" s="898"/>
      <c r="HP37" s="898"/>
      <c r="HQ37" s="898"/>
      <c r="HR37" s="898"/>
      <c r="HS37" s="898"/>
      <c r="HT37" s="898"/>
      <c r="HU37" s="898"/>
      <c r="HV37" s="898"/>
      <c r="HW37" s="898"/>
      <c r="HX37" s="898"/>
      <c r="HY37" s="898"/>
      <c r="HZ37" s="898"/>
      <c r="IA37" s="898"/>
      <c r="IB37" s="898"/>
      <c r="IC37" s="898"/>
      <c r="ID37" s="898"/>
      <c r="IE37" s="898"/>
      <c r="IF37" s="898"/>
      <c r="IG37" s="898"/>
      <c r="IH37" s="898"/>
      <c r="II37" s="898"/>
      <c r="IJ37" s="898"/>
      <c r="IK37" s="898"/>
      <c r="IL37" s="898"/>
      <c r="IM37" s="898"/>
      <c r="IN37" s="898"/>
      <c r="IO37" s="898"/>
      <c r="IP37" s="898"/>
      <c r="IQ37" s="898"/>
      <c r="IR37" s="898"/>
      <c r="IS37" s="898"/>
      <c r="IT37" s="898"/>
      <c r="IU37" s="898"/>
      <c r="IV37" s="898"/>
    </row>
    <row r="38" spans="1:14" ht="12.75">
      <c r="A38" s="900"/>
      <c r="B38" s="901" t="s">
        <v>1073</v>
      </c>
      <c r="C38" s="921" t="s">
        <v>1074</v>
      </c>
      <c r="D38" s="927"/>
      <c r="E38" s="904"/>
      <c r="F38" s="905"/>
      <c r="G38" s="903">
        <v>1</v>
      </c>
      <c r="H38" s="906">
        <v>4419000</v>
      </c>
      <c r="I38" s="906"/>
      <c r="J38" s="904"/>
      <c r="K38" s="905">
        <f>G38*H38+206500</f>
        <v>4625500</v>
      </c>
      <c r="L38" s="928">
        <f t="shared" si="1"/>
        <v>4625500</v>
      </c>
      <c r="M38" s="908"/>
      <c r="N38" s="897"/>
    </row>
    <row r="39" spans="1:14" ht="25.5">
      <c r="A39" s="900"/>
      <c r="B39" s="901" t="s">
        <v>1075</v>
      </c>
      <c r="C39" s="921" t="s">
        <v>1076</v>
      </c>
      <c r="D39" s="927"/>
      <c r="E39" s="904"/>
      <c r="F39" s="905"/>
      <c r="G39" s="903">
        <v>2</v>
      </c>
      <c r="H39" s="906">
        <v>2993000</v>
      </c>
      <c r="I39" s="906"/>
      <c r="J39" s="904"/>
      <c r="K39" s="905">
        <f>G39*H39+230000</f>
        <v>6216000</v>
      </c>
      <c r="L39" s="928">
        <f t="shared" si="1"/>
        <v>6216000</v>
      </c>
      <c r="M39" s="908"/>
      <c r="N39" s="897"/>
    </row>
    <row r="40" spans="1:14" ht="25.5">
      <c r="A40" s="900"/>
      <c r="B40" s="901"/>
      <c r="C40" s="921" t="s">
        <v>1077</v>
      </c>
      <c r="D40" s="927"/>
      <c r="E40" s="904"/>
      <c r="F40" s="905"/>
      <c r="G40" s="903"/>
      <c r="H40" s="906"/>
      <c r="I40" s="906"/>
      <c r="J40" s="904"/>
      <c r="K40" s="905">
        <v>1038000</v>
      </c>
      <c r="L40" s="928">
        <f t="shared" si="1"/>
        <v>1038000</v>
      </c>
      <c r="M40" s="908"/>
      <c r="N40" s="897"/>
    </row>
    <row r="41" spans="1:14" ht="12.75">
      <c r="A41" s="900"/>
      <c r="B41" s="901" t="s">
        <v>1078</v>
      </c>
      <c r="C41" s="921" t="s">
        <v>1079</v>
      </c>
      <c r="D41" s="927"/>
      <c r="E41" s="904"/>
      <c r="F41" s="905"/>
      <c r="G41" s="903"/>
      <c r="H41" s="906"/>
      <c r="I41" s="906"/>
      <c r="J41" s="904"/>
      <c r="K41" s="929">
        <f>1539000+190000</f>
        <v>1729000</v>
      </c>
      <c r="L41" s="928">
        <f t="shared" si="1"/>
        <v>1729000</v>
      </c>
      <c r="M41" s="908"/>
      <c r="N41" s="897"/>
    </row>
    <row r="42" spans="1:14" ht="12.75">
      <c r="A42" s="887" t="s">
        <v>1039</v>
      </c>
      <c r="B42" s="888" t="s">
        <v>1080</v>
      </c>
      <c r="C42" s="889" t="s">
        <v>1081</v>
      </c>
      <c r="D42" s="910"/>
      <c r="E42" s="911"/>
      <c r="F42" s="892">
        <f>218350+331456</f>
        <v>549806</v>
      </c>
      <c r="G42" s="912"/>
      <c r="H42" s="894"/>
      <c r="I42" s="913"/>
      <c r="J42" s="891"/>
      <c r="K42" s="892">
        <f>10068391</f>
        <v>10068391</v>
      </c>
      <c r="L42" s="895">
        <f>F42+K42</f>
        <v>10618197</v>
      </c>
      <c r="M42" s="908"/>
      <c r="N42" s="897">
        <f>SUM(L42)</f>
        <v>10618197</v>
      </c>
    </row>
    <row r="43" spans="2:256" ht="25.5" customHeight="1">
      <c r="B43" s="922"/>
      <c r="C43" s="878" t="s">
        <v>1082</v>
      </c>
      <c r="D43" s="879"/>
      <c r="E43" s="880"/>
      <c r="F43" s="881">
        <f>SUM(F44)</f>
        <v>67690650</v>
      </c>
      <c r="G43" s="923"/>
      <c r="H43" s="882"/>
      <c r="I43" s="924"/>
      <c r="J43" s="880"/>
      <c r="K43" s="881">
        <f>SUM(K44)</f>
        <v>0</v>
      </c>
      <c r="L43" s="881">
        <f>SUM(L44)</f>
        <v>67690650</v>
      </c>
      <c r="M43" s="896"/>
      <c r="N43" s="918">
        <f>SUM(N44)</f>
        <v>67690650</v>
      </c>
      <c r="O43" s="898"/>
      <c r="P43" s="898"/>
      <c r="Q43" s="898"/>
      <c r="R43" s="898"/>
      <c r="S43" s="898"/>
      <c r="T43" s="898"/>
      <c r="U43" s="898"/>
      <c r="V43" s="898"/>
      <c r="W43" s="898"/>
      <c r="X43" s="898"/>
      <c r="Y43" s="898"/>
      <c r="Z43" s="898"/>
      <c r="AA43" s="898"/>
      <c r="AB43" s="898"/>
      <c r="AC43" s="898"/>
      <c r="AD43" s="898"/>
      <c r="AE43" s="898"/>
      <c r="AF43" s="898"/>
      <c r="AG43" s="898"/>
      <c r="AH43" s="898"/>
      <c r="AI43" s="898"/>
      <c r="AJ43" s="898"/>
      <c r="AK43" s="898"/>
      <c r="AL43" s="898"/>
      <c r="AM43" s="898"/>
      <c r="AN43" s="898"/>
      <c r="AO43" s="898"/>
      <c r="AP43" s="898"/>
      <c r="AQ43" s="898"/>
      <c r="AR43" s="898"/>
      <c r="AS43" s="898"/>
      <c r="AT43" s="898"/>
      <c r="AU43" s="898"/>
      <c r="AV43" s="898"/>
      <c r="AW43" s="898"/>
      <c r="AX43" s="898"/>
      <c r="AY43" s="898"/>
      <c r="AZ43" s="898"/>
      <c r="BA43" s="898"/>
      <c r="BB43" s="898"/>
      <c r="BC43" s="898"/>
      <c r="BD43" s="898"/>
      <c r="BE43" s="898"/>
      <c r="BF43" s="898"/>
      <c r="BG43" s="898"/>
      <c r="BH43" s="898"/>
      <c r="BI43" s="898"/>
      <c r="BJ43" s="898"/>
      <c r="BK43" s="898"/>
      <c r="BL43" s="898"/>
      <c r="BM43" s="898"/>
      <c r="BN43" s="898"/>
      <c r="BO43" s="898"/>
      <c r="BP43" s="898"/>
      <c r="BQ43" s="898"/>
      <c r="BR43" s="898"/>
      <c r="BS43" s="898"/>
      <c r="BT43" s="898"/>
      <c r="BU43" s="898"/>
      <c r="BV43" s="898"/>
      <c r="BW43" s="898"/>
      <c r="BX43" s="898"/>
      <c r="BY43" s="898"/>
      <c r="BZ43" s="898"/>
      <c r="CA43" s="898"/>
      <c r="CB43" s="898"/>
      <c r="CC43" s="898"/>
      <c r="CD43" s="898"/>
      <c r="CE43" s="898"/>
      <c r="CF43" s="898"/>
      <c r="CG43" s="898"/>
      <c r="CH43" s="898"/>
      <c r="CI43" s="898"/>
      <c r="CJ43" s="898"/>
      <c r="CK43" s="898"/>
      <c r="CL43" s="898"/>
      <c r="CM43" s="898"/>
      <c r="CN43" s="898"/>
      <c r="CO43" s="898"/>
      <c r="CP43" s="898"/>
      <c r="CQ43" s="898"/>
      <c r="CR43" s="898"/>
      <c r="CS43" s="898"/>
      <c r="CT43" s="898"/>
      <c r="CU43" s="898"/>
      <c r="CV43" s="898"/>
      <c r="CW43" s="898"/>
      <c r="CX43" s="898"/>
      <c r="CY43" s="898"/>
      <c r="CZ43" s="898"/>
      <c r="DA43" s="898"/>
      <c r="DB43" s="898"/>
      <c r="DC43" s="898"/>
      <c r="DD43" s="898"/>
      <c r="DE43" s="898"/>
      <c r="DF43" s="898"/>
      <c r="DG43" s="898"/>
      <c r="DH43" s="898"/>
      <c r="DI43" s="898"/>
      <c r="DJ43" s="898"/>
      <c r="DK43" s="898"/>
      <c r="DL43" s="898"/>
      <c r="DM43" s="898"/>
      <c r="DN43" s="898"/>
      <c r="DO43" s="898"/>
      <c r="DP43" s="898"/>
      <c r="DQ43" s="898"/>
      <c r="DR43" s="898"/>
      <c r="DS43" s="898"/>
      <c r="DT43" s="898"/>
      <c r="DU43" s="898"/>
      <c r="DV43" s="898"/>
      <c r="DW43" s="898"/>
      <c r="DX43" s="898"/>
      <c r="DY43" s="898"/>
      <c r="DZ43" s="898"/>
      <c r="EA43" s="898"/>
      <c r="EB43" s="898"/>
      <c r="EC43" s="898"/>
      <c r="ED43" s="898"/>
      <c r="EE43" s="898"/>
      <c r="EF43" s="898"/>
      <c r="EG43" s="898"/>
      <c r="EH43" s="898"/>
      <c r="EI43" s="898"/>
      <c r="EJ43" s="898"/>
      <c r="EK43" s="898"/>
      <c r="EL43" s="898"/>
      <c r="EM43" s="898"/>
      <c r="EN43" s="898"/>
      <c r="EO43" s="898"/>
      <c r="EP43" s="898"/>
      <c r="EQ43" s="898"/>
      <c r="ER43" s="898"/>
      <c r="ES43" s="898"/>
      <c r="ET43" s="898"/>
      <c r="EU43" s="898"/>
      <c r="EV43" s="898"/>
      <c r="EW43" s="898"/>
      <c r="EX43" s="898"/>
      <c r="EY43" s="898"/>
      <c r="EZ43" s="898"/>
      <c r="FA43" s="898"/>
      <c r="FB43" s="898"/>
      <c r="FC43" s="898"/>
      <c r="FD43" s="898"/>
      <c r="FE43" s="898"/>
      <c r="FF43" s="898"/>
      <c r="FG43" s="898"/>
      <c r="FH43" s="898"/>
      <c r="FI43" s="898"/>
      <c r="FJ43" s="898"/>
      <c r="FK43" s="898"/>
      <c r="FL43" s="898"/>
      <c r="FM43" s="898"/>
      <c r="FN43" s="898"/>
      <c r="FO43" s="898"/>
      <c r="FP43" s="898"/>
      <c r="FQ43" s="898"/>
      <c r="FR43" s="898"/>
      <c r="FS43" s="898"/>
      <c r="FT43" s="898"/>
      <c r="FU43" s="898"/>
      <c r="FV43" s="898"/>
      <c r="FW43" s="898"/>
      <c r="FX43" s="898"/>
      <c r="FY43" s="898"/>
      <c r="FZ43" s="898"/>
      <c r="GA43" s="898"/>
      <c r="GB43" s="898"/>
      <c r="GC43" s="898"/>
      <c r="GD43" s="898"/>
      <c r="GE43" s="898"/>
      <c r="GF43" s="898"/>
      <c r="GG43" s="898"/>
      <c r="GH43" s="898"/>
      <c r="GI43" s="898"/>
      <c r="GJ43" s="898"/>
      <c r="GK43" s="898"/>
      <c r="GL43" s="898"/>
      <c r="GM43" s="898"/>
      <c r="GN43" s="898"/>
      <c r="GO43" s="898"/>
      <c r="GP43" s="898"/>
      <c r="GQ43" s="898"/>
      <c r="GR43" s="898"/>
      <c r="GS43" s="898"/>
      <c r="GT43" s="898"/>
      <c r="GU43" s="898"/>
      <c r="GV43" s="898"/>
      <c r="GW43" s="898"/>
      <c r="GX43" s="898"/>
      <c r="GY43" s="898"/>
      <c r="GZ43" s="898"/>
      <c r="HA43" s="898"/>
      <c r="HB43" s="898"/>
      <c r="HC43" s="898"/>
      <c r="HD43" s="898"/>
      <c r="HE43" s="898"/>
      <c r="HF43" s="898"/>
      <c r="HG43" s="898"/>
      <c r="HH43" s="898"/>
      <c r="HI43" s="898"/>
      <c r="HJ43" s="898"/>
      <c r="HK43" s="898"/>
      <c r="HL43" s="898"/>
      <c r="HM43" s="898"/>
      <c r="HN43" s="898"/>
      <c r="HO43" s="898"/>
      <c r="HP43" s="898"/>
      <c r="HQ43" s="898"/>
      <c r="HR43" s="898"/>
      <c r="HS43" s="898"/>
      <c r="HT43" s="898"/>
      <c r="HU43" s="898"/>
      <c r="HV43" s="898"/>
      <c r="HW43" s="898"/>
      <c r="HX43" s="898"/>
      <c r="HY43" s="898"/>
      <c r="HZ43" s="898"/>
      <c r="IA43" s="898"/>
      <c r="IB43" s="898"/>
      <c r="IC43" s="898"/>
      <c r="ID43" s="898"/>
      <c r="IE43" s="898"/>
      <c r="IF43" s="898"/>
      <c r="IG43" s="898"/>
      <c r="IH43" s="898"/>
      <c r="II43" s="898"/>
      <c r="IJ43" s="898"/>
      <c r="IK43" s="898"/>
      <c r="IL43" s="898"/>
      <c r="IM43" s="898"/>
      <c r="IN43" s="898"/>
      <c r="IO43" s="898"/>
      <c r="IP43" s="898"/>
      <c r="IQ43" s="898"/>
      <c r="IR43" s="898"/>
      <c r="IS43" s="898"/>
      <c r="IT43" s="898"/>
      <c r="IU43" s="898"/>
      <c r="IV43" s="898"/>
    </row>
    <row r="44" spans="1:256" ht="12.75">
      <c r="A44" s="887" t="s">
        <v>1058</v>
      </c>
      <c r="B44" s="888" t="s">
        <v>1083</v>
      </c>
      <c r="C44" s="909" t="s">
        <v>1084</v>
      </c>
      <c r="D44" s="910"/>
      <c r="E44" s="911"/>
      <c r="F44" s="892">
        <f>SUM(F45:F47)</f>
        <v>67690650</v>
      </c>
      <c r="G44" s="912"/>
      <c r="H44" s="894"/>
      <c r="I44" s="913"/>
      <c r="J44" s="891"/>
      <c r="K44" s="892">
        <f>SUM(K45:K47)</f>
        <v>0</v>
      </c>
      <c r="L44" s="895">
        <f>F44+K44</f>
        <v>67690650</v>
      </c>
      <c r="M44" s="896"/>
      <c r="N44" s="897">
        <f>SUM(L45:L47)</f>
        <v>67690650</v>
      </c>
      <c r="O44" s="898"/>
      <c r="P44" s="898"/>
      <c r="Q44" s="898"/>
      <c r="R44" s="898"/>
      <c r="S44" s="898"/>
      <c r="T44" s="898"/>
      <c r="U44" s="898"/>
      <c r="V44" s="898"/>
      <c r="W44" s="898"/>
      <c r="X44" s="898"/>
      <c r="Y44" s="898"/>
      <c r="Z44" s="898"/>
      <c r="AA44" s="898"/>
      <c r="AB44" s="898"/>
      <c r="AC44" s="898"/>
      <c r="AD44" s="898"/>
      <c r="AE44" s="898"/>
      <c r="AF44" s="898"/>
      <c r="AG44" s="898"/>
      <c r="AH44" s="898"/>
      <c r="AI44" s="898"/>
      <c r="AJ44" s="898"/>
      <c r="AK44" s="898"/>
      <c r="AL44" s="898"/>
      <c r="AM44" s="898"/>
      <c r="AN44" s="898"/>
      <c r="AO44" s="898"/>
      <c r="AP44" s="898"/>
      <c r="AQ44" s="898"/>
      <c r="AR44" s="898"/>
      <c r="AS44" s="898"/>
      <c r="AT44" s="898"/>
      <c r="AU44" s="898"/>
      <c r="AV44" s="898"/>
      <c r="AW44" s="898"/>
      <c r="AX44" s="898"/>
      <c r="AY44" s="898"/>
      <c r="AZ44" s="898"/>
      <c r="BA44" s="898"/>
      <c r="BB44" s="898"/>
      <c r="BC44" s="898"/>
      <c r="BD44" s="898"/>
      <c r="BE44" s="898"/>
      <c r="BF44" s="898"/>
      <c r="BG44" s="898"/>
      <c r="BH44" s="898"/>
      <c r="BI44" s="898"/>
      <c r="BJ44" s="898"/>
      <c r="BK44" s="898"/>
      <c r="BL44" s="898"/>
      <c r="BM44" s="898"/>
      <c r="BN44" s="898"/>
      <c r="BO44" s="898"/>
      <c r="BP44" s="898"/>
      <c r="BQ44" s="898"/>
      <c r="BR44" s="898"/>
      <c r="BS44" s="898"/>
      <c r="BT44" s="898"/>
      <c r="BU44" s="898"/>
      <c r="BV44" s="898"/>
      <c r="BW44" s="898"/>
      <c r="BX44" s="898"/>
      <c r="BY44" s="898"/>
      <c r="BZ44" s="898"/>
      <c r="CA44" s="898"/>
      <c r="CB44" s="898"/>
      <c r="CC44" s="898"/>
      <c r="CD44" s="898"/>
      <c r="CE44" s="898"/>
      <c r="CF44" s="898"/>
      <c r="CG44" s="898"/>
      <c r="CH44" s="898"/>
      <c r="CI44" s="898"/>
      <c r="CJ44" s="898"/>
      <c r="CK44" s="898"/>
      <c r="CL44" s="898"/>
      <c r="CM44" s="898"/>
      <c r="CN44" s="898"/>
      <c r="CO44" s="898"/>
      <c r="CP44" s="898"/>
      <c r="CQ44" s="898"/>
      <c r="CR44" s="898"/>
      <c r="CS44" s="898"/>
      <c r="CT44" s="898"/>
      <c r="CU44" s="898"/>
      <c r="CV44" s="898"/>
      <c r="CW44" s="898"/>
      <c r="CX44" s="898"/>
      <c r="CY44" s="898"/>
      <c r="CZ44" s="898"/>
      <c r="DA44" s="898"/>
      <c r="DB44" s="898"/>
      <c r="DC44" s="898"/>
      <c r="DD44" s="898"/>
      <c r="DE44" s="898"/>
      <c r="DF44" s="898"/>
      <c r="DG44" s="898"/>
      <c r="DH44" s="898"/>
      <c r="DI44" s="898"/>
      <c r="DJ44" s="898"/>
      <c r="DK44" s="898"/>
      <c r="DL44" s="898"/>
      <c r="DM44" s="898"/>
      <c r="DN44" s="898"/>
      <c r="DO44" s="898"/>
      <c r="DP44" s="898"/>
      <c r="DQ44" s="898"/>
      <c r="DR44" s="898"/>
      <c r="DS44" s="898"/>
      <c r="DT44" s="898"/>
      <c r="DU44" s="898"/>
      <c r="DV44" s="898"/>
      <c r="DW44" s="898"/>
      <c r="DX44" s="898"/>
      <c r="DY44" s="898"/>
      <c r="DZ44" s="898"/>
      <c r="EA44" s="898"/>
      <c r="EB44" s="898"/>
      <c r="EC44" s="898"/>
      <c r="ED44" s="898"/>
      <c r="EE44" s="898"/>
      <c r="EF44" s="898"/>
      <c r="EG44" s="898"/>
      <c r="EH44" s="898"/>
      <c r="EI44" s="898"/>
      <c r="EJ44" s="898"/>
      <c r="EK44" s="898"/>
      <c r="EL44" s="898"/>
      <c r="EM44" s="898"/>
      <c r="EN44" s="898"/>
      <c r="EO44" s="898"/>
      <c r="EP44" s="898"/>
      <c r="EQ44" s="898"/>
      <c r="ER44" s="898"/>
      <c r="ES44" s="898"/>
      <c r="ET44" s="898"/>
      <c r="EU44" s="898"/>
      <c r="EV44" s="898"/>
      <c r="EW44" s="898"/>
      <c r="EX44" s="898"/>
      <c r="EY44" s="898"/>
      <c r="EZ44" s="898"/>
      <c r="FA44" s="898"/>
      <c r="FB44" s="898"/>
      <c r="FC44" s="898"/>
      <c r="FD44" s="898"/>
      <c r="FE44" s="898"/>
      <c r="FF44" s="898"/>
      <c r="FG44" s="898"/>
      <c r="FH44" s="898"/>
      <c r="FI44" s="898"/>
      <c r="FJ44" s="898"/>
      <c r="FK44" s="898"/>
      <c r="FL44" s="898"/>
      <c r="FM44" s="898"/>
      <c r="FN44" s="898"/>
      <c r="FO44" s="898"/>
      <c r="FP44" s="898"/>
      <c r="FQ44" s="898"/>
      <c r="FR44" s="898"/>
      <c r="FS44" s="898"/>
      <c r="FT44" s="898"/>
      <c r="FU44" s="898"/>
      <c r="FV44" s="898"/>
      <c r="FW44" s="898"/>
      <c r="FX44" s="898"/>
      <c r="FY44" s="898"/>
      <c r="FZ44" s="898"/>
      <c r="GA44" s="898"/>
      <c r="GB44" s="898"/>
      <c r="GC44" s="898"/>
      <c r="GD44" s="898"/>
      <c r="GE44" s="898"/>
      <c r="GF44" s="898"/>
      <c r="GG44" s="898"/>
      <c r="GH44" s="898"/>
      <c r="GI44" s="898"/>
      <c r="GJ44" s="898"/>
      <c r="GK44" s="898"/>
      <c r="GL44" s="898"/>
      <c r="GM44" s="898"/>
      <c r="GN44" s="898"/>
      <c r="GO44" s="898"/>
      <c r="GP44" s="898"/>
      <c r="GQ44" s="898"/>
      <c r="GR44" s="898"/>
      <c r="GS44" s="898"/>
      <c r="GT44" s="898"/>
      <c r="GU44" s="898"/>
      <c r="GV44" s="898"/>
      <c r="GW44" s="898"/>
      <c r="GX44" s="898"/>
      <c r="GY44" s="898"/>
      <c r="GZ44" s="898"/>
      <c r="HA44" s="898"/>
      <c r="HB44" s="898"/>
      <c r="HC44" s="898"/>
      <c r="HD44" s="898"/>
      <c r="HE44" s="898"/>
      <c r="HF44" s="898"/>
      <c r="HG44" s="898"/>
      <c r="HH44" s="898"/>
      <c r="HI44" s="898"/>
      <c r="HJ44" s="898"/>
      <c r="HK44" s="898"/>
      <c r="HL44" s="898"/>
      <c r="HM44" s="898"/>
      <c r="HN44" s="898"/>
      <c r="HO44" s="898"/>
      <c r="HP44" s="898"/>
      <c r="HQ44" s="898"/>
      <c r="HR44" s="898"/>
      <c r="HS44" s="898"/>
      <c r="HT44" s="898"/>
      <c r="HU44" s="898"/>
      <c r="HV44" s="898"/>
      <c r="HW44" s="898"/>
      <c r="HX44" s="898"/>
      <c r="HY44" s="898"/>
      <c r="HZ44" s="898"/>
      <c r="IA44" s="898"/>
      <c r="IB44" s="898"/>
      <c r="IC44" s="898"/>
      <c r="ID44" s="898"/>
      <c r="IE44" s="898"/>
      <c r="IF44" s="898"/>
      <c r="IG44" s="898"/>
      <c r="IH44" s="898"/>
      <c r="II44" s="898"/>
      <c r="IJ44" s="898"/>
      <c r="IK44" s="898"/>
      <c r="IL44" s="898"/>
      <c r="IM44" s="898"/>
      <c r="IN44" s="898"/>
      <c r="IO44" s="898"/>
      <c r="IP44" s="898"/>
      <c r="IQ44" s="898"/>
      <c r="IR44" s="898"/>
      <c r="IS44" s="898"/>
      <c r="IT44" s="898"/>
      <c r="IU44" s="898"/>
      <c r="IV44" s="898"/>
    </row>
    <row r="45" spans="1:14" ht="12.75">
      <c r="A45" s="900"/>
      <c r="B45" s="901" t="s">
        <v>1085</v>
      </c>
      <c r="C45" s="921" t="s">
        <v>1086</v>
      </c>
      <c r="D45" s="927">
        <v>9.08</v>
      </c>
      <c r="E45" s="930">
        <v>2200000</v>
      </c>
      <c r="F45" s="905">
        <f>E45*D45+1598080</f>
        <v>21574080</v>
      </c>
      <c r="G45" s="919"/>
      <c r="H45" s="906"/>
      <c r="I45" s="920"/>
      <c r="J45" s="904"/>
      <c r="K45" s="905"/>
      <c r="L45" s="928">
        <f>F45+K45</f>
        <v>21574080</v>
      </c>
      <c r="M45" s="908"/>
      <c r="N45" s="897"/>
    </row>
    <row r="46" spans="1:14" ht="12.75">
      <c r="A46" s="900"/>
      <c r="B46" s="901" t="s">
        <v>1087</v>
      </c>
      <c r="C46" s="921" t="s">
        <v>1088</v>
      </c>
      <c r="D46" s="927"/>
      <c r="E46" s="904"/>
      <c r="F46" s="929">
        <f>52368184-8204982</f>
        <v>44163202</v>
      </c>
      <c r="G46" s="903"/>
      <c r="H46" s="906"/>
      <c r="I46" s="906"/>
      <c r="J46" s="904"/>
      <c r="K46" s="905"/>
      <c r="L46" s="928">
        <f>F46+K46</f>
        <v>44163202</v>
      </c>
      <c r="M46" s="908"/>
      <c r="N46" s="908"/>
    </row>
    <row r="47" spans="1:256" ht="12.75">
      <c r="A47" s="899"/>
      <c r="B47" s="901" t="s">
        <v>1089</v>
      </c>
      <c r="C47" s="921" t="s">
        <v>1090</v>
      </c>
      <c r="D47" s="931">
        <f>3180+424</f>
        <v>3604</v>
      </c>
      <c r="E47" s="932">
        <v>542</v>
      </c>
      <c r="F47" s="933">
        <f>D47*E47</f>
        <v>1953368</v>
      </c>
      <c r="G47" s="912"/>
      <c r="H47" s="894"/>
      <c r="I47" s="913"/>
      <c r="J47" s="891"/>
      <c r="K47" s="892"/>
      <c r="L47" s="928">
        <f>F47+K47</f>
        <v>1953368</v>
      </c>
      <c r="M47" s="896"/>
      <c r="N47" s="897"/>
      <c r="O47" s="898"/>
      <c r="P47" s="898"/>
      <c r="Q47" s="898"/>
      <c r="R47" s="898"/>
      <c r="S47" s="898"/>
      <c r="T47" s="898"/>
      <c r="U47" s="898"/>
      <c r="V47" s="898"/>
      <c r="W47" s="898"/>
      <c r="X47" s="898"/>
      <c r="Y47" s="898"/>
      <c r="Z47" s="898"/>
      <c r="AA47" s="898"/>
      <c r="AB47" s="898"/>
      <c r="AC47" s="898"/>
      <c r="AD47" s="898"/>
      <c r="AE47" s="898"/>
      <c r="AF47" s="898"/>
      <c r="AG47" s="898"/>
      <c r="AH47" s="898"/>
      <c r="AI47" s="898"/>
      <c r="AJ47" s="898"/>
      <c r="AK47" s="898"/>
      <c r="AL47" s="898"/>
      <c r="AM47" s="898"/>
      <c r="AN47" s="898"/>
      <c r="AO47" s="898"/>
      <c r="AP47" s="898"/>
      <c r="AQ47" s="898"/>
      <c r="AR47" s="898"/>
      <c r="AS47" s="898"/>
      <c r="AT47" s="898"/>
      <c r="AU47" s="898"/>
      <c r="AV47" s="898"/>
      <c r="AW47" s="898"/>
      <c r="AX47" s="898"/>
      <c r="AY47" s="898"/>
      <c r="AZ47" s="898"/>
      <c r="BA47" s="898"/>
      <c r="BB47" s="898"/>
      <c r="BC47" s="898"/>
      <c r="BD47" s="898"/>
      <c r="BE47" s="898"/>
      <c r="BF47" s="898"/>
      <c r="BG47" s="898"/>
      <c r="BH47" s="898"/>
      <c r="BI47" s="898"/>
      <c r="BJ47" s="898"/>
      <c r="BK47" s="898"/>
      <c r="BL47" s="898"/>
      <c r="BM47" s="898"/>
      <c r="BN47" s="898"/>
      <c r="BO47" s="898"/>
      <c r="BP47" s="898"/>
      <c r="BQ47" s="898"/>
      <c r="BR47" s="898"/>
      <c r="BS47" s="898"/>
      <c r="BT47" s="898"/>
      <c r="BU47" s="898"/>
      <c r="BV47" s="898"/>
      <c r="BW47" s="898"/>
      <c r="BX47" s="898"/>
      <c r="BY47" s="898"/>
      <c r="BZ47" s="898"/>
      <c r="CA47" s="898"/>
      <c r="CB47" s="898"/>
      <c r="CC47" s="898"/>
      <c r="CD47" s="898"/>
      <c r="CE47" s="898"/>
      <c r="CF47" s="898"/>
      <c r="CG47" s="898"/>
      <c r="CH47" s="898"/>
      <c r="CI47" s="898"/>
      <c r="CJ47" s="898"/>
      <c r="CK47" s="898"/>
      <c r="CL47" s="898"/>
      <c r="CM47" s="898"/>
      <c r="CN47" s="898"/>
      <c r="CO47" s="898"/>
      <c r="CP47" s="898"/>
      <c r="CQ47" s="898"/>
      <c r="CR47" s="898"/>
      <c r="CS47" s="898"/>
      <c r="CT47" s="898"/>
      <c r="CU47" s="898"/>
      <c r="CV47" s="898"/>
      <c r="CW47" s="898"/>
      <c r="CX47" s="898"/>
      <c r="CY47" s="898"/>
      <c r="CZ47" s="898"/>
      <c r="DA47" s="898"/>
      <c r="DB47" s="898"/>
      <c r="DC47" s="898"/>
      <c r="DD47" s="898"/>
      <c r="DE47" s="898"/>
      <c r="DF47" s="898"/>
      <c r="DG47" s="898"/>
      <c r="DH47" s="898"/>
      <c r="DI47" s="898"/>
      <c r="DJ47" s="898"/>
      <c r="DK47" s="898"/>
      <c r="DL47" s="898"/>
      <c r="DM47" s="898"/>
      <c r="DN47" s="898"/>
      <c r="DO47" s="898"/>
      <c r="DP47" s="898"/>
      <c r="DQ47" s="898"/>
      <c r="DR47" s="898"/>
      <c r="DS47" s="898"/>
      <c r="DT47" s="898"/>
      <c r="DU47" s="898"/>
      <c r="DV47" s="898"/>
      <c r="DW47" s="898"/>
      <c r="DX47" s="898"/>
      <c r="DY47" s="898"/>
      <c r="DZ47" s="898"/>
      <c r="EA47" s="898"/>
      <c r="EB47" s="898"/>
      <c r="EC47" s="898"/>
      <c r="ED47" s="898"/>
      <c r="EE47" s="898"/>
      <c r="EF47" s="898"/>
      <c r="EG47" s="898"/>
      <c r="EH47" s="898"/>
      <c r="EI47" s="898"/>
      <c r="EJ47" s="898"/>
      <c r="EK47" s="898"/>
      <c r="EL47" s="898"/>
      <c r="EM47" s="898"/>
      <c r="EN47" s="898"/>
      <c r="EO47" s="898"/>
      <c r="EP47" s="898"/>
      <c r="EQ47" s="898"/>
      <c r="ER47" s="898"/>
      <c r="ES47" s="898"/>
      <c r="ET47" s="898"/>
      <c r="EU47" s="898"/>
      <c r="EV47" s="898"/>
      <c r="EW47" s="898"/>
      <c r="EX47" s="898"/>
      <c r="EY47" s="898"/>
      <c r="EZ47" s="898"/>
      <c r="FA47" s="898"/>
      <c r="FB47" s="898"/>
      <c r="FC47" s="898"/>
      <c r="FD47" s="898"/>
      <c r="FE47" s="898"/>
      <c r="FF47" s="898"/>
      <c r="FG47" s="898"/>
      <c r="FH47" s="898"/>
      <c r="FI47" s="898"/>
      <c r="FJ47" s="898"/>
      <c r="FK47" s="898"/>
      <c r="FL47" s="898"/>
      <c r="FM47" s="898"/>
      <c r="FN47" s="898"/>
      <c r="FO47" s="898"/>
      <c r="FP47" s="898"/>
      <c r="FQ47" s="898"/>
      <c r="FR47" s="898"/>
      <c r="FS47" s="898"/>
      <c r="FT47" s="898"/>
      <c r="FU47" s="898"/>
      <c r="FV47" s="898"/>
      <c r="FW47" s="898"/>
      <c r="FX47" s="898"/>
      <c r="FY47" s="898"/>
      <c r="FZ47" s="898"/>
      <c r="GA47" s="898"/>
      <c r="GB47" s="898"/>
      <c r="GC47" s="898"/>
      <c r="GD47" s="898"/>
      <c r="GE47" s="898"/>
      <c r="GF47" s="898"/>
      <c r="GG47" s="898"/>
      <c r="GH47" s="898"/>
      <c r="GI47" s="898"/>
      <c r="GJ47" s="898"/>
      <c r="GK47" s="898"/>
      <c r="GL47" s="898"/>
      <c r="GM47" s="898"/>
      <c r="GN47" s="898"/>
      <c r="GO47" s="898"/>
      <c r="GP47" s="898"/>
      <c r="GQ47" s="898"/>
      <c r="GR47" s="898"/>
      <c r="GS47" s="898"/>
      <c r="GT47" s="898"/>
      <c r="GU47" s="898"/>
      <c r="GV47" s="898"/>
      <c r="GW47" s="898"/>
      <c r="GX47" s="898"/>
      <c r="GY47" s="898"/>
      <c r="GZ47" s="898"/>
      <c r="HA47" s="898"/>
      <c r="HB47" s="898"/>
      <c r="HC47" s="898"/>
      <c r="HD47" s="898"/>
      <c r="HE47" s="898"/>
      <c r="HF47" s="898"/>
      <c r="HG47" s="898"/>
      <c r="HH47" s="898"/>
      <c r="HI47" s="898"/>
      <c r="HJ47" s="898"/>
      <c r="HK47" s="898"/>
      <c r="HL47" s="898"/>
      <c r="HM47" s="898"/>
      <c r="HN47" s="898"/>
      <c r="HO47" s="898"/>
      <c r="HP47" s="898"/>
      <c r="HQ47" s="898"/>
      <c r="HR47" s="898"/>
      <c r="HS47" s="898"/>
      <c r="HT47" s="898"/>
      <c r="HU47" s="898"/>
      <c r="HV47" s="898"/>
      <c r="HW47" s="898"/>
      <c r="HX47" s="898"/>
      <c r="HY47" s="898"/>
      <c r="HZ47" s="898"/>
      <c r="IA47" s="898"/>
      <c r="IB47" s="898"/>
      <c r="IC47" s="898"/>
      <c r="ID47" s="898"/>
      <c r="IE47" s="898"/>
      <c r="IF47" s="898"/>
      <c r="IG47" s="898"/>
      <c r="IH47" s="898"/>
      <c r="II47" s="898"/>
      <c r="IJ47" s="898"/>
      <c r="IK47" s="898"/>
      <c r="IL47" s="898"/>
      <c r="IM47" s="898"/>
      <c r="IN47" s="898"/>
      <c r="IO47" s="898"/>
      <c r="IP47" s="898"/>
      <c r="IQ47" s="898"/>
      <c r="IR47" s="898"/>
      <c r="IS47" s="898"/>
      <c r="IT47" s="898"/>
      <c r="IU47" s="898"/>
      <c r="IV47" s="898"/>
    </row>
    <row r="48" spans="2:256" ht="12.75">
      <c r="B48" s="922"/>
      <c r="C48" s="878" t="s">
        <v>593</v>
      </c>
      <c r="D48" s="879"/>
      <c r="E48" s="880"/>
      <c r="F48" s="881">
        <f>SUM(F49:F51)</f>
        <v>15534470</v>
      </c>
      <c r="G48" s="923"/>
      <c r="H48" s="882"/>
      <c r="I48" s="924"/>
      <c r="J48" s="880"/>
      <c r="K48" s="881">
        <f>SUM(K49:K51)</f>
        <v>0</v>
      </c>
      <c r="L48" s="883">
        <f>SUM(L49:L51)</f>
        <v>15534470</v>
      </c>
      <c r="M48" s="896"/>
      <c r="N48" s="918">
        <f>SUM(N49:N51)</f>
        <v>15534470</v>
      </c>
      <c r="O48" s="898"/>
      <c r="P48" s="898"/>
      <c r="Q48" s="898"/>
      <c r="R48" s="898"/>
      <c r="S48" s="898"/>
      <c r="T48" s="898"/>
      <c r="U48" s="898"/>
      <c r="V48" s="898"/>
      <c r="W48" s="898"/>
      <c r="X48" s="898"/>
      <c r="Y48" s="898"/>
      <c r="Z48" s="898"/>
      <c r="AA48" s="898"/>
      <c r="AB48" s="898"/>
      <c r="AC48" s="898"/>
      <c r="AD48" s="898"/>
      <c r="AE48" s="898"/>
      <c r="AF48" s="898"/>
      <c r="AG48" s="898"/>
      <c r="AH48" s="898"/>
      <c r="AI48" s="898"/>
      <c r="AJ48" s="898"/>
      <c r="AK48" s="898"/>
      <c r="AL48" s="898"/>
      <c r="AM48" s="898"/>
      <c r="AN48" s="898"/>
      <c r="AO48" s="898"/>
      <c r="AP48" s="898"/>
      <c r="AQ48" s="898"/>
      <c r="AR48" s="898"/>
      <c r="AS48" s="898"/>
      <c r="AT48" s="898"/>
      <c r="AU48" s="898"/>
      <c r="AV48" s="898"/>
      <c r="AW48" s="898"/>
      <c r="AX48" s="898"/>
      <c r="AY48" s="898"/>
      <c r="AZ48" s="898"/>
      <c r="BA48" s="898"/>
      <c r="BB48" s="898"/>
      <c r="BC48" s="898"/>
      <c r="BD48" s="898"/>
      <c r="BE48" s="898"/>
      <c r="BF48" s="898"/>
      <c r="BG48" s="898"/>
      <c r="BH48" s="898"/>
      <c r="BI48" s="898"/>
      <c r="BJ48" s="898"/>
      <c r="BK48" s="898"/>
      <c r="BL48" s="898"/>
      <c r="BM48" s="898"/>
      <c r="BN48" s="898"/>
      <c r="BO48" s="898"/>
      <c r="BP48" s="898"/>
      <c r="BQ48" s="898"/>
      <c r="BR48" s="898"/>
      <c r="BS48" s="898"/>
      <c r="BT48" s="898"/>
      <c r="BU48" s="898"/>
      <c r="BV48" s="898"/>
      <c r="BW48" s="898"/>
      <c r="BX48" s="898"/>
      <c r="BY48" s="898"/>
      <c r="BZ48" s="898"/>
      <c r="CA48" s="898"/>
      <c r="CB48" s="898"/>
      <c r="CC48" s="898"/>
      <c r="CD48" s="898"/>
      <c r="CE48" s="898"/>
      <c r="CF48" s="898"/>
      <c r="CG48" s="898"/>
      <c r="CH48" s="898"/>
      <c r="CI48" s="898"/>
      <c r="CJ48" s="898"/>
      <c r="CK48" s="898"/>
      <c r="CL48" s="898"/>
      <c r="CM48" s="898"/>
      <c r="CN48" s="898"/>
      <c r="CO48" s="898"/>
      <c r="CP48" s="898"/>
      <c r="CQ48" s="898"/>
      <c r="CR48" s="898"/>
      <c r="CS48" s="898"/>
      <c r="CT48" s="898"/>
      <c r="CU48" s="898"/>
      <c r="CV48" s="898"/>
      <c r="CW48" s="898"/>
      <c r="CX48" s="898"/>
      <c r="CY48" s="898"/>
      <c r="CZ48" s="898"/>
      <c r="DA48" s="898"/>
      <c r="DB48" s="898"/>
      <c r="DC48" s="898"/>
      <c r="DD48" s="898"/>
      <c r="DE48" s="898"/>
      <c r="DF48" s="898"/>
      <c r="DG48" s="898"/>
      <c r="DH48" s="898"/>
      <c r="DI48" s="898"/>
      <c r="DJ48" s="898"/>
      <c r="DK48" s="898"/>
      <c r="DL48" s="898"/>
      <c r="DM48" s="898"/>
      <c r="DN48" s="898"/>
      <c r="DO48" s="898"/>
      <c r="DP48" s="898"/>
      <c r="DQ48" s="898"/>
      <c r="DR48" s="898"/>
      <c r="DS48" s="898"/>
      <c r="DT48" s="898"/>
      <c r="DU48" s="898"/>
      <c r="DV48" s="898"/>
      <c r="DW48" s="898"/>
      <c r="DX48" s="898"/>
      <c r="DY48" s="898"/>
      <c r="DZ48" s="898"/>
      <c r="EA48" s="898"/>
      <c r="EB48" s="898"/>
      <c r="EC48" s="898"/>
      <c r="ED48" s="898"/>
      <c r="EE48" s="898"/>
      <c r="EF48" s="898"/>
      <c r="EG48" s="898"/>
      <c r="EH48" s="898"/>
      <c r="EI48" s="898"/>
      <c r="EJ48" s="898"/>
      <c r="EK48" s="898"/>
      <c r="EL48" s="898"/>
      <c r="EM48" s="898"/>
      <c r="EN48" s="898"/>
      <c r="EO48" s="898"/>
      <c r="EP48" s="898"/>
      <c r="EQ48" s="898"/>
      <c r="ER48" s="898"/>
      <c r="ES48" s="898"/>
      <c r="ET48" s="898"/>
      <c r="EU48" s="898"/>
      <c r="EV48" s="898"/>
      <c r="EW48" s="898"/>
      <c r="EX48" s="898"/>
      <c r="EY48" s="898"/>
      <c r="EZ48" s="898"/>
      <c r="FA48" s="898"/>
      <c r="FB48" s="898"/>
      <c r="FC48" s="898"/>
      <c r="FD48" s="898"/>
      <c r="FE48" s="898"/>
      <c r="FF48" s="898"/>
      <c r="FG48" s="898"/>
      <c r="FH48" s="898"/>
      <c r="FI48" s="898"/>
      <c r="FJ48" s="898"/>
      <c r="FK48" s="898"/>
      <c r="FL48" s="898"/>
      <c r="FM48" s="898"/>
      <c r="FN48" s="898"/>
      <c r="FO48" s="898"/>
      <c r="FP48" s="898"/>
      <c r="FQ48" s="898"/>
      <c r="FR48" s="898"/>
      <c r="FS48" s="898"/>
      <c r="FT48" s="898"/>
      <c r="FU48" s="898"/>
      <c r="FV48" s="898"/>
      <c r="FW48" s="898"/>
      <c r="FX48" s="898"/>
      <c r="FY48" s="898"/>
      <c r="FZ48" s="898"/>
      <c r="GA48" s="898"/>
      <c r="GB48" s="898"/>
      <c r="GC48" s="898"/>
      <c r="GD48" s="898"/>
      <c r="GE48" s="898"/>
      <c r="GF48" s="898"/>
      <c r="GG48" s="898"/>
      <c r="GH48" s="898"/>
      <c r="GI48" s="898"/>
      <c r="GJ48" s="898"/>
      <c r="GK48" s="898"/>
      <c r="GL48" s="898"/>
      <c r="GM48" s="898"/>
      <c r="GN48" s="898"/>
      <c r="GO48" s="898"/>
      <c r="GP48" s="898"/>
      <c r="GQ48" s="898"/>
      <c r="GR48" s="898"/>
      <c r="GS48" s="898"/>
      <c r="GT48" s="898"/>
      <c r="GU48" s="898"/>
      <c r="GV48" s="898"/>
      <c r="GW48" s="898"/>
      <c r="GX48" s="898"/>
      <c r="GY48" s="898"/>
      <c r="GZ48" s="898"/>
      <c r="HA48" s="898"/>
      <c r="HB48" s="898"/>
      <c r="HC48" s="898"/>
      <c r="HD48" s="898"/>
      <c r="HE48" s="898"/>
      <c r="HF48" s="898"/>
      <c r="HG48" s="898"/>
      <c r="HH48" s="898"/>
      <c r="HI48" s="898"/>
      <c r="HJ48" s="898"/>
      <c r="HK48" s="898"/>
      <c r="HL48" s="898"/>
      <c r="HM48" s="898"/>
      <c r="HN48" s="898"/>
      <c r="HO48" s="898"/>
      <c r="HP48" s="898"/>
      <c r="HQ48" s="898"/>
      <c r="HR48" s="898"/>
      <c r="HS48" s="898"/>
      <c r="HT48" s="898"/>
      <c r="HU48" s="898"/>
      <c r="HV48" s="898"/>
      <c r="HW48" s="898"/>
      <c r="HX48" s="898"/>
      <c r="HY48" s="898"/>
      <c r="HZ48" s="898"/>
      <c r="IA48" s="898"/>
      <c r="IB48" s="898"/>
      <c r="IC48" s="898"/>
      <c r="ID48" s="898"/>
      <c r="IE48" s="898"/>
      <c r="IF48" s="898"/>
      <c r="IG48" s="898"/>
      <c r="IH48" s="898"/>
      <c r="II48" s="898"/>
      <c r="IJ48" s="898"/>
      <c r="IK48" s="898"/>
      <c r="IL48" s="898"/>
      <c r="IM48" s="898"/>
      <c r="IN48" s="898"/>
      <c r="IO48" s="898"/>
      <c r="IP48" s="898"/>
      <c r="IQ48" s="898"/>
      <c r="IR48" s="898"/>
      <c r="IS48" s="898"/>
      <c r="IT48" s="898"/>
      <c r="IU48" s="898"/>
      <c r="IV48" s="898"/>
    </row>
    <row r="49" spans="1:14" ht="25.5">
      <c r="A49" s="887" t="s">
        <v>1091</v>
      </c>
      <c r="B49" s="901" t="s">
        <v>1092</v>
      </c>
      <c r="C49" s="921" t="s">
        <v>1093</v>
      </c>
      <c r="D49" s="903">
        <v>8650</v>
      </c>
      <c r="E49" s="904">
        <v>1251</v>
      </c>
      <c r="F49" s="905">
        <f>D49*E49+3719500</f>
        <v>14540650</v>
      </c>
      <c r="G49" s="934"/>
      <c r="H49" s="935"/>
      <c r="I49" s="926"/>
      <c r="J49" s="930"/>
      <c r="K49" s="905"/>
      <c r="L49" s="907">
        <f>F49+K49</f>
        <v>14540650</v>
      </c>
      <c r="M49" s="908"/>
      <c r="N49" s="897">
        <f>SUM(L49)</f>
        <v>14540650</v>
      </c>
    </row>
    <row r="50" spans="1:256" ht="15.75" customHeight="1">
      <c r="A50" s="944" t="s">
        <v>1039</v>
      </c>
      <c r="B50" s="945" t="s">
        <v>1109</v>
      </c>
      <c r="C50" s="946" t="s">
        <v>1110</v>
      </c>
      <c r="D50" s="910"/>
      <c r="E50" s="911"/>
      <c r="F50" s="892">
        <v>145000</v>
      </c>
      <c r="G50" s="912"/>
      <c r="H50" s="894"/>
      <c r="I50" s="913"/>
      <c r="J50" s="891"/>
      <c r="K50" s="892"/>
      <c r="L50" s="895">
        <f>F50+K50</f>
        <v>145000</v>
      </c>
      <c r="M50" s="896"/>
      <c r="N50" s="897">
        <v>145000</v>
      </c>
      <c r="O50" s="898"/>
      <c r="P50" s="898"/>
      <c r="Q50" s="898"/>
      <c r="R50" s="898"/>
      <c r="S50" s="898"/>
      <c r="T50" s="898"/>
      <c r="U50" s="898"/>
      <c r="V50" s="898"/>
      <c r="W50" s="898"/>
      <c r="X50" s="898"/>
      <c r="Y50" s="898"/>
      <c r="Z50" s="898"/>
      <c r="AA50" s="898"/>
      <c r="AB50" s="898"/>
      <c r="AC50" s="898"/>
      <c r="AD50" s="898"/>
      <c r="AE50" s="898"/>
      <c r="AF50" s="898"/>
      <c r="AG50" s="898"/>
      <c r="AH50" s="898"/>
      <c r="AI50" s="898"/>
      <c r="AJ50" s="898"/>
      <c r="AK50" s="898"/>
      <c r="AL50" s="898"/>
      <c r="AM50" s="898"/>
      <c r="AN50" s="898"/>
      <c r="AO50" s="898"/>
      <c r="AP50" s="898"/>
      <c r="AQ50" s="898"/>
      <c r="AR50" s="898"/>
      <c r="AS50" s="898"/>
      <c r="AT50" s="898"/>
      <c r="AU50" s="898"/>
      <c r="AV50" s="898"/>
      <c r="AW50" s="898"/>
      <c r="AX50" s="898"/>
      <c r="AY50" s="898"/>
      <c r="AZ50" s="898"/>
      <c r="BA50" s="898"/>
      <c r="BB50" s="898"/>
      <c r="BC50" s="898"/>
      <c r="BD50" s="898"/>
      <c r="BE50" s="898"/>
      <c r="BF50" s="898"/>
      <c r="BG50" s="898"/>
      <c r="BH50" s="898"/>
      <c r="BI50" s="898"/>
      <c r="BJ50" s="898"/>
      <c r="BK50" s="898"/>
      <c r="BL50" s="898"/>
      <c r="BM50" s="898"/>
      <c r="BN50" s="898"/>
      <c r="BO50" s="898"/>
      <c r="BP50" s="898"/>
      <c r="BQ50" s="898"/>
      <c r="BR50" s="898"/>
      <c r="BS50" s="898"/>
      <c r="BT50" s="898"/>
      <c r="BU50" s="898"/>
      <c r="BV50" s="898"/>
      <c r="BW50" s="898"/>
      <c r="BX50" s="898"/>
      <c r="BY50" s="898"/>
      <c r="BZ50" s="898"/>
      <c r="CA50" s="898"/>
      <c r="CB50" s="898"/>
      <c r="CC50" s="898"/>
      <c r="CD50" s="898"/>
      <c r="CE50" s="898"/>
      <c r="CF50" s="898"/>
      <c r="CG50" s="898"/>
      <c r="CH50" s="898"/>
      <c r="CI50" s="898"/>
      <c r="CJ50" s="898"/>
      <c r="CK50" s="898"/>
      <c r="CL50" s="898"/>
      <c r="CM50" s="898"/>
      <c r="CN50" s="898"/>
      <c r="CO50" s="898"/>
      <c r="CP50" s="898"/>
      <c r="CQ50" s="898"/>
      <c r="CR50" s="898"/>
      <c r="CS50" s="898"/>
      <c r="CT50" s="898"/>
      <c r="CU50" s="898"/>
      <c r="CV50" s="898"/>
      <c r="CW50" s="898"/>
      <c r="CX50" s="898"/>
      <c r="CY50" s="898"/>
      <c r="CZ50" s="898"/>
      <c r="DA50" s="898"/>
      <c r="DB50" s="898"/>
      <c r="DC50" s="898"/>
      <c r="DD50" s="898"/>
      <c r="DE50" s="898"/>
      <c r="DF50" s="898"/>
      <c r="DG50" s="898"/>
      <c r="DH50" s="898"/>
      <c r="DI50" s="898"/>
      <c r="DJ50" s="898"/>
      <c r="DK50" s="898"/>
      <c r="DL50" s="898"/>
      <c r="DM50" s="898"/>
      <c r="DN50" s="898"/>
      <c r="DO50" s="898"/>
      <c r="DP50" s="898"/>
      <c r="DQ50" s="898"/>
      <c r="DR50" s="898"/>
      <c r="DS50" s="898"/>
      <c r="DT50" s="898"/>
      <c r="DU50" s="898"/>
      <c r="DV50" s="898"/>
      <c r="DW50" s="898"/>
      <c r="DX50" s="898"/>
      <c r="DY50" s="898"/>
      <c r="DZ50" s="898"/>
      <c r="EA50" s="898"/>
      <c r="EB50" s="898"/>
      <c r="EC50" s="898"/>
      <c r="ED50" s="898"/>
      <c r="EE50" s="898"/>
      <c r="EF50" s="898"/>
      <c r="EG50" s="898"/>
      <c r="EH50" s="898"/>
      <c r="EI50" s="898"/>
      <c r="EJ50" s="898"/>
      <c r="EK50" s="898"/>
      <c r="EL50" s="898"/>
      <c r="EM50" s="898"/>
      <c r="EN50" s="898"/>
      <c r="EO50" s="898"/>
      <c r="EP50" s="898"/>
      <c r="EQ50" s="898"/>
      <c r="ER50" s="898"/>
      <c r="ES50" s="898"/>
      <c r="ET50" s="898"/>
      <c r="EU50" s="898"/>
      <c r="EV50" s="898"/>
      <c r="EW50" s="898"/>
      <c r="EX50" s="898"/>
      <c r="EY50" s="898"/>
      <c r="EZ50" s="898"/>
      <c r="FA50" s="898"/>
      <c r="FB50" s="898"/>
      <c r="FC50" s="898"/>
      <c r="FD50" s="898"/>
      <c r="FE50" s="898"/>
      <c r="FF50" s="898"/>
      <c r="FG50" s="898"/>
      <c r="FH50" s="898"/>
      <c r="FI50" s="898"/>
      <c r="FJ50" s="898"/>
      <c r="FK50" s="898"/>
      <c r="FL50" s="898"/>
      <c r="FM50" s="898"/>
      <c r="FN50" s="898"/>
      <c r="FO50" s="898"/>
      <c r="FP50" s="898"/>
      <c r="FQ50" s="898"/>
      <c r="FR50" s="898"/>
      <c r="FS50" s="898"/>
      <c r="FT50" s="898"/>
      <c r="FU50" s="898"/>
      <c r="FV50" s="898"/>
      <c r="FW50" s="898"/>
      <c r="FX50" s="898"/>
      <c r="FY50" s="898"/>
      <c r="FZ50" s="898"/>
      <c r="GA50" s="898"/>
      <c r="GB50" s="898"/>
      <c r="GC50" s="898"/>
      <c r="GD50" s="898"/>
      <c r="GE50" s="898"/>
      <c r="GF50" s="898"/>
      <c r="GG50" s="898"/>
      <c r="GH50" s="898"/>
      <c r="GI50" s="898"/>
      <c r="GJ50" s="898"/>
      <c r="GK50" s="898"/>
      <c r="GL50" s="898"/>
      <c r="GM50" s="898"/>
      <c r="GN50" s="898"/>
      <c r="GO50" s="898"/>
      <c r="GP50" s="898"/>
      <c r="GQ50" s="898"/>
      <c r="GR50" s="898"/>
      <c r="GS50" s="898"/>
      <c r="GT50" s="898"/>
      <c r="GU50" s="898"/>
      <c r="GV50" s="898"/>
      <c r="GW50" s="898"/>
      <c r="GX50" s="898"/>
      <c r="GY50" s="898"/>
      <c r="GZ50" s="898"/>
      <c r="HA50" s="898"/>
      <c r="HB50" s="898"/>
      <c r="HC50" s="898"/>
      <c r="HD50" s="898"/>
      <c r="HE50" s="898"/>
      <c r="HF50" s="898"/>
      <c r="HG50" s="898"/>
      <c r="HH50" s="898"/>
      <c r="HI50" s="898"/>
      <c r="HJ50" s="898"/>
      <c r="HK50" s="898"/>
      <c r="HL50" s="898"/>
      <c r="HM50" s="898"/>
      <c r="HN50" s="898"/>
      <c r="HO50" s="898"/>
      <c r="HP50" s="898"/>
      <c r="HQ50" s="898"/>
      <c r="HR50" s="898"/>
      <c r="HS50" s="898"/>
      <c r="HT50" s="898"/>
      <c r="HU50" s="898"/>
      <c r="HV50" s="898"/>
      <c r="HW50" s="898"/>
      <c r="HX50" s="898"/>
      <c r="HY50" s="898"/>
      <c r="HZ50" s="898"/>
      <c r="IA50" s="898"/>
      <c r="IB50" s="898"/>
      <c r="IC50" s="898"/>
      <c r="ID50" s="898"/>
      <c r="IE50" s="898"/>
      <c r="IF50" s="898"/>
      <c r="IG50" s="898"/>
      <c r="IH50" s="898"/>
      <c r="II50" s="898"/>
      <c r="IJ50" s="898"/>
      <c r="IK50" s="898"/>
      <c r="IL50" s="898"/>
      <c r="IM50" s="898"/>
      <c r="IN50" s="898"/>
      <c r="IO50" s="898"/>
      <c r="IP50" s="898"/>
      <c r="IQ50" s="898"/>
      <c r="IR50" s="898"/>
      <c r="IS50" s="898"/>
      <c r="IT50" s="898"/>
      <c r="IU50" s="898"/>
      <c r="IV50" s="898"/>
    </row>
    <row r="51" spans="1:256" ht="12.75">
      <c r="A51" s="887" t="s">
        <v>1039</v>
      </c>
      <c r="B51" s="888" t="s">
        <v>1094</v>
      </c>
      <c r="C51" s="889" t="s">
        <v>1095</v>
      </c>
      <c r="D51" s="910"/>
      <c r="E51" s="911"/>
      <c r="F51" s="892">
        <v>848820</v>
      </c>
      <c r="G51" s="912"/>
      <c r="H51" s="894"/>
      <c r="I51" s="913"/>
      <c r="J51" s="891"/>
      <c r="K51" s="892"/>
      <c r="L51" s="895">
        <f>F51+K51</f>
        <v>848820</v>
      </c>
      <c r="M51" s="896"/>
      <c r="N51" s="897">
        <f>SUM(L51)</f>
        <v>848820</v>
      </c>
      <c r="O51" s="898"/>
      <c r="P51" s="898"/>
      <c r="Q51" s="898"/>
      <c r="R51" s="898"/>
      <c r="S51" s="898"/>
      <c r="T51" s="898"/>
      <c r="U51" s="898"/>
      <c r="V51" s="898"/>
      <c r="W51" s="898"/>
      <c r="X51" s="898"/>
      <c r="Y51" s="898"/>
      <c r="Z51" s="898"/>
      <c r="AA51" s="898"/>
      <c r="AB51" s="898"/>
      <c r="AC51" s="898"/>
      <c r="AD51" s="898"/>
      <c r="AE51" s="898"/>
      <c r="AF51" s="898"/>
      <c r="AG51" s="898"/>
      <c r="AH51" s="898"/>
      <c r="AI51" s="898"/>
      <c r="AJ51" s="898"/>
      <c r="AK51" s="898"/>
      <c r="AL51" s="898"/>
      <c r="AM51" s="898"/>
      <c r="AN51" s="898"/>
      <c r="AO51" s="898"/>
      <c r="AP51" s="898"/>
      <c r="AQ51" s="898"/>
      <c r="AR51" s="898"/>
      <c r="AS51" s="898"/>
      <c r="AT51" s="898"/>
      <c r="AU51" s="898"/>
      <c r="AV51" s="898"/>
      <c r="AW51" s="898"/>
      <c r="AX51" s="898"/>
      <c r="AY51" s="898"/>
      <c r="AZ51" s="898"/>
      <c r="BA51" s="898"/>
      <c r="BB51" s="898"/>
      <c r="BC51" s="898"/>
      <c r="BD51" s="898"/>
      <c r="BE51" s="898"/>
      <c r="BF51" s="898"/>
      <c r="BG51" s="898"/>
      <c r="BH51" s="898"/>
      <c r="BI51" s="898"/>
      <c r="BJ51" s="898"/>
      <c r="BK51" s="898"/>
      <c r="BL51" s="898"/>
      <c r="BM51" s="898"/>
      <c r="BN51" s="898"/>
      <c r="BO51" s="898"/>
      <c r="BP51" s="898"/>
      <c r="BQ51" s="898"/>
      <c r="BR51" s="898"/>
      <c r="BS51" s="898"/>
      <c r="BT51" s="898"/>
      <c r="BU51" s="898"/>
      <c r="BV51" s="898"/>
      <c r="BW51" s="898"/>
      <c r="BX51" s="898"/>
      <c r="BY51" s="898"/>
      <c r="BZ51" s="898"/>
      <c r="CA51" s="898"/>
      <c r="CB51" s="898"/>
      <c r="CC51" s="898"/>
      <c r="CD51" s="898"/>
      <c r="CE51" s="898"/>
      <c r="CF51" s="898"/>
      <c r="CG51" s="898"/>
      <c r="CH51" s="898"/>
      <c r="CI51" s="898"/>
      <c r="CJ51" s="898"/>
      <c r="CK51" s="898"/>
      <c r="CL51" s="898"/>
      <c r="CM51" s="898"/>
      <c r="CN51" s="898"/>
      <c r="CO51" s="898"/>
      <c r="CP51" s="898"/>
      <c r="CQ51" s="898"/>
      <c r="CR51" s="898"/>
      <c r="CS51" s="898"/>
      <c r="CT51" s="898"/>
      <c r="CU51" s="898"/>
      <c r="CV51" s="898"/>
      <c r="CW51" s="898"/>
      <c r="CX51" s="898"/>
      <c r="CY51" s="898"/>
      <c r="CZ51" s="898"/>
      <c r="DA51" s="898"/>
      <c r="DB51" s="898"/>
      <c r="DC51" s="898"/>
      <c r="DD51" s="898"/>
      <c r="DE51" s="898"/>
      <c r="DF51" s="898"/>
      <c r="DG51" s="898"/>
      <c r="DH51" s="898"/>
      <c r="DI51" s="898"/>
      <c r="DJ51" s="898"/>
      <c r="DK51" s="898"/>
      <c r="DL51" s="898"/>
      <c r="DM51" s="898"/>
      <c r="DN51" s="898"/>
      <c r="DO51" s="898"/>
      <c r="DP51" s="898"/>
      <c r="DQ51" s="898"/>
      <c r="DR51" s="898"/>
      <c r="DS51" s="898"/>
      <c r="DT51" s="898"/>
      <c r="DU51" s="898"/>
      <c r="DV51" s="898"/>
      <c r="DW51" s="898"/>
      <c r="DX51" s="898"/>
      <c r="DY51" s="898"/>
      <c r="DZ51" s="898"/>
      <c r="EA51" s="898"/>
      <c r="EB51" s="898"/>
      <c r="EC51" s="898"/>
      <c r="ED51" s="898"/>
      <c r="EE51" s="898"/>
      <c r="EF51" s="898"/>
      <c r="EG51" s="898"/>
      <c r="EH51" s="898"/>
      <c r="EI51" s="898"/>
      <c r="EJ51" s="898"/>
      <c r="EK51" s="898"/>
      <c r="EL51" s="898"/>
      <c r="EM51" s="898"/>
      <c r="EN51" s="898"/>
      <c r="EO51" s="898"/>
      <c r="EP51" s="898"/>
      <c r="EQ51" s="898"/>
      <c r="ER51" s="898"/>
      <c r="ES51" s="898"/>
      <c r="ET51" s="898"/>
      <c r="EU51" s="898"/>
      <c r="EV51" s="898"/>
      <c r="EW51" s="898"/>
      <c r="EX51" s="898"/>
      <c r="EY51" s="898"/>
      <c r="EZ51" s="898"/>
      <c r="FA51" s="898"/>
      <c r="FB51" s="898"/>
      <c r="FC51" s="898"/>
      <c r="FD51" s="898"/>
      <c r="FE51" s="898"/>
      <c r="FF51" s="898"/>
      <c r="FG51" s="898"/>
      <c r="FH51" s="898"/>
      <c r="FI51" s="898"/>
      <c r="FJ51" s="898"/>
      <c r="FK51" s="898"/>
      <c r="FL51" s="898"/>
      <c r="FM51" s="898"/>
      <c r="FN51" s="898"/>
      <c r="FO51" s="898"/>
      <c r="FP51" s="898"/>
      <c r="FQ51" s="898"/>
      <c r="FR51" s="898"/>
      <c r="FS51" s="898"/>
      <c r="FT51" s="898"/>
      <c r="FU51" s="898"/>
      <c r="FV51" s="898"/>
      <c r="FW51" s="898"/>
      <c r="FX51" s="898"/>
      <c r="FY51" s="898"/>
      <c r="FZ51" s="898"/>
      <c r="GA51" s="898"/>
      <c r="GB51" s="898"/>
      <c r="GC51" s="898"/>
      <c r="GD51" s="898"/>
      <c r="GE51" s="898"/>
      <c r="GF51" s="898"/>
      <c r="GG51" s="898"/>
      <c r="GH51" s="898"/>
      <c r="GI51" s="898"/>
      <c r="GJ51" s="898"/>
      <c r="GK51" s="898"/>
      <c r="GL51" s="898"/>
      <c r="GM51" s="898"/>
      <c r="GN51" s="898"/>
      <c r="GO51" s="898"/>
      <c r="GP51" s="898"/>
      <c r="GQ51" s="898"/>
      <c r="GR51" s="898"/>
      <c r="GS51" s="898"/>
      <c r="GT51" s="898"/>
      <c r="GU51" s="898"/>
      <c r="GV51" s="898"/>
      <c r="GW51" s="898"/>
      <c r="GX51" s="898"/>
      <c r="GY51" s="898"/>
      <c r="GZ51" s="898"/>
      <c r="HA51" s="898"/>
      <c r="HB51" s="898"/>
      <c r="HC51" s="898"/>
      <c r="HD51" s="898"/>
      <c r="HE51" s="898"/>
      <c r="HF51" s="898"/>
      <c r="HG51" s="898"/>
      <c r="HH51" s="898"/>
      <c r="HI51" s="898"/>
      <c r="HJ51" s="898"/>
      <c r="HK51" s="898"/>
      <c r="HL51" s="898"/>
      <c r="HM51" s="898"/>
      <c r="HN51" s="898"/>
      <c r="HO51" s="898"/>
      <c r="HP51" s="898"/>
      <c r="HQ51" s="898"/>
      <c r="HR51" s="898"/>
      <c r="HS51" s="898"/>
      <c r="HT51" s="898"/>
      <c r="HU51" s="898"/>
      <c r="HV51" s="898"/>
      <c r="HW51" s="898"/>
      <c r="HX51" s="898"/>
      <c r="HY51" s="898"/>
      <c r="HZ51" s="898"/>
      <c r="IA51" s="898"/>
      <c r="IB51" s="898"/>
      <c r="IC51" s="898"/>
      <c r="ID51" s="898"/>
      <c r="IE51" s="898"/>
      <c r="IF51" s="898"/>
      <c r="IG51" s="898"/>
      <c r="IH51" s="898"/>
      <c r="II51" s="898"/>
      <c r="IJ51" s="898"/>
      <c r="IK51" s="898"/>
      <c r="IL51" s="898"/>
      <c r="IM51" s="898"/>
      <c r="IN51" s="898"/>
      <c r="IO51" s="898"/>
      <c r="IP51" s="898"/>
      <c r="IQ51" s="898"/>
      <c r="IR51" s="898"/>
      <c r="IS51" s="898"/>
      <c r="IT51" s="898"/>
      <c r="IU51" s="898"/>
      <c r="IV51" s="898"/>
    </row>
    <row r="52" spans="1:256" ht="12.75">
      <c r="A52" s="887" t="s">
        <v>1121</v>
      </c>
      <c r="B52" s="922" t="s">
        <v>1122</v>
      </c>
      <c r="C52" s="878" t="s">
        <v>1123</v>
      </c>
      <c r="D52" s="879"/>
      <c r="E52" s="880"/>
      <c r="F52" s="881">
        <v>19846252</v>
      </c>
      <c r="G52" s="923"/>
      <c r="H52" s="882"/>
      <c r="I52" s="924"/>
      <c r="J52" s="880"/>
      <c r="K52" s="881"/>
      <c r="L52" s="883">
        <f>F52+K52</f>
        <v>19846252</v>
      </c>
      <c r="M52" s="896"/>
      <c r="N52" s="918">
        <f>SUM(L52)</f>
        <v>19846252</v>
      </c>
      <c r="O52" s="898"/>
      <c r="P52" s="898"/>
      <c r="Q52" s="898"/>
      <c r="R52" s="898"/>
      <c r="S52" s="898"/>
      <c r="T52" s="898"/>
      <c r="U52" s="898"/>
      <c r="V52" s="898"/>
      <c r="W52" s="898"/>
      <c r="X52" s="898"/>
      <c r="Y52" s="898"/>
      <c r="Z52" s="898"/>
      <c r="AA52" s="898"/>
      <c r="AB52" s="898"/>
      <c r="AC52" s="898"/>
      <c r="AD52" s="898"/>
      <c r="AE52" s="898"/>
      <c r="AF52" s="898"/>
      <c r="AG52" s="898"/>
      <c r="AH52" s="898"/>
      <c r="AI52" s="898"/>
      <c r="AJ52" s="898"/>
      <c r="AK52" s="898"/>
      <c r="AL52" s="898"/>
      <c r="AM52" s="898"/>
      <c r="AN52" s="898"/>
      <c r="AO52" s="898"/>
      <c r="AP52" s="898"/>
      <c r="AQ52" s="898"/>
      <c r="AR52" s="898"/>
      <c r="AS52" s="898"/>
      <c r="AT52" s="898"/>
      <c r="AU52" s="898"/>
      <c r="AV52" s="898"/>
      <c r="AW52" s="898"/>
      <c r="AX52" s="898"/>
      <c r="AY52" s="898"/>
      <c r="AZ52" s="898"/>
      <c r="BA52" s="898"/>
      <c r="BB52" s="898"/>
      <c r="BC52" s="898"/>
      <c r="BD52" s="898"/>
      <c r="BE52" s="898"/>
      <c r="BF52" s="898"/>
      <c r="BG52" s="898"/>
      <c r="BH52" s="898"/>
      <c r="BI52" s="898"/>
      <c r="BJ52" s="898"/>
      <c r="BK52" s="898"/>
      <c r="BL52" s="898"/>
      <c r="BM52" s="898"/>
      <c r="BN52" s="898"/>
      <c r="BO52" s="898"/>
      <c r="BP52" s="898"/>
      <c r="BQ52" s="898"/>
      <c r="BR52" s="898"/>
      <c r="BS52" s="898"/>
      <c r="BT52" s="898"/>
      <c r="BU52" s="898"/>
      <c r="BV52" s="898"/>
      <c r="BW52" s="898"/>
      <c r="BX52" s="898"/>
      <c r="BY52" s="898"/>
      <c r="BZ52" s="898"/>
      <c r="CA52" s="898"/>
      <c r="CB52" s="898"/>
      <c r="CC52" s="898"/>
      <c r="CD52" s="898"/>
      <c r="CE52" s="898"/>
      <c r="CF52" s="898"/>
      <c r="CG52" s="898"/>
      <c r="CH52" s="898"/>
      <c r="CI52" s="898"/>
      <c r="CJ52" s="898"/>
      <c r="CK52" s="898"/>
      <c r="CL52" s="898"/>
      <c r="CM52" s="898"/>
      <c r="CN52" s="898"/>
      <c r="CO52" s="898"/>
      <c r="CP52" s="898"/>
      <c r="CQ52" s="898"/>
      <c r="CR52" s="898"/>
      <c r="CS52" s="898"/>
      <c r="CT52" s="898"/>
      <c r="CU52" s="898"/>
      <c r="CV52" s="898"/>
      <c r="CW52" s="898"/>
      <c r="CX52" s="898"/>
      <c r="CY52" s="898"/>
      <c r="CZ52" s="898"/>
      <c r="DA52" s="898"/>
      <c r="DB52" s="898"/>
      <c r="DC52" s="898"/>
      <c r="DD52" s="898"/>
      <c r="DE52" s="898"/>
      <c r="DF52" s="898"/>
      <c r="DG52" s="898"/>
      <c r="DH52" s="898"/>
      <c r="DI52" s="898"/>
      <c r="DJ52" s="898"/>
      <c r="DK52" s="898"/>
      <c r="DL52" s="898"/>
      <c r="DM52" s="898"/>
      <c r="DN52" s="898"/>
      <c r="DO52" s="898"/>
      <c r="DP52" s="898"/>
      <c r="DQ52" s="898"/>
      <c r="DR52" s="898"/>
      <c r="DS52" s="898"/>
      <c r="DT52" s="898"/>
      <c r="DU52" s="898"/>
      <c r="DV52" s="898"/>
      <c r="DW52" s="898"/>
      <c r="DX52" s="898"/>
      <c r="DY52" s="898"/>
      <c r="DZ52" s="898"/>
      <c r="EA52" s="898"/>
      <c r="EB52" s="898"/>
      <c r="EC52" s="898"/>
      <c r="ED52" s="898"/>
      <c r="EE52" s="898"/>
      <c r="EF52" s="898"/>
      <c r="EG52" s="898"/>
      <c r="EH52" s="898"/>
      <c r="EI52" s="898"/>
      <c r="EJ52" s="898"/>
      <c r="EK52" s="898"/>
      <c r="EL52" s="898"/>
      <c r="EM52" s="898"/>
      <c r="EN52" s="898"/>
      <c r="EO52" s="898"/>
      <c r="EP52" s="898"/>
      <c r="EQ52" s="898"/>
      <c r="ER52" s="898"/>
      <c r="ES52" s="898"/>
      <c r="ET52" s="898"/>
      <c r="EU52" s="898"/>
      <c r="EV52" s="898"/>
      <c r="EW52" s="898"/>
      <c r="EX52" s="898"/>
      <c r="EY52" s="898"/>
      <c r="EZ52" s="898"/>
      <c r="FA52" s="898"/>
      <c r="FB52" s="898"/>
      <c r="FC52" s="898"/>
      <c r="FD52" s="898"/>
      <c r="FE52" s="898"/>
      <c r="FF52" s="898"/>
      <c r="FG52" s="898"/>
      <c r="FH52" s="898"/>
      <c r="FI52" s="898"/>
      <c r="FJ52" s="898"/>
      <c r="FK52" s="898"/>
      <c r="FL52" s="898"/>
      <c r="FM52" s="898"/>
      <c r="FN52" s="898"/>
      <c r="FO52" s="898"/>
      <c r="FP52" s="898"/>
      <c r="FQ52" s="898"/>
      <c r="FR52" s="898"/>
      <c r="FS52" s="898"/>
      <c r="FT52" s="898"/>
      <c r="FU52" s="898"/>
      <c r="FV52" s="898"/>
      <c r="FW52" s="898"/>
      <c r="FX52" s="898"/>
      <c r="FY52" s="898"/>
      <c r="FZ52" s="898"/>
      <c r="GA52" s="898"/>
      <c r="GB52" s="898"/>
      <c r="GC52" s="898"/>
      <c r="GD52" s="898"/>
      <c r="GE52" s="898"/>
      <c r="GF52" s="898"/>
      <c r="GG52" s="898"/>
      <c r="GH52" s="898"/>
      <c r="GI52" s="898"/>
      <c r="GJ52" s="898"/>
      <c r="GK52" s="898"/>
      <c r="GL52" s="898"/>
      <c r="GM52" s="898"/>
      <c r="GN52" s="898"/>
      <c r="GO52" s="898"/>
      <c r="GP52" s="898"/>
      <c r="GQ52" s="898"/>
      <c r="GR52" s="898"/>
      <c r="GS52" s="898"/>
      <c r="GT52" s="898"/>
      <c r="GU52" s="898"/>
      <c r="GV52" s="898"/>
      <c r="GW52" s="898"/>
      <c r="GX52" s="898"/>
      <c r="GY52" s="898"/>
      <c r="GZ52" s="898"/>
      <c r="HA52" s="898"/>
      <c r="HB52" s="898"/>
      <c r="HC52" s="898"/>
      <c r="HD52" s="898"/>
      <c r="HE52" s="898"/>
      <c r="HF52" s="898"/>
      <c r="HG52" s="898"/>
      <c r="HH52" s="898"/>
      <c r="HI52" s="898"/>
      <c r="HJ52" s="898"/>
      <c r="HK52" s="898"/>
      <c r="HL52" s="898"/>
      <c r="HM52" s="898"/>
      <c r="HN52" s="898"/>
      <c r="HO52" s="898"/>
      <c r="HP52" s="898"/>
      <c r="HQ52" s="898"/>
      <c r="HR52" s="898"/>
      <c r="HS52" s="898"/>
      <c r="HT52" s="898"/>
      <c r="HU52" s="898"/>
      <c r="HV52" s="898"/>
      <c r="HW52" s="898"/>
      <c r="HX52" s="898"/>
      <c r="HY52" s="898"/>
      <c r="HZ52" s="898"/>
      <c r="IA52" s="898"/>
      <c r="IB52" s="898"/>
      <c r="IC52" s="898"/>
      <c r="ID52" s="898"/>
      <c r="IE52" s="898"/>
      <c r="IF52" s="898"/>
      <c r="IG52" s="898"/>
      <c r="IH52" s="898"/>
      <c r="II52" s="898"/>
      <c r="IJ52" s="898"/>
      <c r="IK52" s="898"/>
      <c r="IL52" s="898"/>
      <c r="IM52" s="898"/>
      <c r="IN52" s="898"/>
      <c r="IO52" s="898"/>
      <c r="IP52" s="898"/>
      <c r="IQ52" s="898"/>
      <c r="IR52" s="898"/>
      <c r="IS52" s="898"/>
      <c r="IT52" s="898"/>
      <c r="IU52" s="898"/>
      <c r="IV52" s="898"/>
    </row>
    <row r="53" spans="1:256" ht="17.25" thickBot="1">
      <c r="A53" s="1252" t="s">
        <v>1097</v>
      </c>
      <c r="B53" s="1253"/>
      <c r="C53" s="1254"/>
      <c r="D53" s="939" t="s">
        <v>1096</v>
      </c>
      <c r="E53" s="940" t="s">
        <v>1096</v>
      </c>
      <c r="F53" s="941">
        <f>SUM(F48,F43,F52,F29,F19,F8)</f>
        <v>370412199</v>
      </c>
      <c r="G53" s="939" t="s">
        <v>1096</v>
      </c>
      <c r="H53" s="942" t="s">
        <v>1096</v>
      </c>
      <c r="I53" s="942" t="s">
        <v>1096</v>
      </c>
      <c r="J53" s="940" t="s">
        <v>1096</v>
      </c>
      <c r="K53" s="941">
        <f>SUM(K48,K43,K52,K29,K19,K8)</f>
        <v>185061358</v>
      </c>
      <c r="L53" s="943">
        <f>SUM(K53+F53)</f>
        <v>555473557</v>
      </c>
      <c r="M53" s="936"/>
      <c r="N53" s="937">
        <f>SUM(N48,N29,N52,N43,N19,N8)</f>
        <v>555473557</v>
      </c>
      <c r="O53" s="938"/>
      <c r="P53" s="938"/>
      <c r="Q53" s="938"/>
      <c r="R53" s="938"/>
      <c r="S53" s="938"/>
      <c r="T53" s="938"/>
      <c r="U53" s="938"/>
      <c r="V53" s="938"/>
      <c r="W53" s="938"/>
      <c r="X53" s="938"/>
      <c r="Y53" s="938"/>
      <c r="Z53" s="938"/>
      <c r="AA53" s="938"/>
      <c r="AB53" s="938"/>
      <c r="AC53" s="938"/>
      <c r="AD53" s="938"/>
      <c r="AE53" s="938"/>
      <c r="AF53" s="938"/>
      <c r="AG53" s="938"/>
      <c r="AH53" s="938"/>
      <c r="AI53" s="938"/>
      <c r="AJ53" s="938"/>
      <c r="AK53" s="938"/>
      <c r="AL53" s="938"/>
      <c r="AM53" s="938"/>
      <c r="AN53" s="938"/>
      <c r="AO53" s="938"/>
      <c r="AP53" s="938"/>
      <c r="AQ53" s="938"/>
      <c r="AR53" s="938"/>
      <c r="AS53" s="938"/>
      <c r="AT53" s="938"/>
      <c r="AU53" s="938"/>
      <c r="AV53" s="938"/>
      <c r="AW53" s="938"/>
      <c r="AX53" s="938"/>
      <c r="AY53" s="938"/>
      <c r="AZ53" s="938"/>
      <c r="BA53" s="938"/>
      <c r="BB53" s="938"/>
      <c r="BC53" s="938"/>
      <c r="BD53" s="938"/>
      <c r="BE53" s="938"/>
      <c r="BF53" s="938"/>
      <c r="BG53" s="938"/>
      <c r="BH53" s="938"/>
      <c r="BI53" s="938"/>
      <c r="BJ53" s="938"/>
      <c r="BK53" s="938"/>
      <c r="BL53" s="938"/>
      <c r="BM53" s="938"/>
      <c r="BN53" s="938"/>
      <c r="BO53" s="938"/>
      <c r="BP53" s="938"/>
      <c r="BQ53" s="938"/>
      <c r="BR53" s="938"/>
      <c r="BS53" s="938"/>
      <c r="BT53" s="938"/>
      <c r="BU53" s="938"/>
      <c r="BV53" s="938"/>
      <c r="BW53" s="938"/>
      <c r="BX53" s="938"/>
      <c r="BY53" s="938"/>
      <c r="BZ53" s="938"/>
      <c r="CA53" s="938"/>
      <c r="CB53" s="938"/>
      <c r="CC53" s="938"/>
      <c r="CD53" s="938"/>
      <c r="CE53" s="938"/>
      <c r="CF53" s="938"/>
      <c r="CG53" s="938"/>
      <c r="CH53" s="938"/>
      <c r="CI53" s="938"/>
      <c r="CJ53" s="938"/>
      <c r="CK53" s="938"/>
      <c r="CL53" s="938"/>
      <c r="CM53" s="938"/>
      <c r="CN53" s="938"/>
      <c r="CO53" s="938"/>
      <c r="CP53" s="938"/>
      <c r="CQ53" s="938"/>
      <c r="CR53" s="938"/>
      <c r="CS53" s="938"/>
      <c r="CT53" s="938"/>
      <c r="CU53" s="938"/>
      <c r="CV53" s="938"/>
      <c r="CW53" s="938"/>
      <c r="CX53" s="938"/>
      <c r="CY53" s="938"/>
      <c r="CZ53" s="938"/>
      <c r="DA53" s="938"/>
      <c r="DB53" s="938"/>
      <c r="DC53" s="938"/>
      <c r="DD53" s="938"/>
      <c r="DE53" s="938"/>
      <c r="DF53" s="938"/>
      <c r="DG53" s="938"/>
      <c r="DH53" s="938"/>
      <c r="DI53" s="938"/>
      <c r="DJ53" s="938"/>
      <c r="DK53" s="938"/>
      <c r="DL53" s="938"/>
      <c r="DM53" s="938"/>
      <c r="DN53" s="938"/>
      <c r="DO53" s="938"/>
      <c r="DP53" s="938"/>
      <c r="DQ53" s="938"/>
      <c r="DR53" s="938"/>
      <c r="DS53" s="938"/>
      <c r="DT53" s="938"/>
      <c r="DU53" s="938"/>
      <c r="DV53" s="938"/>
      <c r="DW53" s="938"/>
      <c r="DX53" s="938"/>
      <c r="DY53" s="938"/>
      <c r="DZ53" s="938"/>
      <c r="EA53" s="938"/>
      <c r="EB53" s="938"/>
      <c r="EC53" s="938"/>
      <c r="ED53" s="938"/>
      <c r="EE53" s="938"/>
      <c r="EF53" s="938"/>
      <c r="EG53" s="938"/>
      <c r="EH53" s="938"/>
      <c r="EI53" s="938"/>
      <c r="EJ53" s="938"/>
      <c r="EK53" s="938"/>
      <c r="EL53" s="938"/>
      <c r="EM53" s="938"/>
      <c r="EN53" s="938"/>
      <c r="EO53" s="938"/>
      <c r="EP53" s="938"/>
      <c r="EQ53" s="938"/>
      <c r="ER53" s="938"/>
      <c r="ES53" s="938"/>
      <c r="ET53" s="938"/>
      <c r="EU53" s="938"/>
      <c r="EV53" s="938"/>
      <c r="EW53" s="938"/>
      <c r="EX53" s="938"/>
      <c r="EY53" s="938"/>
      <c r="EZ53" s="938"/>
      <c r="FA53" s="938"/>
      <c r="FB53" s="938"/>
      <c r="FC53" s="938"/>
      <c r="FD53" s="938"/>
      <c r="FE53" s="938"/>
      <c r="FF53" s="938"/>
      <c r="FG53" s="938"/>
      <c r="FH53" s="938"/>
      <c r="FI53" s="938"/>
      <c r="FJ53" s="938"/>
      <c r="FK53" s="938"/>
      <c r="FL53" s="938"/>
      <c r="FM53" s="938"/>
      <c r="FN53" s="938"/>
      <c r="FO53" s="938"/>
      <c r="FP53" s="938"/>
      <c r="FQ53" s="938"/>
      <c r="FR53" s="938"/>
      <c r="FS53" s="938"/>
      <c r="FT53" s="938"/>
      <c r="FU53" s="938"/>
      <c r="FV53" s="938"/>
      <c r="FW53" s="938"/>
      <c r="FX53" s="938"/>
      <c r="FY53" s="938"/>
      <c r="FZ53" s="938"/>
      <c r="GA53" s="938"/>
      <c r="GB53" s="938"/>
      <c r="GC53" s="938"/>
      <c r="GD53" s="938"/>
      <c r="GE53" s="938"/>
      <c r="GF53" s="938"/>
      <c r="GG53" s="938"/>
      <c r="GH53" s="938"/>
      <c r="GI53" s="938"/>
      <c r="GJ53" s="938"/>
      <c r="GK53" s="938"/>
      <c r="GL53" s="938"/>
      <c r="GM53" s="938"/>
      <c r="GN53" s="938"/>
      <c r="GO53" s="938"/>
      <c r="GP53" s="938"/>
      <c r="GQ53" s="938"/>
      <c r="GR53" s="938"/>
      <c r="GS53" s="938"/>
      <c r="GT53" s="938"/>
      <c r="GU53" s="938"/>
      <c r="GV53" s="938"/>
      <c r="GW53" s="938"/>
      <c r="GX53" s="938"/>
      <c r="GY53" s="938"/>
      <c r="GZ53" s="938"/>
      <c r="HA53" s="938"/>
      <c r="HB53" s="938"/>
      <c r="HC53" s="938"/>
      <c r="HD53" s="938"/>
      <c r="HE53" s="938"/>
      <c r="HF53" s="938"/>
      <c r="HG53" s="938"/>
      <c r="HH53" s="938"/>
      <c r="HI53" s="938"/>
      <c r="HJ53" s="938"/>
      <c r="HK53" s="938"/>
      <c r="HL53" s="938"/>
      <c r="HM53" s="938"/>
      <c r="HN53" s="938"/>
      <c r="HO53" s="938"/>
      <c r="HP53" s="938"/>
      <c r="HQ53" s="938"/>
      <c r="HR53" s="938"/>
      <c r="HS53" s="938"/>
      <c r="HT53" s="938"/>
      <c r="HU53" s="938"/>
      <c r="HV53" s="938"/>
      <c r="HW53" s="938"/>
      <c r="HX53" s="938"/>
      <c r="HY53" s="938"/>
      <c r="HZ53" s="938"/>
      <c r="IA53" s="938"/>
      <c r="IB53" s="938"/>
      <c r="IC53" s="938"/>
      <c r="ID53" s="938"/>
      <c r="IE53" s="938"/>
      <c r="IF53" s="938"/>
      <c r="IG53" s="938"/>
      <c r="IH53" s="938"/>
      <c r="II53" s="938"/>
      <c r="IJ53" s="938"/>
      <c r="IK53" s="938"/>
      <c r="IL53" s="938"/>
      <c r="IM53" s="938"/>
      <c r="IN53" s="938"/>
      <c r="IO53" s="938"/>
      <c r="IP53" s="938"/>
      <c r="IQ53" s="938"/>
      <c r="IR53" s="938"/>
      <c r="IS53" s="938"/>
      <c r="IT53" s="938"/>
      <c r="IU53" s="938"/>
      <c r="IV53" s="938"/>
    </row>
  </sheetData>
  <sheetProtection/>
  <mergeCells count="9">
    <mergeCell ref="L5:L6"/>
    <mergeCell ref="A6:B6"/>
    <mergeCell ref="A7:B7"/>
    <mergeCell ref="A53:C53"/>
    <mergeCell ref="A2:K2"/>
    <mergeCell ref="A3:K3"/>
    <mergeCell ref="A5:C5"/>
    <mergeCell ref="D5:F5"/>
    <mergeCell ref="G5:K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3" r:id="rId1"/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L160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4.625" style="565" customWidth="1"/>
    <col min="2" max="2" width="40.25390625" style="123" bestFit="1" customWidth="1"/>
    <col min="3" max="3" width="15.00390625" style="123" customWidth="1"/>
    <col min="4" max="4" width="11.125" style="123" bestFit="1" customWidth="1"/>
    <col min="5" max="5" width="11.875" style="123" customWidth="1"/>
    <col min="6" max="6" width="11.75390625" style="123" customWidth="1"/>
    <col min="7" max="8" width="11.25390625" style="123" customWidth="1"/>
    <col min="9" max="9" width="11.75390625" style="123" customWidth="1"/>
    <col min="10" max="11" width="15.375" style="123" customWidth="1"/>
    <col min="12" max="12" width="16.625" style="123" customWidth="1"/>
  </cols>
  <sheetData>
    <row r="1" spans="2:12" ht="15">
      <c r="B1" s="1304" t="s">
        <v>1136</v>
      </c>
      <c r="C1" s="1304"/>
      <c r="D1" s="1304"/>
      <c r="E1" s="1304"/>
      <c r="F1" s="1304"/>
      <c r="G1" s="1304"/>
      <c r="H1" s="1304"/>
      <c r="I1" s="1304"/>
      <c r="J1" s="1304"/>
      <c r="K1" s="1304"/>
      <c r="L1" s="1304"/>
    </row>
    <row r="4" spans="2:12" ht="41.25" customHeight="1">
      <c r="B4" s="1305" t="s">
        <v>908</v>
      </c>
      <c r="C4" s="1305"/>
      <c r="D4" s="1305"/>
      <c r="E4" s="1305"/>
      <c r="F4" s="1305"/>
      <c r="G4" s="1305"/>
      <c r="H4" s="1305"/>
      <c r="I4" s="1305"/>
      <c r="J4" s="1305"/>
      <c r="K4" s="1305"/>
      <c r="L4" s="1305"/>
    </row>
    <row r="7" ht="13.5" thickBot="1"/>
    <row r="8" spans="1:12" ht="12.75" customHeight="1">
      <c r="A8" s="1306" t="s">
        <v>422</v>
      </c>
      <c r="B8" s="1309" t="s">
        <v>352</v>
      </c>
      <c r="C8" s="1312" t="s">
        <v>909</v>
      </c>
      <c r="D8" s="1313"/>
      <c r="E8" s="1313"/>
      <c r="F8" s="1313"/>
      <c r="G8" s="1313"/>
      <c r="H8" s="1314"/>
      <c r="I8" s="1314"/>
      <c r="J8" s="1315" t="s">
        <v>910</v>
      </c>
      <c r="K8" s="1315" t="s">
        <v>911</v>
      </c>
      <c r="L8" s="1315" t="s">
        <v>912</v>
      </c>
    </row>
    <row r="9" spans="1:12" ht="12.75">
      <c r="A9" s="1307"/>
      <c r="B9" s="1310"/>
      <c r="C9" s="1318" t="s">
        <v>411</v>
      </c>
      <c r="D9" s="1319" t="s">
        <v>913</v>
      </c>
      <c r="E9" s="1320"/>
      <c r="F9" s="1320"/>
      <c r="G9" s="1320"/>
      <c r="H9" s="1321"/>
      <c r="I9" s="1321"/>
      <c r="J9" s="1316"/>
      <c r="K9" s="1316"/>
      <c r="L9" s="1316"/>
    </row>
    <row r="10" spans="1:12" ht="42" customHeight="1">
      <c r="A10" s="1308"/>
      <c r="B10" s="1311"/>
      <c r="C10" s="1318"/>
      <c r="D10" s="688" t="s">
        <v>914</v>
      </c>
      <c r="E10" s="688" t="s">
        <v>915</v>
      </c>
      <c r="F10" s="688" t="s">
        <v>916</v>
      </c>
      <c r="G10" s="688" t="s">
        <v>432</v>
      </c>
      <c r="H10" s="689" t="s">
        <v>917</v>
      </c>
      <c r="I10" s="689" t="s">
        <v>918</v>
      </c>
      <c r="J10" s="1317"/>
      <c r="K10" s="1317"/>
      <c r="L10" s="1317"/>
    </row>
    <row r="11" spans="1:12" ht="13.5" thickBot="1">
      <c r="A11" s="687" t="s">
        <v>416</v>
      </c>
      <c r="B11" s="690" t="s">
        <v>417</v>
      </c>
      <c r="C11" s="691" t="s">
        <v>418</v>
      </c>
      <c r="D11" s="692" t="s">
        <v>419</v>
      </c>
      <c r="E11" s="693" t="s">
        <v>420</v>
      </c>
      <c r="F11" s="693" t="s">
        <v>421</v>
      </c>
      <c r="G11" s="693" t="s">
        <v>423</v>
      </c>
      <c r="H11" s="693" t="s">
        <v>424</v>
      </c>
      <c r="I11" s="693" t="s">
        <v>375</v>
      </c>
      <c r="J11" s="694" t="s">
        <v>376</v>
      </c>
      <c r="K11" s="694" t="s">
        <v>376</v>
      </c>
      <c r="L11" s="695" t="s">
        <v>377</v>
      </c>
    </row>
    <row r="12" spans="1:12" ht="19.5" thickBot="1" thickTop="1">
      <c r="A12" s="696">
        <v>1</v>
      </c>
      <c r="B12" s="1280" t="s">
        <v>85</v>
      </c>
      <c r="C12" s="1281"/>
      <c r="D12" s="1281"/>
      <c r="E12" s="1281"/>
      <c r="F12" s="1281"/>
      <c r="G12" s="1281"/>
      <c r="H12" s="1281"/>
      <c r="I12" s="1281"/>
      <c r="J12" s="1281"/>
      <c r="K12" s="1281"/>
      <c r="L12" s="1282"/>
    </row>
    <row r="13" spans="1:12" ht="14.25" thickBot="1" thickTop="1">
      <c r="A13" s="697"/>
      <c r="B13" s="1286"/>
      <c r="C13" s="1287"/>
      <c r="D13" s="1287"/>
      <c r="E13" s="1287"/>
      <c r="F13" s="1287"/>
      <c r="G13" s="1287"/>
      <c r="H13" s="1287"/>
      <c r="I13" s="1287"/>
      <c r="J13" s="1287"/>
      <c r="K13" s="1287"/>
      <c r="L13" s="1288"/>
    </row>
    <row r="14" spans="1:12" ht="30" customHeight="1" thickBot="1" thickTop="1">
      <c r="A14" s="698">
        <v>2</v>
      </c>
      <c r="B14" s="1299" t="s">
        <v>919</v>
      </c>
      <c r="C14" s="1300"/>
      <c r="D14" s="1300"/>
      <c r="E14" s="1300"/>
      <c r="F14" s="1300"/>
      <c r="G14" s="1300"/>
      <c r="H14" s="1300"/>
      <c r="I14" s="1300"/>
      <c r="J14" s="1301"/>
      <c r="K14" s="1301"/>
      <c r="L14" s="699"/>
    </row>
    <row r="15" spans="1:12" ht="12.75">
      <c r="A15" s="700">
        <v>3</v>
      </c>
      <c r="B15" s="701" t="s">
        <v>920</v>
      </c>
      <c r="C15" s="702">
        <v>0</v>
      </c>
      <c r="D15" s="703">
        <v>0</v>
      </c>
      <c r="E15" s="703">
        <v>0</v>
      </c>
      <c r="F15" s="703">
        <v>0</v>
      </c>
      <c r="G15" s="703">
        <v>0</v>
      </c>
      <c r="H15" s="703">
        <v>0</v>
      </c>
      <c r="I15" s="703">
        <v>0</v>
      </c>
      <c r="J15" s="704">
        <v>0</v>
      </c>
      <c r="K15" s="704">
        <v>0</v>
      </c>
      <c r="L15" s="1272"/>
    </row>
    <row r="16" spans="1:12" ht="13.5" thickBot="1">
      <c r="A16" s="705">
        <v>4</v>
      </c>
      <c r="B16" s="706" t="s">
        <v>921</v>
      </c>
      <c r="C16" s="707">
        <f>SUM(D16:I16)</f>
        <v>250634800</v>
      </c>
      <c r="D16" s="708">
        <v>0</v>
      </c>
      <c r="E16" s="709">
        <v>59135000</v>
      </c>
      <c r="F16" s="709">
        <v>52411853</v>
      </c>
      <c r="G16" s="709">
        <v>46362649</v>
      </c>
      <c r="H16" s="709">
        <v>46362649</v>
      </c>
      <c r="I16" s="709">
        <v>46362649</v>
      </c>
      <c r="J16" s="710">
        <f>6685989-519024</f>
        <v>6166965</v>
      </c>
      <c r="K16" s="710">
        <f>40118910+13881090+6000000</f>
        <v>60000000</v>
      </c>
      <c r="L16" s="1273"/>
    </row>
    <row r="17" spans="1:12" ht="13.5" thickBot="1">
      <c r="A17" s="711">
        <v>5</v>
      </c>
      <c r="B17" s="712" t="s">
        <v>922</v>
      </c>
      <c r="C17" s="713">
        <f aca="true" t="shared" si="0" ref="C17:K17">SUM(C15:C16)</f>
        <v>250634800</v>
      </c>
      <c r="D17" s="714">
        <f t="shared" si="0"/>
        <v>0</v>
      </c>
      <c r="E17" s="714">
        <f t="shared" si="0"/>
        <v>59135000</v>
      </c>
      <c r="F17" s="714">
        <f t="shared" si="0"/>
        <v>52411853</v>
      </c>
      <c r="G17" s="714">
        <f t="shared" si="0"/>
        <v>46362649</v>
      </c>
      <c r="H17" s="714">
        <f t="shared" si="0"/>
        <v>46362649</v>
      </c>
      <c r="I17" s="714">
        <f t="shared" si="0"/>
        <v>46362649</v>
      </c>
      <c r="J17" s="715">
        <f>SUM(J15:J16)</f>
        <v>6166965</v>
      </c>
      <c r="K17" s="715">
        <f t="shared" si="0"/>
        <v>60000000</v>
      </c>
      <c r="L17" s="1274"/>
    </row>
    <row r="18" spans="1:12" ht="13.5" thickBot="1">
      <c r="A18" s="711"/>
      <c r="B18" s="1275"/>
      <c r="C18" s="1265"/>
      <c r="D18" s="1265"/>
      <c r="E18" s="1265"/>
      <c r="F18" s="1265"/>
      <c r="G18" s="1265"/>
      <c r="H18" s="1265"/>
      <c r="I18" s="1265"/>
      <c r="J18" s="1265"/>
      <c r="K18" s="1276"/>
      <c r="L18" s="716"/>
    </row>
    <row r="19" spans="1:12" ht="12.75">
      <c r="A19" s="717">
        <v>6</v>
      </c>
      <c r="B19" s="718" t="s">
        <v>923</v>
      </c>
      <c r="C19" s="719">
        <f>SUM(D19:I19)</f>
        <v>146735476</v>
      </c>
      <c r="D19" s="720">
        <v>2681560</v>
      </c>
      <c r="E19" s="720">
        <v>20997974</v>
      </c>
      <c r="F19" s="720">
        <v>41039699</v>
      </c>
      <c r="G19" s="720">
        <v>27338748</v>
      </c>
      <c r="H19" s="720">
        <v>27338748</v>
      </c>
      <c r="I19" s="720">
        <v>27338747</v>
      </c>
      <c r="J19" s="1272"/>
      <c r="K19" s="1272"/>
      <c r="L19" s="704">
        <v>29550455</v>
      </c>
    </row>
    <row r="20" spans="1:12" ht="12.75">
      <c r="A20" s="721">
        <v>7</v>
      </c>
      <c r="B20" s="722" t="s">
        <v>924</v>
      </c>
      <c r="C20" s="723">
        <f>SUM(D20:I20)</f>
        <v>88344324</v>
      </c>
      <c r="D20" s="720">
        <v>0</v>
      </c>
      <c r="E20" s="720">
        <v>14084323</v>
      </c>
      <c r="F20" s="720">
        <v>17188297</v>
      </c>
      <c r="G20" s="720">
        <v>19023901</v>
      </c>
      <c r="H20" s="720">
        <v>19023901</v>
      </c>
      <c r="I20" s="720">
        <v>19023902</v>
      </c>
      <c r="J20" s="1273"/>
      <c r="K20" s="1273"/>
      <c r="L20" s="710">
        <f>17254444+13881090-519024</f>
        <v>30616510</v>
      </c>
    </row>
    <row r="21" spans="1:12" ht="13.5" thickBot="1">
      <c r="A21" s="721">
        <v>8</v>
      </c>
      <c r="B21" s="724" t="s">
        <v>925</v>
      </c>
      <c r="C21" s="725">
        <f>SUM(D21:I21)</f>
        <v>15555000</v>
      </c>
      <c r="D21" s="726">
        <v>0</v>
      </c>
      <c r="E21" s="726">
        <f>2893619+1250000</f>
        <v>4143619</v>
      </c>
      <c r="F21" s="726">
        <v>11411381</v>
      </c>
      <c r="G21" s="726">
        <v>0</v>
      </c>
      <c r="H21" s="726">
        <v>0</v>
      </c>
      <c r="I21" s="726">
        <v>0</v>
      </c>
      <c r="J21" s="1273"/>
      <c r="K21" s="1273"/>
      <c r="L21" s="727">
        <f>6000000</f>
        <v>6000000</v>
      </c>
    </row>
    <row r="22" spans="1:12" ht="13.5" thickBot="1">
      <c r="A22" s="728">
        <v>9</v>
      </c>
      <c r="B22" s="729" t="s">
        <v>360</v>
      </c>
      <c r="C22" s="730">
        <f aca="true" t="shared" si="1" ref="C22:I22">SUM(C19:C21)</f>
        <v>250634800</v>
      </c>
      <c r="D22" s="731">
        <f t="shared" si="1"/>
        <v>2681560</v>
      </c>
      <c r="E22" s="731">
        <f t="shared" si="1"/>
        <v>39225916</v>
      </c>
      <c r="F22" s="731">
        <f t="shared" si="1"/>
        <v>69639377</v>
      </c>
      <c r="G22" s="731">
        <f t="shared" si="1"/>
        <v>46362649</v>
      </c>
      <c r="H22" s="731">
        <f t="shared" si="1"/>
        <v>46362649</v>
      </c>
      <c r="I22" s="731">
        <f t="shared" si="1"/>
        <v>46362649</v>
      </c>
      <c r="J22" s="1277"/>
      <c r="K22" s="1277"/>
      <c r="L22" s="732">
        <f>SUM(L19:L21)</f>
        <v>66166965</v>
      </c>
    </row>
    <row r="23" spans="1:12" ht="14.25" thickBot="1" thickTop="1">
      <c r="A23" s="733"/>
      <c r="B23" s="1286"/>
      <c r="C23" s="1287"/>
      <c r="D23" s="1287"/>
      <c r="E23" s="1287"/>
      <c r="F23" s="1287"/>
      <c r="G23" s="1287"/>
      <c r="H23" s="1287"/>
      <c r="I23" s="1287"/>
      <c r="J23" s="1287"/>
      <c r="K23" s="1287"/>
      <c r="L23" s="1288"/>
    </row>
    <row r="24" spans="1:12" ht="16.5" thickBot="1" thickTop="1">
      <c r="A24" s="698">
        <v>10</v>
      </c>
      <c r="B24" s="1283" t="s">
        <v>926</v>
      </c>
      <c r="C24" s="1284"/>
      <c r="D24" s="1284"/>
      <c r="E24" s="1284"/>
      <c r="F24" s="1284"/>
      <c r="G24" s="1284"/>
      <c r="H24" s="1284"/>
      <c r="I24" s="1284"/>
      <c r="J24" s="1285"/>
      <c r="K24" s="1285"/>
      <c r="L24" s="699"/>
    </row>
    <row r="25" spans="1:12" ht="12.75">
      <c r="A25" s="700">
        <v>11</v>
      </c>
      <c r="B25" s="734" t="s">
        <v>920</v>
      </c>
      <c r="C25" s="723">
        <f>SUM(D25:F25)</f>
        <v>22542700</v>
      </c>
      <c r="D25" s="735">
        <v>0</v>
      </c>
      <c r="E25" s="735">
        <v>151044</v>
      </c>
      <c r="F25" s="735">
        <v>22391656</v>
      </c>
      <c r="G25" s="736"/>
      <c r="H25" s="736"/>
      <c r="I25" s="736"/>
      <c r="J25" s="704"/>
      <c r="K25" s="704">
        <v>0</v>
      </c>
      <c r="L25" s="1272"/>
    </row>
    <row r="26" spans="1:12" ht="13.5" thickBot="1">
      <c r="A26" s="711">
        <v>12</v>
      </c>
      <c r="B26" s="706" t="s">
        <v>921</v>
      </c>
      <c r="C26" s="723">
        <f>SUM(D26:F26)</f>
        <v>242560000</v>
      </c>
      <c r="D26" s="708">
        <v>242560000</v>
      </c>
      <c r="E26" s="709">
        <v>0</v>
      </c>
      <c r="F26" s="709">
        <v>0</v>
      </c>
      <c r="G26" s="737"/>
      <c r="H26" s="737"/>
      <c r="I26" s="738"/>
      <c r="J26" s="710">
        <f>45188110+22387266</f>
        <v>67575376</v>
      </c>
      <c r="K26" s="710"/>
      <c r="L26" s="1273"/>
    </row>
    <row r="27" spans="1:12" ht="13.5" thickBot="1">
      <c r="A27" s="711">
        <v>13</v>
      </c>
      <c r="B27" s="712" t="s">
        <v>922</v>
      </c>
      <c r="C27" s="713">
        <f aca="true" t="shared" si="2" ref="C27:K27">SUM(C25:C26)</f>
        <v>265102700</v>
      </c>
      <c r="D27" s="714">
        <f t="shared" si="2"/>
        <v>242560000</v>
      </c>
      <c r="E27" s="714">
        <f t="shared" si="2"/>
        <v>151044</v>
      </c>
      <c r="F27" s="714">
        <f t="shared" si="2"/>
        <v>22391656</v>
      </c>
      <c r="G27" s="739"/>
      <c r="H27" s="739"/>
      <c r="I27" s="739"/>
      <c r="J27" s="715">
        <f>SUM(J25:J26)</f>
        <v>67575376</v>
      </c>
      <c r="K27" s="715">
        <f t="shared" si="2"/>
        <v>0</v>
      </c>
      <c r="L27" s="1274"/>
    </row>
    <row r="28" spans="1:12" ht="13.5" thickBot="1">
      <c r="A28" s="711"/>
      <c r="B28" s="1275"/>
      <c r="C28" s="1265"/>
      <c r="D28" s="1265"/>
      <c r="E28" s="1265"/>
      <c r="F28" s="1265"/>
      <c r="G28" s="1265"/>
      <c r="H28" s="1265"/>
      <c r="I28" s="1265"/>
      <c r="J28" s="1265"/>
      <c r="K28" s="1276"/>
      <c r="L28" s="716"/>
    </row>
    <row r="29" spans="1:12" ht="12.75">
      <c r="A29" s="721">
        <v>14</v>
      </c>
      <c r="B29" s="835" t="s">
        <v>924</v>
      </c>
      <c r="C29" s="740">
        <f>SUM(D29:F29)</f>
        <v>242560000</v>
      </c>
      <c r="D29" s="741">
        <v>392025</v>
      </c>
      <c r="E29" s="741">
        <v>12124400</v>
      </c>
      <c r="F29" s="741">
        <v>230043575</v>
      </c>
      <c r="G29" s="736"/>
      <c r="H29" s="736"/>
      <c r="I29" s="736"/>
      <c r="J29" s="1272"/>
      <c r="K29" s="1272"/>
      <c r="L29" s="704">
        <v>2533963</v>
      </c>
    </row>
    <row r="30" spans="1:12" ht="12.75">
      <c r="A30" s="721">
        <v>15</v>
      </c>
      <c r="B30" s="761" t="s">
        <v>925</v>
      </c>
      <c r="C30" s="723">
        <f>SUM(D30:F30)</f>
        <v>22542700</v>
      </c>
      <c r="D30" s="742">
        <v>0</v>
      </c>
      <c r="E30" s="742">
        <v>151044</v>
      </c>
      <c r="F30" s="742">
        <v>22391656</v>
      </c>
      <c r="G30" s="772"/>
      <c r="H30" s="772"/>
      <c r="I30" s="773"/>
      <c r="J30" s="1273"/>
      <c r="K30" s="1273"/>
      <c r="L30" s="710">
        <f>42654147-13005804+22387266</f>
        <v>52035609</v>
      </c>
    </row>
    <row r="31" spans="1:12" ht="13.5" thickBot="1">
      <c r="A31" s="721">
        <v>16</v>
      </c>
      <c r="B31" s="746" t="s">
        <v>958</v>
      </c>
      <c r="C31" s="769"/>
      <c r="D31" s="836"/>
      <c r="E31" s="755"/>
      <c r="F31" s="755"/>
      <c r="G31" s="823"/>
      <c r="H31" s="823"/>
      <c r="I31" s="824"/>
      <c r="J31" s="1273"/>
      <c r="K31" s="1273"/>
      <c r="L31" s="757">
        <v>13005804</v>
      </c>
    </row>
    <row r="32" spans="1:12" ht="13.5" thickBot="1">
      <c r="A32" s="728">
        <v>17</v>
      </c>
      <c r="B32" s="729" t="s">
        <v>360</v>
      </c>
      <c r="C32" s="730">
        <f>SUM(C29:C31)</f>
        <v>265102700</v>
      </c>
      <c r="D32" s="731">
        <f>SUM(D29:D31)</f>
        <v>392025</v>
      </c>
      <c r="E32" s="731">
        <f>SUM(E29:E31)</f>
        <v>12275444</v>
      </c>
      <c r="F32" s="731">
        <f>SUM(F29:F31)</f>
        <v>252435231</v>
      </c>
      <c r="G32" s="739"/>
      <c r="H32" s="739"/>
      <c r="I32" s="739"/>
      <c r="J32" s="1277"/>
      <c r="K32" s="1277"/>
      <c r="L32" s="732">
        <f>SUM(L29:L31)</f>
        <v>67575376</v>
      </c>
    </row>
    <row r="33" spans="1:12" ht="14.25" thickBot="1" thickTop="1">
      <c r="A33" s="733"/>
      <c r="B33" s="1286"/>
      <c r="C33" s="1287"/>
      <c r="D33" s="1287"/>
      <c r="E33" s="1287"/>
      <c r="F33" s="1287"/>
      <c r="G33" s="1287"/>
      <c r="H33" s="1287"/>
      <c r="I33" s="1287"/>
      <c r="J33" s="1287"/>
      <c r="K33" s="1287"/>
      <c r="L33" s="1288"/>
    </row>
    <row r="34" spans="1:12" ht="16.5" thickBot="1" thickTop="1">
      <c r="A34" s="698">
        <v>18</v>
      </c>
      <c r="B34" s="1299" t="s">
        <v>941</v>
      </c>
      <c r="C34" s="1300"/>
      <c r="D34" s="1300"/>
      <c r="E34" s="1300"/>
      <c r="F34" s="1300"/>
      <c r="G34" s="1300"/>
      <c r="H34" s="1300"/>
      <c r="I34" s="1300"/>
      <c r="J34" s="1301"/>
      <c r="K34" s="1301"/>
      <c r="L34" s="699"/>
    </row>
    <row r="35" spans="1:12" ht="12.75">
      <c r="A35" s="700">
        <v>19</v>
      </c>
      <c r="B35" s="701" t="s">
        <v>920</v>
      </c>
      <c r="C35" s="702">
        <v>0</v>
      </c>
      <c r="D35" s="748"/>
      <c r="E35" s="703">
        <v>0</v>
      </c>
      <c r="F35" s="703">
        <v>0</v>
      </c>
      <c r="G35" s="703">
        <v>0</v>
      </c>
      <c r="H35" s="748"/>
      <c r="I35" s="748"/>
      <c r="J35" s="704">
        <v>0</v>
      </c>
      <c r="K35" s="704">
        <v>0</v>
      </c>
      <c r="L35" s="1272"/>
    </row>
    <row r="36" spans="1:12" ht="12.75">
      <c r="A36" s="700">
        <v>20</v>
      </c>
      <c r="B36" s="743" t="s">
        <v>957</v>
      </c>
      <c r="C36" s="821"/>
      <c r="D36" s="822"/>
      <c r="E36" s="802"/>
      <c r="F36" s="802"/>
      <c r="G36" s="802"/>
      <c r="H36" s="822"/>
      <c r="I36" s="822"/>
      <c r="J36" s="757"/>
      <c r="K36" s="757">
        <v>2688779</v>
      </c>
      <c r="L36" s="1273"/>
    </row>
    <row r="37" spans="1:12" ht="13.5" thickBot="1">
      <c r="A37" s="705">
        <v>21</v>
      </c>
      <c r="B37" s="706" t="s">
        <v>921</v>
      </c>
      <c r="C37" s="707">
        <v>202321812</v>
      </c>
      <c r="D37" s="749"/>
      <c r="E37" s="709">
        <f>104483115+10976885</f>
        <v>115460000</v>
      </c>
      <c r="F37" s="709">
        <v>75330433</v>
      </c>
      <c r="G37" s="709">
        <v>11531379</v>
      </c>
      <c r="H37" s="749"/>
      <c r="I37" s="749"/>
      <c r="J37" s="710">
        <f>54734977-13077629</f>
        <v>41657348</v>
      </c>
      <c r="K37" s="710">
        <f>57968707</f>
        <v>57968707</v>
      </c>
      <c r="L37" s="1273"/>
    </row>
    <row r="38" spans="1:12" ht="13.5" thickBot="1">
      <c r="A38" s="711">
        <v>22</v>
      </c>
      <c r="B38" s="712" t="s">
        <v>922</v>
      </c>
      <c r="C38" s="713">
        <f aca="true" t="shared" si="3" ref="C38:K38">SUM(C35:C37)</f>
        <v>202321812</v>
      </c>
      <c r="D38" s="750"/>
      <c r="E38" s="714">
        <f t="shared" si="3"/>
        <v>115460000</v>
      </c>
      <c r="F38" s="714">
        <f t="shared" si="3"/>
        <v>75330433</v>
      </c>
      <c r="G38" s="714">
        <f t="shared" si="3"/>
        <v>11531379</v>
      </c>
      <c r="H38" s="750"/>
      <c r="I38" s="750"/>
      <c r="J38" s="715">
        <f>SUM(J35:J37)</f>
        <v>41657348</v>
      </c>
      <c r="K38" s="715">
        <f t="shared" si="3"/>
        <v>60657486</v>
      </c>
      <c r="L38" s="1274"/>
    </row>
    <row r="39" spans="1:12" ht="13.5" thickBot="1">
      <c r="A39" s="711"/>
      <c r="B39" s="1275"/>
      <c r="C39" s="1265"/>
      <c r="D39" s="1265"/>
      <c r="E39" s="1265"/>
      <c r="F39" s="1265"/>
      <c r="G39" s="1265"/>
      <c r="H39" s="1265"/>
      <c r="I39" s="1265"/>
      <c r="J39" s="1265"/>
      <c r="K39" s="1276"/>
      <c r="L39" s="716"/>
    </row>
    <row r="40" spans="1:12" ht="13.5" thickBot="1">
      <c r="A40" s="717">
        <v>23</v>
      </c>
      <c r="B40" s="718" t="s">
        <v>923</v>
      </c>
      <c r="C40" s="1302">
        <v>89908666</v>
      </c>
      <c r="D40" s="751"/>
      <c r="E40" s="741">
        <f>8545743+1</f>
        <v>8545744</v>
      </c>
      <c r="F40" s="735">
        <v>63219192</v>
      </c>
      <c r="G40" s="735">
        <v>9109530</v>
      </c>
      <c r="H40" s="751"/>
      <c r="I40" s="751"/>
      <c r="J40" s="1272"/>
      <c r="K40" s="1272"/>
      <c r="L40" s="704">
        <f>22115840+16410600+2543643-416917-64622-2160000-334800</f>
        <v>38093744</v>
      </c>
    </row>
    <row r="41" spans="1:12" ht="26.25" thickBot="1">
      <c r="A41" s="752">
        <v>24</v>
      </c>
      <c r="B41" s="753" t="s">
        <v>928</v>
      </c>
      <c r="C41" s="1303"/>
      <c r="D41" s="754"/>
      <c r="E41" s="755">
        <v>860400</v>
      </c>
      <c r="F41" s="756">
        <v>6883200</v>
      </c>
      <c r="G41" s="756">
        <v>1290600</v>
      </c>
      <c r="H41" s="754"/>
      <c r="I41" s="754"/>
      <c r="J41" s="1273"/>
      <c r="K41" s="1273"/>
      <c r="L41" s="757">
        <f>4230000+2160000+334800</f>
        <v>6724800</v>
      </c>
    </row>
    <row r="42" spans="1:12" ht="25.5">
      <c r="A42" s="752">
        <v>25</v>
      </c>
      <c r="B42" s="753" t="s">
        <v>929</v>
      </c>
      <c r="C42" s="758"/>
      <c r="D42" s="754"/>
      <c r="E42" s="755"/>
      <c r="F42" s="756"/>
      <c r="G42" s="756"/>
      <c r="H42" s="754"/>
      <c r="I42" s="754"/>
      <c r="J42" s="1273"/>
      <c r="K42" s="1273"/>
      <c r="L42" s="757">
        <f>2881247+416917+64622</f>
        <v>3362786</v>
      </c>
    </row>
    <row r="43" spans="1:12" ht="12.75">
      <c r="A43" s="721">
        <v>26</v>
      </c>
      <c r="B43" s="722" t="s">
        <v>924</v>
      </c>
      <c r="C43" s="759">
        <v>88083888</v>
      </c>
      <c r="D43" s="760"/>
      <c r="E43" s="709">
        <v>4803780</v>
      </c>
      <c r="F43" s="708">
        <v>82148859</v>
      </c>
      <c r="G43" s="708">
        <v>1131249</v>
      </c>
      <c r="H43" s="760"/>
      <c r="I43" s="760"/>
      <c r="J43" s="1273"/>
      <c r="K43" s="1273"/>
      <c r="L43" s="710">
        <f>22523810+60657486-13077629-18954243-7292340</f>
        <v>43857084</v>
      </c>
    </row>
    <row r="44" spans="1:12" ht="12.75">
      <c r="A44" s="721">
        <v>27</v>
      </c>
      <c r="B44" s="761" t="s">
        <v>925</v>
      </c>
      <c r="C44" s="762">
        <v>17800696</v>
      </c>
      <c r="D44" s="763"/>
      <c r="E44" s="709">
        <v>13003105</v>
      </c>
      <c r="F44" s="708">
        <v>4797591</v>
      </c>
      <c r="G44" s="708">
        <v>0</v>
      </c>
      <c r="H44" s="763"/>
      <c r="I44" s="763"/>
      <c r="J44" s="1273"/>
      <c r="K44" s="1273"/>
      <c r="L44" s="710">
        <v>2460790</v>
      </c>
    </row>
    <row r="45" spans="1:12" ht="13.5" thickBot="1">
      <c r="A45" s="721">
        <v>28</v>
      </c>
      <c r="B45" s="764" t="s">
        <v>930</v>
      </c>
      <c r="C45" s="759">
        <v>6528562</v>
      </c>
      <c r="D45" s="765"/>
      <c r="E45" s="766"/>
      <c r="F45" s="767">
        <v>6528562</v>
      </c>
      <c r="G45" s="767">
        <v>0</v>
      </c>
      <c r="H45" s="765"/>
      <c r="I45" s="765"/>
      <c r="J45" s="1273"/>
      <c r="K45" s="1273"/>
      <c r="L45" s="768">
        <f>523290+7292340</f>
        <v>7815630</v>
      </c>
    </row>
    <row r="46" spans="1:12" ht="13.5" thickBot="1">
      <c r="A46" s="728">
        <v>29</v>
      </c>
      <c r="B46" s="729" t="s">
        <v>360</v>
      </c>
      <c r="C46" s="730">
        <f>SUM(C40:C45)</f>
        <v>202321812</v>
      </c>
      <c r="D46" s="747"/>
      <c r="E46" s="731">
        <f>SUM(E40:E45)</f>
        <v>27213029</v>
      </c>
      <c r="F46" s="731">
        <f>SUM(F40:F45)</f>
        <v>163577404</v>
      </c>
      <c r="G46" s="731">
        <f>SUM(G40:G45)</f>
        <v>11531379</v>
      </c>
      <c r="H46" s="747"/>
      <c r="I46" s="747"/>
      <c r="J46" s="1277"/>
      <c r="K46" s="1277"/>
      <c r="L46" s="732">
        <f>SUM(L40:L45)</f>
        <v>102314834</v>
      </c>
    </row>
    <row r="47" spans="1:12" ht="14.25" thickBot="1" thickTop="1">
      <c r="A47" s="697"/>
      <c r="B47" s="1286"/>
      <c r="C47" s="1287"/>
      <c r="D47" s="1287"/>
      <c r="E47" s="1287"/>
      <c r="F47" s="1287"/>
      <c r="G47" s="1287"/>
      <c r="H47" s="1287"/>
      <c r="I47" s="1287"/>
      <c r="J47" s="1287"/>
      <c r="K47" s="1287"/>
      <c r="L47" s="1288"/>
    </row>
    <row r="48" spans="1:12" ht="16.5" thickBot="1" thickTop="1">
      <c r="A48" s="698">
        <v>30</v>
      </c>
      <c r="B48" s="1299" t="s">
        <v>942</v>
      </c>
      <c r="C48" s="1300"/>
      <c r="D48" s="1300"/>
      <c r="E48" s="1300"/>
      <c r="F48" s="1300"/>
      <c r="G48" s="1300"/>
      <c r="H48" s="1300"/>
      <c r="I48" s="1300"/>
      <c r="J48" s="1301"/>
      <c r="K48" s="1301"/>
      <c r="L48" s="699"/>
    </row>
    <row r="49" spans="1:12" ht="12.75">
      <c r="A49" s="700">
        <v>31</v>
      </c>
      <c r="B49" s="701" t="s">
        <v>920</v>
      </c>
      <c r="C49" s="702">
        <v>0</v>
      </c>
      <c r="D49" s="748"/>
      <c r="E49" s="703">
        <v>0</v>
      </c>
      <c r="F49" s="703">
        <v>0</v>
      </c>
      <c r="G49" s="703">
        <v>0</v>
      </c>
      <c r="H49" s="703"/>
      <c r="I49" s="748"/>
      <c r="J49" s="704">
        <v>0</v>
      </c>
      <c r="K49" s="704">
        <v>0</v>
      </c>
      <c r="L49" s="1272"/>
    </row>
    <row r="50" spans="1:12" ht="13.5" thickBot="1">
      <c r="A50" s="705">
        <v>32</v>
      </c>
      <c r="B50" s="706" t="s">
        <v>921</v>
      </c>
      <c r="C50" s="707">
        <v>62107135</v>
      </c>
      <c r="D50" s="749"/>
      <c r="E50" s="709">
        <v>32379432</v>
      </c>
      <c r="F50" s="709">
        <v>8244379</v>
      </c>
      <c r="G50" s="709">
        <v>20495112</v>
      </c>
      <c r="H50" s="709">
        <v>988212</v>
      </c>
      <c r="I50" s="749"/>
      <c r="J50" s="710">
        <f>12082950-10911298</f>
        <v>1171652</v>
      </c>
      <c r="K50" s="710">
        <f>5788759+23938936</f>
        <v>29727695</v>
      </c>
      <c r="L50" s="1273"/>
    </row>
    <row r="51" spans="1:12" ht="13.5" thickBot="1">
      <c r="A51" s="711">
        <v>33</v>
      </c>
      <c r="B51" s="712" t="s">
        <v>922</v>
      </c>
      <c r="C51" s="713">
        <f>SUM(C49:C50)</f>
        <v>62107135</v>
      </c>
      <c r="D51" s="750"/>
      <c r="E51" s="714">
        <f>SUM(E49:E50)</f>
        <v>32379432</v>
      </c>
      <c r="F51" s="714">
        <f>SUM(F49:F50)</f>
        <v>8244379</v>
      </c>
      <c r="G51" s="714">
        <f>SUM(G49:G50)</f>
        <v>20495112</v>
      </c>
      <c r="H51" s="714">
        <f>SUM(H49:H50)</f>
        <v>988212</v>
      </c>
      <c r="I51" s="750"/>
      <c r="J51" s="715">
        <f>SUM(J49:J50)</f>
        <v>1171652</v>
      </c>
      <c r="K51" s="715">
        <f>SUM(K49:K50)</f>
        <v>29727695</v>
      </c>
      <c r="L51" s="1274"/>
    </row>
    <row r="52" spans="1:12" ht="13.5" thickBot="1">
      <c r="A52" s="711"/>
      <c r="B52" s="1275"/>
      <c r="C52" s="1265"/>
      <c r="D52" s="1265"/>
      <c r="E52" s="1265"/>
      <c r="F52" s="1265"/>
      <c r="G52" s="1265"/>
      <c r="H52" s="1265"/>
      <c r="I52" s="1265"/>
      <c r="J52" s="1265"/>
      <c r="K52" s="1276"/>
      <c r="L52" s="716"/>
    </row>
    <row r="53" spans="1:12" ht="13.5" thickBot="1">
      <c r="A53" s="717">
        <v>34</v>
      </c>
      <c r="B53" s="718" t="s">
        <v>923</v>
      </c>
      <c r="C53" s="1302">
        <v>30232800</v>
      </c>
      <c r="D53" s="751"/>
      <c r="E53" s="741">
        <v>1493750</v>
      </c>
      <c r="F53" s="735">
        <v>10460450</v>
      </c>
      <c r="G53" s="735">
        <v>6062400</v>
      </c>
      <c r="H53" s="735">
        <v>505200</v>
      </c>
      <c r="I53" s="751"/>
      <c r="J53" s="1272"/>
      <c r="K53" s="1272"/>
      <c r="L53" s="704">
        <f>10059909+5000000+875000</f>
        <v>15934909</v>
      </c>
    </row>
    <row r="54" spans="1:12" ht="25.5">
      <c r="A54" s="752">
        <v>35</v>
      </c>
      <c r="B54" s="753" t="s">
        <v>929</v>
      </c>
      <c r="C54" s="1303"/>
      <c r="D54" s="754"/>
      <c r="E54" s="755">
        <v>3346000</v>
      </c>
      <c r="F54" s="756">
        <v>4015200</v>
      </c>
      <c r="G54" s="756">
        <v>4015200</v>
      </c>
      <c r="H54" s="756">
        <v>334600</v>
      </c>
      <c r="I54" s="754"/>
      <c r="J54" s="1273"/>
      <c r="K54" s="1273"/>
      <c r="L54" s="757">
        <v>5569500</v>
      </c>
    </row>
    <row r="55" spans="1:12" ht="12.75">
      <c r="A55" s="721">
        <v>36</v>
      </c>
      <c r="B55" s="722" t="s">
        <v>924</v>
      </c>
      <c r="C55" s="723">
        <v>28874335</v>
      </c>
      <c r="D55" s="760"/>
      <c r="E55" s="709">
        <v>10552557</v>
      </c>
      <c r="F55" s="708">
        <v>8855854</v>
      </c>
      <c r="G55" s="708">
        <v>9417512</v>
      </c>
      <c r="H55" s="708">
        <v>48412</v>
      </c>
      <c r="I55" s="760"/>
      <c r="J55" s="1273"/>
      <c r="K55" s="1273"/>
      <c r="L55" s="710">
        <f>2242300+18063936-10911298</f>
        <v>9394938</v>
      </c>
    </row>
    <row r="56" spans="1:12" ht="13.5" thickBot="1">
      <c r="A56" s="721">
        <v>37</v>
      </c>
      <c r="B56" s="761" t="s">
        <v>931</v>
      </c>
      <c r="C56" s="769">
        <v>3000000</v>
      </c>
      <c r="D56" s="763"/>
      <c r="E56" s="709">
        <v>0</v>
      </c>
      <c r="F56" s="708">
        <v>1900000</v>
      </c>
      <c r="G56" s="708">
        <v>1000000</v>
      </c>
      <c r="H56" s="708">
        <v>100000</v>
      </c>
      <c r="I56" s="763"/>
      <c r="J56" s="1273"/>
      <c r="K56" s="1273"/>
      <c r="L56" s="710"/>
    </row>
    <row r="57" spans="1:12" ht="13.5" thickBot="1">
      <c r="A57" s="728">
        <v>38</v>
      </c>
      <c r="B57" s="729" t="s">
        <v>360</v>
      </c>
      <c r="C57" s="730">
        <f>SUM(C53:C56)</f>
        <v>62107135</v>
      </c>
      <c r="D57" s="747"/>
      <c r="E57" s="731">
        <f>SUM(E53:E56)</f>
        <v>15392307</v>
      </c>
      <c r="F57" s="731">
        <f>SUM(F53:F56)</f>
        <v>25231504</v>
      </c>
      <c r="G57" s="731">
        <f>SUM(G53:G56)</f>
        <v>20495112</v>
      </c>
      <c r="H57" s="731">
        <f>SUM(H53:H56)</f>
        <v>988212</v>
      </c>
      <c r="I57" s="747"/>
      <c r="J57" s="1277"/>
      <c r="K57" s="1277"/>
      <c r="L57" s="732">
        <f>SUM(L53:L56)</f>
        <v>30899347</v>
      </c>
    </row>
    <row r="58" spans="1:12" ht="14.25" thickBot="1" thickTop="1">
      <c r="A58" s="711"/>
      <c r="B58" s="1275"/>
      <c r="C58" s="1265"/>
      <c r="D58" s="1265"/>
      <c r="E58" s="1265"/>
      <c r="F58" s="1265"/>
      <c r="G58" s="1265"/>
      <c r="H58" s="1265"/>
      <c r="I58" s="1265"/>
      <c r="J58" s="1265"/>
      <c r="K58" s="1276"/>
      <c r="L58" s="716"/>
    </row>
    <row r="59" spans="1:12" ht="16.5" thickBot="1" thickTop="1">
      <c r="A59" s="698">
        <v>39</v>
      </c>
      <c r="B59" s="1283" t="s">
        <v>932</v>
      </c>
      <c r="C59" s="1284"/>
      <c r="D59" s="1284"/>
      <c r="E59" s="1284"/>
      <c r="F59" s="1284"/>
      <c r="G59" s="1284"/>
      <c r="H59" s="1284"/>
      <c r="I59" s="1284"/>
      <c r="J59" s="1285"/>
      <c r="K59" s="1285"/>
      <c r="L59" s="699"/>
    </row>
    <row r="60" spans="1:12" ht="12.75">
      <c r="A60" s="700">
        <v>40</v>
      </c>
      <c r="B60" s="734" t="s">
        <v>920</v>
      </c>
      <c r="C60" s="719">
        <v>0</v>
      </c>
      <c r="D60" s="763"/>
      <c r="E60" s="741">
        <v>0</v>
      </c>
      <c r="F60" s="735">
        <v>0</v>
      </c>
      <c r="G60" s="735">
        <v>0</v>
      </c>
      <c r="H60" s="736"/>
      <c r="I60" s="736"/>
      <c r="J60" s="704">
        <v>0</v>
      </c>
      <c r="K60" s="704">
        <f>254000+40000</f>
        <v>294000</v>
      </c>
      <c r="L60" s="1272"/>
    </row>
    <row r="61" spans="1:12" ht="13.5" thickBot="1">
      <c r="A61" s="711">
        <v>41</v>
      </c>
      <c r="B61" s="706" t="s">
        <v>921</v>
      </c>
      <c r="C61" s="723">
        <v>196302400</v>
      </c>
      <c r="D61" s="763"/>
      <c r="E61" s="709">
        <v>196302400</v>
      </c>
      <c r="F61" s="709">
        <v>0</v>
      </c>
      <c r="G61" s="709">
        <v>0</v>
      </c>
      <c r="H61" s="737"/>
      <c r="I61" s="738"/>
      <c r="J61" s="710">
        <f>192295450-911000</f>
        <v>191384450</v>
      </c>
      <c r="K61" s="710"/>
      <c r="L61" s="1273"/>
    </row>
    <row r="62" spans="1:12" ht="13.5" thickBot="1">
      <c r="A62" s="711">
        <v>42</v>
      </c>
      <c r="B62" s="712" t="s">
        <v>922</v>
      </c>
      <c r="C62" s="713">
        <f>SUM(C60:C61)</f>
        <v>196302400</v>
      </c>
      <c r="D62" s="744"/>
      <c r="E62" s="714">
        <f>SUM(E60:E61)</f>
        <v>196302400</v>
      </c>
      <c r="F62" s="714">
        <f>SUM(F60:F61)</f>
        <v>0</v>
      </c>
      <c r="G62" s="714">
        <f>SUM(G60:G61)</f>
        <v>0</v>
      </c>
      <c r="H62" s="744"/>
      <c r="I62" s="745"/>
      <c r="J62" s="715">
        <f>SUM(J60:J61)</f>
        <v>191384450</v>
      </c>
      <c r="K62" s="715">
        <f>SUM(K60:K61)</f>
        <v>294000</v>
      </c>
      <c r="L62" s="1274"/>
    </row>
    <row r="63" spans="1:12" ht="13.5" thickBot="1">
      <c r="A63" s="711"/>
      <c r="B63" s="1275"/>
      <c r="C63" s="1265"/>
      <c r="D63" s="1265"/>
      <c r="E63" s="1265"/>
      <c r="F63" s="1265"/>
      <c r="G63" s="1265"/>
      <c r="H63" s="1265"/>
      <c r="I63" s="1265"/>
      <c r="J63" s="1265"/>
      <c r="K63" s="1276"/>
      <c r="L63" s="716"/>
    </row>
    <row r="64" spans="1:12" ht="12.75">
      <c r="A64" s="721">
        <v>43</v>
      </c>
      <c r="B64" s="718" t="s">
        <v>925</v>
      </c>
      <c r="C64" s="719">
        <f>SUM(E64:G64)</f>
        <v>196302400</v>
      </c>
      <c r="D64" s="739"/>
      <c r="E64" s="741">
        <v>0</v>
      </c>
      <c r="F64" s="741">
        <v>96822314</v>
      </c>
      <c r="G64" s="741">
        <v>99480086</v>
      </c>
      <c r="H64" s="739"/>
      <c r="I64" s="770"/>
      <c r="J64" s="1272"/>
      <c r="K64" s="1272"/>
      <c r="L64" s="704">
        <f>187978206-911000-7744917</f>
        <v>179322289</v>
      </c>
    </row>
    <row r="65" spans="1:12" ht="12.75">
      <c r="A65" s="721">
        <v>44</v>
      </c>
      <c r="B65" s="746" t="s">
        <v>927</v>
      </c>
      <c r="C65" s="723">
        <v>0</v>
      </c>
      <c r="D65" s="771"/>
      <c r="E65" s="742">
        <v>0</v>
      </c>
      <c r="F65" s="742">
        <v>0</v>
      </c>
      <c r="G65" s="742">
        <v>0</v>
      </c>
      <c r="H65" s="772"/>
      <c r="I65" s="773"/>
      <c r="J65" s="1273"/>
      <c r="K65" s="1273"/>
      <c r="L65" s="710">
        <v>0</v>
      </c>
    </row>
    <row r="66" spans="1:12" ht="12.75">
      <c r="A66" s="721">
        <v>45</v>
      </c>
      <c r="B66" s="722" t="s">
        <v>924</v>
      </c>
      <c r="C66" s="723"/>
      <c r="D66" s="771"/>
      <c r="E66" s="742"/>
      <c r="F66" s="742"/>
      <c r="G66" s="742"/>
      <c r="H66" s="772"/>
      <c r="I66" s="773"/>
      <c r="J66" s="1273"/>
      <c r="K66" s="1273"/>
      <c r="L66" s="710">
        <v>4317244</v>
      </c>
    </row>
    <row r="67" spans="1:12" ht="12.75">
      <c r="A67" s="721">
        <v>46</v>
      </c>
      <c r="B67" s="948" t="s">
        <v>933</v>
      </c>
      <c r="C67" s="723"/>
      <c r="D67" s="771"/>
      <c r="E67" s="742"/>
      <c r="F67" s="742"/>
      <c r="G67" s="742"/>
      <c r="H67" s="772"/>
      <c r="I67" s="773"/>
      <c r="J67" s="1273"/>
      <c r="K67" s="1273"/>
      <c r="L67" s="710">
        <f>254000+40000</f>
        <v>294000</v>
      </c>
    </row>
    <row r="68" spans="1:12" ht="13.5" thickBot="1">
      <c r="A68" s="721">
        <v>47</v>
      </c>
      <c r="B68" s="746" t="s">
        <v>958</v>
      </c>
      <c r="C68" s="769"/>
      <c r="D68" s="836"/>
      <c r="E68" s="755"/>
      <c r="F68" s="755"/>
      <c r="G68" s="823"/>
      <c r="H68" s="823"/>
      <c r="I68" s="824"/>
      <c r="J68" s="1273"/>
      <c r="K68" s="1273"/>
      <c r="L68" s="757">
        <v>7744917</v>
      </c>
    </row>
    <row r="69" spans="1:12" ht="13.5" thickBot="1">
      <c r="A69" s="728">
        <v>48</v>
      </c>
      <c r="B69" s="729" t="s">
        <v>360</v>
      </c>
      <c r="C69" s="730">
        <f>SUM(C64:C65)</f>
        <v>196302400</v>
      </c>
      <c r="D69" s="747"/>
      <c r="E69" s="731">
        <f>SUM(E64:E65)</f>
        <v>0</v>
      </c>
      <c r="F69" s="731">
        <f>SUM(F64:F65)</f>
        <v>96822314</v>
      </c>
      <c r="G69" s="731">
        <f>SUM(G64:G65)</f>
        <v>99480086</v>
      </c>
      <c r="H69" s="747"/>
      <c r="I69" s="747"/>
      <c r="J69" s="1277"/>
      <c r="K69" s="1277"/>
      <c r="L69" s="732">
        <f>SUM(L64:L68)</f>
        <v>191678450</v>
      </c>
    </row>
    <row r="70" spans="1:12" ht="14.25" thickBot="1" thickTop="1">
      <c r="A70" s="711"/>
      <c r="B70" s="1275"/>
      <c r="C70" s="1265"/>
      <c r="D70" s="1265"/>
      <c r="E70" s="1265"/>
      <c r="F70" s="1265"/>
      <c r="G70" s="1265"/>
      <c r="H70" s="1265"/>
      <c r="I70" s="1265"/>
      <c r="J70" s="1265"/>
      <c r="K70" s="1276"/>
      <c r="L70" s="716"/>
    </row>
    <row r="71" spans="1:12" ht="16.5" thickBot="1" thickTop="1">
      <c r="A71" s="698">
        <v>49</v>
      </c>
      <c r="B71" s="1283" t="s">
        <v>934</v>
      </c>
      <c r="C71" s="1284"/>
      <c r="D71" s="1284"/>
      <c r="E71" s="1284"/>
      <c r="F71" s="1284"/>
      <c r="G71" s="1284"/>
      <c r="H71" s="1284"/>
      <c r="I71" s="1284"/>
      <c r="J71" s="1285"/>
      <c r="K71" s="1285"/>
      <c r="L71" s="699"/>
    </row>
    <row r="72" spans="1:12" ht="12.75">
      <c r="A72" s="700">
        <v>50</v>
      </c>
      <c r="B72" s="734" t="s">
        <v>920</v>
      </c>
      <c r="C72" s="719">
        <v>0</v>
      </c>
      <c r="D72" s="763"/>
      <c r="E72" s="741">
        <v>0</v>
      </c>
      <c r="F72" s="735">
        <v>0</v>
      </c>
      <c r="G72" s="736"/>
      <c r="H72" s="736"/>
      <c r="I72" s="736"/>
      <c r="J72" s="704">
        <v>0</v>
      </c>
      <c r="K72" s="704">
        <f>254000+500000+123000</f>
        <v>877000</v>
      </c>
      <c r="L72" s="1272"/>
    </row>
    <row r="73" spans="1:12" ht="13.5" thickBot="1">
      <c r="A73" s="711">
        <v>51</v>
      </c>
      <c r="B73" s="706" t="s">
        <v>921</v>
      </c>
      <c r="C73" s="723">
        <v>437625000</v>
      </c>
      <c r="D73" s="763"/>
      <c r="E73" s="709">
        <v>437625000</v>
      </c>
      <c r="F73" s="709">
        <v>0</v>
      </c>
      <c r="G73" s="737"/>
      <c r="H73" s="737"/>
      <c r="I73" s="738"/>
      <c r="J73" s="710">
        <f>414490929+2197500</f>
        <v>416688429</v>
      </c>
      <c r="K73" s="710">
        <v>0</v>
      </c>
      <c r="L73" s="1273"/>
    </row>
    <row r="74" spans="1:12" ht="13.5" thickBot="1">
      <c r="A74" s="711">
        <v>52</v>
      </c>
      <c r="B74" s="712" t="s">
        <v>922</v>
      </c>
      <c r="C74" s="713">
        <f>SUM(C72:C73)</f>
        <v>437625000</v>
      </c>
      <c r="D74" s="744"/>
      <c r="E74" s="714">
        <f>SUM(E72:E73)</f>
        <v>437625000</v>
      </c>
      <c r="F74" s="714">
        <f>SUM(F72:F73)</f>
        <v>0</v>
      </c>
      <c r="G74" s="744"/>
      <c r="H74" s="744"/>
      <c r="I74" s="745"/>
      <c r="J74" s="715">
        <f>SUM(J72:J73)</f>
        <v>416688429</v>
      </c>
      <c r="K74" s="715">
        <f>SUM(K72:K73)</f>
        <v>877000</v>
      </c>
      <c r="L74" s="1274"/>
    </row>
    <row r="75" spans="1:12" ht="13.5" thickBot="1">
      <c r="A75" s="711"/>
      <c r="B75" s="1275"/>
      <c r="C75" s="1265"/>
      <c r="D75" s="1265"/>
      <c r="E75" s="1265"/>
      <c r="F75" s="1265"/>
      <c r="G75" s="1265"/>
      <c r="H75" s="1265"/>
      <c r="I75" s="1265"/>
      <c r="J75" s="1265"/>
      <c r="K75" s="1276"/>
      <c r="L75" s="716"/>
    </row>
    <row r="76" spans="1:12" ht="12.75">
      <c r="A76" s="721">
        <v>53</v>
      </c>
      <c r="B76" s="718" t="s">
        <v>925</v>
      </c>
      <c r="C76" s="719">
        <v>429750000</v>
      </c>
      <c r="D76" s="739"/>
      <c r="E76" s="741">
        <v>0</v>
      </c>
      <c r="F76" s="741">
        <v>429750000</v>
      </c>
      <c r="G76" s="736"/>
      <c r="H76" s="736"/>
      <c r="I76" s="736"/>
      <c r="J76" s="1272"/>
      <c r="K76" s="1272"/>
      <c r="L76" s="704">
        <f>404687022+2197500</f>
        <v>406884522</v>
      </c>
    </row>
    <row r="77" spans="1:12" ht="12.75">
      <c r="A77" s="721">
        <v>54</v>
      </c>
      <c r="B77" s="722" t="s">
        <v>924</v>
      </c>
      <c r="C77" s="723">
        <v>7875000</v>
      </c>
      <c r="D77" s="771"/>
      <c r="E77" s="742"/>
      <c r="F77" s="742">
        <v>7875000</v>
      </c>
      <c r="G77" s="742"/>
      <c r="H77" s="772"/>
      <c r="I77" s="773"/>
      <c r="J77" s="1273"/>
      <c r="K77" s="1273"/>
      <c r="L77" s="710">
        <v>9803907</v>
      </c>
    </row>
    <row r="78" spans="1:12" ht="13.5" thickBot="1">
      <c r="A78" s="721">
        <v>55</v>
      </c>
      <c r="B78" s="722" t="s">
        <v>933</v>
      </c>
      <c r="C78" s="725"/>
      <c r="D78" s="774"/>
      <c r="E78" s="775"/>
      <c r="F78" s="775"/>
      <c r="G78" s="775"/>
      <c r="H78" s="737"/>
      <c r="I78" s="738"/>
      <c r="J78" s="1273"/>
      <c r="K78" s="1273"/>
      <c r="L78" s="768">
        <f>254000+500000+123000</f>
        <v>877000</v>
      </c>
    </row>
    <row r="79" spans="1:12" ht="13.5" thickBot="1">
      <c r="A79" s="728">
        <v>56</v>
      </c>
      <c r="B79" s="729" t="s">
        <v>360</v>
      </c>
      <c r="C79" s="730">
        <f>SUM(C76:C78)</f>
        <v>437625000</v>
      </c>
      <c r="D79" s="747"/>
      <c r="E79" s="731">
        <f>SUM(E76:E78)</f>
        <v>0</v>
      </c>
      <c r="F79" s="731">
        <f>SUM(F76:F78)</f>
        <v>437625000</v>
      </c>
      <c r="G79" s="747"/>
      <c r="H79" s="747"/>
      <c r="I79" s="747"/>
      <c r="J79" s="1277"/>
      <c r="K79" s="1277"/>
      <c r="L79" s="732">
        <f>SUM(L76:L78)</f>
        <v>417565429</v>
      </c>
    </row>
    <row r="80" spans="1:12" ht="14.25" thickBot="1" thickTop="1">
      <c r="A80" s="711"/>
      <c r="B80" s="1275"/>
      <c r="C80" s="1265"/>
      <c r="D80" s="1265"/>
      <c r="E80" s="1265"/>
      <c r="F80" s="1265"/>
      <c r="G80" s="1265"/>
      <c r="H80" s="1265"/>
      <c r="I80" s="1265"/>
      <c r="J80" s="1265"/>
      <c r="K80" s="1276"/>
      <c r="L80" s="716"/>
    </row>
    <row r="81" spans="1:12" ht="16.5" thickBot="1" thickTop="1">
      <c r="A81" s="698">
        <v>57</v>
      </c>
      <c r="B81" s="1283" t="s">
        <v>935</v>
      </c>
      <c r="C81" s="1284"/>
      <c r="D81" s="1284"/>
      <c r="E81" s="1284"/>
      <c r="F81" s="1284"/>
      <c r="G81" s="1284"/>
      <c r="H81" s="1284"/>
      <c r="I81" s="1284"/>
      <c r="J81" s="1285"/>
      <c r="K81" s="1285"/>
      <c r="L81" s="699"/>
    </row>
    <row r="82" spans="1:12" ht="12.75">
      <c r="A82" s="700">
        <v>58</v>
      </c>
      <c r="B82" s="734" t="s">
        <v>920</v>
      </c>
      <c r="C82" s="719">
        <v>0</v>
      </c>
      <c r="D82" s="763"/>
      <c r="E82" s="741">
        <v>0</v>
      </c>
      <c r="F82" s="735">
        <v>0</v>
      </c>
      <c r="G82" s="735">
        <v>0</v>
      </c>
      <c r="H82" s="736"/>
      <c r="I82" s="736"/>
      <c r="J82" s="704">
        <v>0</v>
      </c>
      <c r="K82" s="704">
        <f>254000+863600+28000</f>
        <v>1145600</v>
      </c>
      <c r="L82" s="1272"/>
    </row>
    <row r="83" spans="1:12" ht="13.5" thickBot="1">
      <c r="A83" s="711">
        <v>59</v>
      </c>
      <c r="B83" s="706" t="s">
        <v>921</v>
      </c>
      <c r="C83" s="723">
        <v>100000000</v>
      </c>
      <c r="D83" s="763"/>
      <c r="E83" s="709">
        <v>100000000</v>
      </c>
      <c r="F83" s="709">
        <v>0</v>
      </c>
      <c r="G83" s="709">
        <v>0</v>
      </c>
      <c r="H83" s="737"/>
      <c r="I83" s="738"/>
      <c r="J83" s="710">
        <v>96609100</v>
      </c>
      <c r="K83" s="710"/>
      <c r="L83" s="1273"/>
    </row>
    <row r="84" spans="1:12" ht="13.5" thickBot="1">
      <c r="A84" s="711">
        <v>60</v>
      </c>
      <c r="B84" s="712" t="s">
        <v>922</v>
      </c>
      <c r="C84" s="713">
        <f>SUM(C82:C83)</f>
        <v>100000000</v>
      </c>
      <c r="D84" s="744"/>
      <c r="E84" s="714">
        <f>SUM(E82:E83)</f>
        <v>100000000</v>
      </c>
      <c r="F84" s="714">
        <f>SUM(F82:F83)</f>
        <v>0</v>
      </c>
      <c r="G84" s="714">
        <f>SUM(G82:G83)</f>
        <v>0</v>
      </c>
      <c r="H84" s="744"/>
      <c r="I84" s="745"/>
      <c r="J84" s="715">
        <f>SUM(J82:J83)</f>
        <v>96609100</v>
      </c>
      <c r="K84" s="715">
        <f>SUM(K82:K83)</f>
        <v>1145600</v>
      </c>
      <c r="L84" s="1274"/>
    </row>
    <row r="85" spans="1:12" ht="13.5" thickBot="1">
      <c r="A85" s="711"/>
      <c r="B85" s="1275"/>
      <c r="C85" s="1265"/>
      <c r="D85" s="1265"/>
      <c r="E85" s="1265"/>
      <c r="F85" s="1265"/>
      <c r="G85" s="1265"/>
      <c r="H85" s="1265"/>
      <c r="I85" s="1265"/>
      <c r="J85" s="1265"/>
      <c r="K85" s="1276"/>
      <c r="L85" s="716"/>
    </row>
    <row r="86" spans="1:12" ht="12.75">
      <c r="A86" s="721">
        <v>61</v>
      </c>
      <c r="B86" s="835" t="s">
        <v>930</v>
      </c>
      <c r="C86" s="719">
        <f>SUM(E86:G86)</f>
        <v>100000000</v>
      </c>
      <c r="D86" s="760"/>
      <c r="E86" s="741">
        <v>2393950</v>
      </c>
      <c r="F86" s="741">
        <v>85795050</v>
      </c>
      <c r="G86" s="741">
        <v>11811000</v>
      </c>
      <c r="H86" s="736"/>
      <c r="I86" s="736"/>
      <c r="J86" s="1272"/>
      <c r="K86" s="1272"/>
      <c r="L86" s="704">
        <v>91442680</v>
      </c>
    </row>
    <row r="87" spans="1:12" ht="12.75">
      <c r="A87" s="721">
        <v>62</v>
      </c>
      <c r="B87" s="761" t="s">
        <v>936</v>
      </c>
      <c r="C87" s="723">
        <v>0</v>
      </c>
      <c r="D87" s="763"/>
      <c r="E87" s="742">
        <v>0</v>
      </c>
      <c r="F87" s="742">
        <v>0</v>
      </c>
      <c r="G87" s="742">
        <v>0</v>
      </c>
      <c r="H87" s="776"/>
      <c r="I87" s="777"/>
      <c r="J87" s="1273"/>
      <c r="K87" s="1273"/>
      <c r="L87" s="710">
        <f>863600+28000</f>
        <v>891600</v>
      </c>
    </row>
    <row r="88" spans="1:12" ht="12.75">
      <c r="A88" s="721">
        <v>63</v>
      </c>
      <c r="B88" s="761" t="s">
        <v>923</v>
      </c>
      <c r="C88" s="723"/>
      <c r="D88" s="763"/>
      <c r="E88" s="742"/>
      <c r="F88" s="742"/>
      <c r="G88" s="742"/>
      <c r="H88" s="772"/>
      <c r="I88" s="773"/>
      <c r="J88" s="1273"/>
      <c r="K88" s="1273"/>
      <c r="L88" s="710">
        <v>752612</v>
      </c>
    </row>
    <row r="89" spans="1:12" ht="12.75">
      <c r="A89" s="721">
        <v>64</v>
      </c>
      <c r="B89" s="761" t="s">
        <v>924</v>
      </c>
      <c r="C89" s="723">
        <v>0</v>
      </c>
      <c r="D89" s="771"/>
      <c r="E89" s="742"/>
      <c r="F89" s="742">
        <v>0</v>
      </c>
      <c r="G89" s="742"/>
      <c r="H89" s="772"/>
      <c r="I89" s="773"/>
      <c r="J89" s="1273"/>
      <c r="K89" s="1273"/>
      <c r="L89" s="710">
        <v>4413808</v>
      </c>
    </row>
    <row r="90" spans="1:12" ht="13.5" thickBot="1">
      <c r="A90" s="721">
        <v>65</v>
      </c>
      <c r="B90" s="764" t="s">
        <v>933</v>
      </c>
      <c r="C90" s="723">
        <v>0</v>
      </c>
      <c r="D90" s="763"/>
      <c r="E90" s="742">
        <v>0</v>
      </c>
      <c r="F90" s="742">
        <v>0</v>
      </c>
      <c r="G90" s="742">
        <v>0</v>
      </c>
      <c r="H90" s="737"/>
      <c r="I90" s="738"/>
      <c r="J90" s="1273"/>
      <c r="K90" s="1273"/>
      <c r="L90" s="710">
        <v>254000</v>
      </c>
    </row>
    <row r="91" spans="1:12" ht="13.5" thickBot="1">
      <c r="A91" s="728">
        <v>66</v>
      </c>
      <c r="B91" s="729" t="s">
        <v>360</v>
      </c>
      <c r="C91" s="730">
        <f>SUM(C86:C90)</f>
        <v>100000000</v>
      </c>
      <c r="D91" s="747"/>
      <c r="E91" s="731">
        <f>SUM(E86:E90)</f>
        <v>2393950</v>
      </c>
      <c r="F91" s="731">
        <f>SUM(F86:F90)</f>
        <v>85795050</v>
      </c>
      <c r="G91" s="731">
        <f>SUM(G86:G90)</f>
        <v>11811000</v>
      </c>
      <c r="H91" s="747"/>
      <c r="I91" s="747"/>
      <c r="J91" s="1277"/>
      <c r="K91" s="1277"/>
      <c r="L91" s="732">
        <f>SUM(L86:L90)</f>
        <v>97754700</v>
      </c>
    </row>
    <row r="92" spans="1:12" ht="14.25" thickBot="1" thickTop="1">
      <c r="A92" s="711"/>
      <c r="B92" s="1275"/>
      <c r="C92" s="1265"/>
      <c r="D92" s="1265"/>
      <c r="E92" s="1265"/>
      <c r="F92" s="1265"/>
      <c r="G92" s="1265"/>
      <c r="H92" s="1265"/>
      <c r="I92" s="1265"/>
      <c r="J92" s="1265"/>
      <c r="K92" s="1276"/>
      <c r="L92" s="716"/>
    </row>
    <row r="93" spans="1:12" ht="16.5" thickBot="1" thickTop="1">
      <c r="A93" s="698">
        <v>67</v>
      </c>
      <c r="B93" s="1283" t="s">
        <v>937</v>
      </c>
      <c r="C93" s="1284"/>
      <c r="D93" s="1284"/>
      <c r="E93" s="1284"/>
      <c r="F93" s="1284"/>
      <c r="G93" s="1284"/>
      <c r="H93" s="1284"/>
      <c r="I93" s="1284"/>
      <c r="J93" s="1285"/>
      <c r="K93" s="1285"/>
      <c r="L93" s="699"/>
    </row>
    <row r="94" spans="1:12" ht="12.75">
      <c r="A94" s="700">
        <v>68</v>
      </c>
      <c r="B94" s="734" t="s">
        <v>920</v>
      </c>
      <c r="C94" s="719">
        <v>0</v>
      </c>
      <c r="D94" s="763"/>
      <c r="E94" s="741">
        <v>0</v>
      </c>
      <c r="F94" s="735">
        <v>0</v>
      </c>
      <c r="G94" s="735">
        <v>0</v>
      </c>
      <c r="H94" s="736"/>
      <c r="I94" s="736"/>
      <c r="J94" s="704">
        <v>1411031</v>
      </c>
      <c r="K94" s="704"/>
      <c r="L94" s="1272"/>
    </row>
    <row r="95" spans="1:12" ht="13.5" thickBot="1">
      <c r="A95" s="711">
        <v>69</v>
      </c>
      <c r="B95" s="706" t="s">
        <v>921</v>
      </c>
      <c r="C95" s="723">
        <v>119014254</v>
      </c>
      <c r="D95" s="763"/>
      <c r="E95" s="709">
        <v>112219000</v>
      </c>
      <c r="F95" s="709">
        <v>0</v>
      </c>
      <c r="G95" s="709">
        <v>6795254</v>
      </c>
      <c r="H95" s="737"/>
      <c r="I95" s="738"/>
      <c r="J95" s="710">
        <v>98397121</v>
      </c>
      <c r="K95" s="710">
        <v>6795254</v>
      </c>
      <c r="L95" s="1273"/>
    </row>
    <row r="96" spans="1:12" ht="13.5" thickBot="1">
      <c r="A96" s="711">
        <v>70</v>
      </c>
      <c r="B96" s="712" t="s">
        <v>922</v>
      </c>
      <c r="C96" s="713">
        <f>SUM(C94:C95)</f>
        <v>119014254</v>
      </c>
      <c r="D96" s="744"/>
      <c r="E96" s="714">
        <f>SUM(E94:E95)</f>
        <v>112219000</v>
      </c>
      <c r="F96" s="714">
        <f>SUM(F94:F95)</f>
        <v>0</v>
      </c>
      <c r="G96" s="714">
        <f>SUM(G94:G95)</f>
        <v>6795254</v>
      </c>
      <c r="H96" s="744"/>
      <c r="I96" s="745"/>
      <c r="J96" s="715">
        <f>SUM(J94:J95)</f>
        <v>99808152</v>
      </c>
      <c r="K96" s="715">
        <f>SUM(K94:K95)</f>
        <v>6795254</v>
      </c>
      <c r="L96" s="1274"/>
    </row>
    <row r="97" spans="1:12" ht="13.5" thickBot="1">
      <c r="A97" s="711"/>
      <c r="B97" s="1275"/>
      <c r="C97" s="1265"/>
      <c r="D97" s="1265"/>
      <c r="E97" s="1265"/>
      <c r="F97" s="1265"/>
      <c r="G97" s="1265"/>
      <c r="H97" s="1265"/>
      <c r="I97" s="1265"/>
      <c r="J97" s="1265"/>
      <c r="K97" s="1276"/>
      <c r="L97" s="716"/>
    </row>
    <row r="98" spans="1:12" ht="12.75">
      <c r="A98" s="721">
        <v>71</v>
      </c>
      <c r="B98" s="835" t="s">
        <v>925</v>
      </c>
      <c r="C98" s="719">
        <f>SUM(D98:G98)</f>
        <v>90941879</v>
      </c>
      <c r="D98" s="947">
        <v>600000</v>
      </c>
      <c r="E98" s="741">
        <v>5257200</v>
      </c>
      <c r="F98" s="741">
        <v>0</v>
      </c>
      <c r="G98" s="741">
        <f>83904684+1179995</f>
        <v>85084679</v>
      </c>
      <c r="H98" s="739"/>
      <c r="I98" s="770"/>
      <c r="J98" s="1272"/>
      <c r="K98" s="1272"/>
      <c r="L98" s="704">
        <v>85084679</v>
      </c>
    </row>
    <row r="99" spans="1:12" ht="12.75">
      <c r="A99" s="721">
        <v>72</v>
      </c>
      <c r="B99" s="761" t="s">
        <v>927</v>
      </c>
      <c r="C99" s="723">
        <f>SUM(D99:G99)</f>
        <v>0</v>
      </c>
      <c r="D99" s="836"/>
      <c r="E99" s="755">
        <v>0</v>
      </c>
      <c r="F99" s="755">
        <v>0</v>
      </c>
      <c r="G99" s="755">
        <v>0</v>
      </c>
      <c r="H99" s="823"/>
      <c r="I99" s="823"/>
      <c r="J99" s="1273"/>
      <c r="K99" s="1273"/>
      <c r="L99" s="757">
        <v>1045032</v>
      </c>
    </row>
    <row r="100" spans="1:12" ht="12.75">
      <c r="A100" s="721">
        <v>73</v>
      </c>
      <c r="B100" s="761" t="s">
        <v>958</v>
      </c>
      <c r="C100" s="723">
        <f>SUM(D100:G100)</f>
        <v>22654265</v>
      </c>
      <c r="D100" s="763"/>
      <c r="E100" s="755">
        <v>0</v>
      </c>
      <c r="F100" s="755">
        <v>0</v>
      </c>
      <c r="G100" s="755">
        <v>22654265</v>
      </c>
      <c r="H100" s="823"/>
      <c r="I100" s="824"/>
      <c r="J100" s="1273"/>
      <c r="K100" s="1273"/>
      <c r="L100" s="757">
        <f>3817843+12040142</f>
        <v>15857985</v>
      </c>
    </row>
    <row r="101" spans="1:12" ht="12.75">
      <c r="A101" s="721">
        <v>74</v>
      </c>
      <c r="B101" s="761" t="s">
        <v>924</v>
      </c>
      <c r="C101" s="723">
        <f>SUM(D101:G101)</f>
        <v>5418110</v>
      </c>
      <c r="D101" s="763"/>
      <c r="E101" s="742">
        <v>0</v>
      </c>
      <c r="F101" s="778">
        <v>1168400</v>
      </c>
      <c r="G101" s="778">
        <v>4249710</v>
      </c>
      <c r="H101" s="776"/>
      <c r="I101" s="777"/>
      <c r="J101" s="1273"/>
      <c r="K101" s="1273"/>
      <c r="L101" s="710">
        <v>4249710</v>
      </c>
    </row>
    <row r="102" spans="1:12" ht="13.5" thickBot="1">
      <c r="A102" s="721">
        <v>75</v>
      </c>
      <c r="B102" s="764" t="s">
        <v>933</v>
      </c>
      <c r="C102" s="723">
        <f>SUM(D102:G102)</f>
        <v>0</v>
      </c>
      <c r="D102" s="763"/>
      <c r="E102" s="742">
        <v>0</v>
      </c>
      <c r="F102" s="778">
        <v>0</v>
      </c>
      <c r="G102" s="778">
        <v>0</v>
      </c>
      <c r="H102" s="737"/>
      <c r="I102" s="738"/>
      <c r="J102" s="1273"/>
      <c r="K102" s="1273"/>
      <c r="L102" s="710">
        <f>254000+112000</f>
        <v>366000</v>
      </c>
    </row>
    <row r="103" spans="1:12" ht="13.5" thickBot="1">
      <c r="A103" s="728">
        <v>76</v>
      </c>
      <c r="B103" s="729" t="s">
        <v>360</v>
      </c>
      <c r="C103" s="730">
        <f>SUM(C98:C102)</f>
        <v>119014254</v>
      </c>
      <c r="D103" s="731">
        <v>600000</v>
      </c>
      <c r="E103" s="731">
        <f>SUM(E98:E102)</f>
        <v>5257200</v>
      </c>
      <c r="F103" s="731">
        <f>SUM(F98:F102)</f>
        <v>1168400</v>
      </c>
      <c r="G103" s="731">
        <f>SUM(G98:G102)</f>
        <v>111988654</v>
      </c>
      <c r="H103" s="747"/>
      <c r="I103" s="747"/>
      <c r="J103" s="1277"/>
      <c r="K103" s="1277"/>
      <c r="L103" s="732">
        <f>SUM(L98:L102)</f>
        <v>106603406</v>
      </c>
    </row>
    <row r="104" spans="1:12" ht="14.25" thickBot="1" thickTop="1">
      <c r="A104" s="721"/>
      <c r="B104" s="780"/>
      <c r="C104" s="781"/>
      <c r="D104" s="782"/>
      <c r="E104" s="781"/>
      <c r="F104" s="781"/>
      <c r="G104" s="782"/>
      <c r="H104" s="782"/>
      <c r="I104" s="782"/>
      <c r="J104" s="783"/>
      <c r="K104" s="783"/>
      <c r="L104" s="784"/>
    </row>
    <row r="105" spans="1:12" ht="16.5" thickBot="1" thickTop="1">
      <c r="A105" s="698">
        <v>77</v>
      </c>
      <c r="B105" s="1283" t="s">
        <v>938</v>
      </c>
      <c r="C105" s="1284"/>
      <c r="D105" s="1284"/>
      <c r="E105" s="1284"/>
      <c r="F105" s="1284"/>
      <c r="G105" s="1284"/>
      <c r="H105" s="1284"/>
      <c r="I105" s="1284"/>
      <c r="J105" s="1285"/>
      <c r="K105" s="1285"/>
      <c r="L105" s="699"/>
    </row>
    <row r="106" spans="1:12" ht="12.75">
      <c r="A106" s="700">
        <v>78</v>
      </c>
      <c r="B106" s="734" t="s">
        <v>920</v>
      </c>
      <c r="C106" s="719">
        <v>0</v>
      </c>
      <c r="D106" s="763"/>
      <c r="E106" s="741">
        <v>0</v>
      </c>
      <c r="F106" s="735">
        <v>0</v>
      </c>
      <c r="G106" s="736"/>
      <c r="H106" s="736"/>
      <c r="I106" s="736"/>
      <c r="J106" s="704">
        <v>0</v>
      </c>
      <c r="K106" s="704">
        <v>102620</v>
      </c>
      <c r="L106" s="1272"/>
    </row>
    <row r="107" spans="1:12" ht="13.5" thickBot="1">
      <c r="A107" s="711">
        <v>79</v>
      </c>
      <c r="B107" s="706" t="s">
        <v>921</v>
      </c>
      <c r="C107" s="723">
        <v>50000000</v>
      </c>
      <c r="D107" s="763"/>
      <c r="E107" s="709">
        <v>50000000</v>
      </c>
      <c r="F107" s="709">
        <v>0</v>
      </c>
      <c r="G107" s="737"/>
      <c r="H107" s="737"/>
      <c r="I107" s="738"/>
      <c r="J107" s="710">
        <f>23207061+726390</f>
        <v>23933451</v>
      </c>
      <c r="K107" s="710"/>
      <c r="L107" s="1273"/>
    </row>
    <row r="108" spans="1:12" ht="13.5" thickBot="1">
      <c r="A108" s="711">
        <v>80</v>
      </c>
      <c r="B108" s="712" t="s">
        <v>922</v>
      </c>
      <c r="C108" s="713">
        <f>SUM(C106:C107)</f>
        <v>50000000</v>
      </c>
      <c r="D108" s="744"/>
      <c r="E108" s="714">
        <f>SUM(E106:E107)</f>
        <v>50000000</v>
      </c>
      <c r="F108" s="714">
        <f>SUM(F106:F107)</f>
        <v>0</v>
      </c>
      <c r="G108" s="744"/>
      <c r="H108" s="744"/>
      <c r="I108" s="745"/>
      <c r="J108" s="715">
        <f>SUM(J106:J107)</f>
        <v>23933451</v>
      </c>
      <c r="K108" s="715">
        <f>SUM(K106:K107)</f>
        <v>102620</v>
      </c>
      <c r="L108" s="1274"/>
    </row>
    <row r="109" spans="1:12" ht="13.5" thickBot="1">
      <c r="A109" s="711"/>
      <c r="B109" s="1275"/>
      <c r="C109" s="1265"/>
      <c r="D109" s="1265"/>
      <c r="E109" s="1265"/>
      <c r="F109" s="1265"/>
      <c r="G109" s="1265"/>
      <c r="H109" s="1265"/>
      <c r="I109" s="1265"/>
      <c r="J109" s="1265"/>
      <c r="K109" s="1276"/>
      <c r="L109" s="716"/>
    </row>
    <row r="110" spans="1:12" ht="13.5" thickBot="1">
      <c r="A110" s="721">
        <v>81</v>
      </c>
      <c r="B110" s="718" t="s">
        <v>930</v>
      </c>
      <c r="C110" s="719">
        <v>50000000</v>
      </c>
      <c r="D110" s="760"/>
      <c r="E110" s="779">
        <v>2450000</v>
      </c>
      <c r="F110" s="779">
        <v>47550000</v>
      </c>
      <c r="G110" s="736"/>
      <c r="H110" s="736"/>
      <c r="I110" s="736"/>
      <c r="J110" s="1272"/>
      <c r="K110" s="1272"/>
      <c r="L110" s="704">
        <f>21830061+726390</f>
        <v>22556451</v>
      </c>
    </row>
    <row r="111" spans="1:12" ht="12.75">
      <c r="A111" s="721">
        <v>82</v>
      </c>
      <c r="B111" s="718" t="s">
        <v>936</v>
      </c>
      <c r="C111" s="719">
        <v>0</v>
      </c>
      <c r="D111" s="760"/>
      <c r="E111" s="779">
        <v>0</v>
      </c>
      <c r="F111" s="779">
        <v>0</v>
      </c>
      <c r="G111" s="736"/>
      <c r="H111" s="736"/>
      <c r="I111" s="736"/>
      <c r="J111" s="1273"/>
      <c r="K111" s="1273"/>
      <c r="L111" s="704">
        <v>102620</v>
      </c>
    </row>
    <row r="112" spans="1:12" ht="13.5" thickBot="1">
      <c r="A112" s="721">
        <v>83</v>
      </c>
      <c r="B112" s="722" t="s">
        <v>924</v>
      </c>
      <c r="C112" s="723">
        <v>0</v>
      </c>
      <c r="D112" s="763"/>
      <c r="E112" s="742">
        <v>0</v>
      </c>
      <c r="F112" s="742">
        <v>0</v>
      </c>
      <c r="G112" s="737"/>
      <c r="H112" s="737"/>
      <c r="I112" s="738"/>
      <c r="J112" s="1273"/>
      <c r="K112" s="1273"/>
      <c r="L112" s="710">
        <f>1377000+726390-726390</f>
        <v>1377000</v>
      </c>
    </row>
    <row r="113" spans="1:12" ht="13.5" thickBot="1">
      <c r="A113" s="728">
        <v>84</v>
      </c>
      <c r="B113" s="729" t="s">
        <v>360</v>
      </c>
      <c r="C113" s="730">
        <f>SUM(C110:C112)</f>
        <v>50000000</v>
      </c>
      <c r="D113" s="747"/>
      <c r="E113" s="731">
        <f>SUM(E110:E112)</f>
        <v>2450000</v>
      </c>
      <c r="F113" s="731">
        <f>SUM(F110:F112)</f>
        <v>47550000</v>
      </c>
      <c r="G113" s="747"/>
      <c r="H113" s="747"/>
      <c r="I113" s="747"/>
      <c r="J113" s="1277"/>
      <c r="K113" s="1277"/>
      <c r="L113" s="732">
        <f>SUM(L110:L112)</f>
        <v>24036071</v>
      </c>
    </row>
    <row r="114" spans="1:12" ht="14.25" thickBot="1" thickTop="1">
      <c r="A114" s="721"/>
      <c r="B114" s="780"/>
      <c r="C114" s="781"/>
      <c r="D114" s="782"/>
      <c r="E114" s="781"/>
      <c r="F114" s="781"/>
      <c r="G114" s="782"/>
      <c r="H114" s="782"/>
      <c r="I114" s="782"/>
      <c r="J114" s="783"/>
      <c r="K114" s="783"/>
      <c r="L114" s="784"/>
    </row>
    <row r="115" spans="1:12" ht="16.5" thickBot="1" thickTop="1">
      <c r="A115" s="698">
        <v>85</v>
      </c>
      <c r="B115" s="1283" t="s">
        <v>939</v>
      </c>
      <c r="C115" s="1284"/>
      <c r="D115" s="1284"/>
      <c r="E115" s="1284"/>
      <c r="F115" s="1284"/>
      <c r="G115" s="1284"/>
      <c r="H115" s="1284"/>
      <c r="I115" s="1284"/>
      <c r="J115" s="1285"/>
      <c r="K115" s="1285"/>
      <c r="L115" s="699"/>
    </row>
    <row r="116" spans="1:12" ht="12.75">
      <c r="A116" s="700">
        <v>86</v>
      </c>
      <c r="B116" s="734" t="s">
        <v>920</v>
      </c>
      <c r="C116" s="719">
        <v>0</v>
      </c>
      <c r="D116" s="763"/>
      <c r="E116" s="741">
        <v>0</v>
      </c>
      <c r="F116" s="735">
        <v>0</v>
      </c>
      <c r="G116" s="785">
        <v>0</v>
      </c>
      <c r="H116" s="785">
        <v>0</v>
      </c>
      <c r="I116" s="785">
        <v>0</v>
      </c>
      <c r="J116" s="704">
        <v>0</v>
      </c>
      <c r="K116" s="704">
        <v>0</v>
      </c>
      <c r="L116" s="1272"/>
    </row>
    <row r="117" spans="1:12" ht="13.5" thickBot="1">
      <c r="A117" s="711">
        <v>87</v>
      </c>
      <c r="B117" s="706" t="s">
        <v>921</v>
      </c>
      <c r="C117" s="723">
        <v>21635062</v>
      </c>
      <c r="D117" s="763"/>
      <c r="E117" s="709">
        <v>21635062</v>
      </c>
      <c r="F117" s="709">
        <v>0</v>
      </c>
      <c r="G117" s="786">
        <v>0</v>
      </c>
      <c r="H117" s="786">
        <v>0</v>
      </c>
      <c r="I117" s="787">
        <v>0</v>
      </c>
      <c r="J117" s="710">
        <f>12229669+55552</f>
        <v>12285221</v>
      </c>
      <c r="K117" s="710"/>
      <c r="L117" s="1273"/>
    </row>
    <row r="118" spans="1:12" ht="13.5" thickBot="1">
      <c r="A118" s="711">
        <v>88</v>
      </c>
      <c r="B118" s="712" t="s">
        <v>922</v>
      </c>
      <c r="C118" s="713">
        <f>SUM(C116:C117)</f>
        <v>21635062</v>
      </c>
      <c r="D118" s="744"/>
      <c r="E118" s="714">
        <f aca="true" t="shared" si="4" ref="E118:K118">SUM(E116:E117)</f>
        <v>21635062</v>
      </c>
      <c r="F118" s="714">
        <f t="shared" si="4"/>
        <v>0</v>
      </c>
      <c r="G118" s="714">
        <f t="shared" si="4"/>
        <v>0</v>
      </c>
      <c r="H118" s="714">
        <f t="shared" si="4"/>
        <v>0</v>
      </c>
      <c r="I118" s="714">
        <f t="shared" si="4"/>
        <v>0</v>
      </c>
      <c r="J118" s="715">
        <f t="shared" si="4"/>
        <v>12285221</v>
      </c>
      <c r="K118" s="715">
        <f t="shared" si="4"/>
        <v>0</v>
      </c>
      <c r="L118" s="1274"/>
    </row>
    <row r="119" spans="1:12" ht="13.5" thickBot="1">
      <c r="A119" s="711"/>
      <c r="B119" s="1275"/>
      <c r="C119" s="1265"/>
      <c r="D119" s="1265"/>
      <c r="E119" s="1265"/>
      <c r="F119" s="1265"/>
      <c r="G119" s="1265"/>
      <c r="H119" s="1265"/>
      <c r="I119" s="1265"/>
      <c r="J119" s="1265"/>
      <c r="K119" s="1276"/>
      <c r="L119" s="716"/>
    </row>
    <row r="120" spans="1:12" ht="12.75">
      <c r="A120" s="721">
        <v>89</v>
      </c>
      <c r="B120" s="718" t="s">
        <v>923</v>
      </c>
      <c r="C120" s="719">
        <v>10295000</v>
      </c>
      <c r="D120" s="760"/>
      <c r="E120" s="779">
        <v>717000</v>
      </c>
      <c r="F120" s="779">
        <v>3123000</v>
      </c>
      <c r="G120" s="779">
        <v>2880000</v>
      </c>
      <c r="H120" s="779">
        <v>2880000</v>
      </c>
      <c r="I120" s="779">
        <v>695000</v>
      </c>
      <c r="J120" s="1297"/>
      <c r="K120" s="1297"/>
      <c r="L120" s="719">
        <v>6327500</v>
      </c>
    </row>
    <row r="121" spans="1:12" ht="12.75">
      <c r="A121" s="721">
        <v>90</v>
      </c>
      <c r="B121" s="722" t="s">
        <v>924</v>
      </c>
      <c r="C121" s="769">
        <v>10510062</v>
      </c>
      <c r="D121" s="760"/>
      <c r="E121" s="788">
        <v>315347</v>
      </c>
      <c r="F121" s="788">
        <f>3984278+55</f>
        <v>3984333</v>
      </c>
      <c r="G121" s="789">
        <v>2149813</v>
      </c>
      <c r="H121" s="789">
        <v>2149812</v>
      </c>
      <c r="I121" s="789">
        <v>1910757</v>
      </c>
      <c r="J121" s="1298"/>
      <c r="K121" s="1298"/>
      <c r="L121" s="769">
        <f>5902169+55552</f>
        <v>5957721</v>
      </c>
    </row>
    <row r="122" spans="1:12" ht="13.5" thickBot="1">
      <c r="A122" s="721">
        <v>91</v>
      </c>
      <c r="B122" s="761" t="s">
        <v>925</v>
      </c>
      <c r="C122" s="723">
        <v>830000</v>
      </c>
      <c r="D122" s="763"/>
      <c r="E122" s="778">
        <v>829945</v>
      </c>
      <c r="F122" s="742">
        <f>55-55</f>
        <v>0</v>
      </c>
      <c r="G122" s="786">
        <v>0</v>
      </c>
      <c r="H122" s="786">
        <v>0</v>
      </c>
      <c r="I122" s="787">
        <v>0</v>
      </c>
      <c r="J122" s="1273"/>
      <c r="K122" s="1273"/>
      <c r="L122" s="723">
        <f>55-55</f>
        <v>0</v>
      </c>
    </row>
    <row r="123" spans="1:12" ht="13.5" thickBot="1">
      <c r="A123" s="728">
        <v>92</v>
      </c>
      <c r="B123" s="729" t="s">
        <v>360</v>
      </c>
      <c r="C123" s="730">
        <f>SUM(C120:C122)</f>
        <v>21635062</v>
      </c>
      <c r="D123" s="747"/>
      <c r="E123" s="731">
        <f>SUM(E120:E122)</f>
        <v>1862292</v>
      </c>
      <c r="F123" s="731">
        <f>SUM(F120:F122)</f>
        <v>7107333</v>
      </c>
      <c r="G123" s="731">
        <f>SUM(G120:G122)</f>
        <v>5029813</v>
      </c>
      <c r="H123" s="731">
        <f>SUM(H120:H122)</f>
        <v>5029812</v>
      </c>
      <c r="I123" s="731">
        <f>SUM(I120:I122)</f>
        <v>2605757</v>
      </c>
      <c r="J123" s="1277"/>
      <c r="K123" s="1277"/>
      <c r="L123" s="732">
        <f>SUM(L120:L122)</f>
        <v>12285221</v>
      </c>
    </row>
    <row r="124" spans="1:12" ht="14.25" thickBot="1" thickTop="1">
      <c r="A124" s="828"/>
      <c r="B124" s="797"/>
      <c r="C124" s="781"/>
      <c r="D124" s="782"/>
      <c r="E124" s="781"/>
      <c r="F124" s="781"/>
      <c r="G124" s="782"/>
      <c r="H124" s="782"/>
      <c r="I124" s="782"/>
      <c r="J124" s="783"/>
      <c r="K124" s="783"/>
      <c r="L124" s="784"/>
    </row>
    <row r="125" spans="1:12" ht="16.5" thickBot="1" thickTop="1">
      <c r="A125" s="698">
        <v>93</v>
      </c>
      <c r="B125" s="1283" t="s">
        <v>943</v>
      </c>
      <c r="C125" s="1284"/>
      <c r="D125" s="1284"/>
      <c r="E125" s="1284"/>
      <c r="F125" s="1284"/>
      <c r="G125" s="1284"/>
      <c r="H125" s="1284"/>
      <c r="I125" s="1284"/>
      <c r="J125" s="1285"/>
      <c r="K125" s="1285"/>
      <c r="L125" s="790"/>
    </row>
    <row r="126" spans="1:12" ht="12.75">
      <c r="A126" s="700">
        <v>94</v>
      </c>
      <c r="B126" s="701" t="s">
        <v>940</v>
      </c>
      <c r="C126" s="791">
        <f>SUM(I126+G126+F126+E126+D126)</f>
        <v>0</v>
      </c>
      <c r="D126" s="739"/>
      <c r="E126" s="739"/>
      <c r="F126" s="741">
        <v>0</v>
      </c>
      <c r="G126" s="741">
        <v>0</v>
      </c>
      <c r="H126" s="741">
        <v>0</v>
      </c>
      <c r="I126" s="739"/>
      <c r="J126" s="704">
        <v>0</v>
      </c>
      <c r="K126" s="704">
        <v>0</v>
      </c>
      <c r="L126" s="1272"/>
    </row>
    <row r="127" spans="1:12" ht="13.5" thickBot="1">
      <c r="A127" s="711">
        <v>95</v>
      </c>
      <c r="B127" s="706" t="s">
        <v>921</v>
      </c>
      <c r="C127" s="792">
        <v>6119772</v>
      </c>
      <c r="D127" s="772"/>
      <c r="E127" s="772"/>
      <c r="F127" s="709">
        <v>1647423</v>
      </c>
      <c r="G127" s="709">
        <v>2435901</v>
      </c>
      <c r="H127" s="709">
        <v>2036448</v>
      </c>
      <c r="I127" s="772"/>
      <c r="J127" s="710">
        <f>1475404-755546</f>
        <v>719858</v>
      </c>
      <c r="K127" s="710">
        <v>1092680</v>
      </c>
      <c r="L127" s="1273"/>
    </row>
    <row r="128" spans="1:12" ht="13.5" thickBot="1">
      <c r="A128" s="711">
        <v>96</v>
      </c>
      <c r="B128" s="712" t="s">
        <v>922</v>
      </c>
      <c r="C128" s="713">
        <f>SUM(G128+F128+H128)</f>
        <v>6119772</v>
      </c>
      <c r="D128" s="750"/>
      <c r="E128" s="750"/>
      <c r="F128" s="714">
        <f>SUM(F126+F127)</f>
        <v>1647423</v>
      </c>
      <c r="G128" s="714">
        <f>SUM(G126+G127)</f>
        <v>2435901</v>
      </c>
      <c r="H128" s="714">
        <f>SUM(H126+H127)</f>
        <v>2036448</v>
      </c>
      <c r="I128" s="793"/>
      <c r="J128" s="715">
        <f>SUM(J126+J127)</f>
        <v>719858</v>
      </c>
      <c r="K128" s="715">
        <f>SUM(K126+K127)</f>
        <v>1092680</v>
      </c>
      <c r="L128" s="1274"/>
    </row>
    <row r="129" spans="1:12" ht="13.5" thickBot="1">
      <c r="A129" s="711"/>
      <c r="B129" s="1289"/>
      <c r="C129" s="1290"/>
      <c r="D129" s="1291"/>
      <c r="E129" s="1291"/>
      <c r="F129" s="1291"/>
      <c r="G129" s="1291"/>
      <c r="H129" s="1291"/>
      <c r="I129" s="1291"/>
      <c r="J129" s="1292"/>
      <c r="K129" s="1293"/>
      <c r="L129" s="716"/>
    </row>
    <row r="130" spans="1:12" ht="12.75">
      <c r="A130" s="721">
        <v>97</v>
      </c>
      <c r="B130" s="718" t="s">
        <v>923</v>
      </c>
      <c r="C130" s="719">
        <v>2588370</v>
      </c>
      <c r="D130" s="739"/>
      <c r="E130" s="739"/>
      <c r="F130" s="709">
        <v>816596</v>
      </c>
      <c r="G130" s="709">
        <v>1208430</v>
      </c>
      <c r="H130" s="709">
        <v>563344</v>
      </c>
      <c r="I130" s="770"/>
      <c r="J130" s="1297"/>
      <c r="K130" s="1297"/>
      <c r="L130" s="704">
        <v>1208430</v>
      </c>
    </row>
    <row r="131" spans="1:12" ht="12.75">
      <c r="A131" s="721">
        <v>98</v>
      </c>
      <c r="B131" s="761" t="s">
        <v>924</v>
      </c>
      <c r="C131" s="723">
        <v>521854</v>
      </c>
      <c r="D131" s="825"/>
      <c r="E131" s="825"/>
      <c r="F131" s="709">
        <v>110969</v>
      </c>
      <c r="G131" s="709">
        <v>386554</v>
      </c>
      <c r="H131" s="709">
        <v>24331</v>
      </c>
      <c r="I131" s="827"/>
      <c r="J131" s="1298"/>
      <c r="K131" s="1298"/>
      <c r="L131" s="710">
        <v>386554</v>
      </c>
    </row>
    <row r="132" spans="1:12" ht="12.75">
      <c r="A132" s="721">
        <v>99</v>
      </c>
      <c r="B132" s="761" t="s">
        <v>925</v>
      </c>
      <c r="C132" s="769">
        <v>973100</v>
      </c>
      <c r="D132" s="772"/>
      <c r="E132" s="772"/>
      <c r="F132" s="826">
        <v>0</v>
      </c>
      <c r="G132" s="709">
        <v>973100</v>
      </c>
      <c r="H132" s="826">
        <v>0</v>
      </c>
      <c r="I132" s="773"/>
      <c r="J132" s="1273"/>
      <c r="K132" s="1273"/>
      <c r="L132" s="757">
        <f>973100-755546</f>
        <v>217554</v>
      </c>
    </row>
    <row r="133" spans="1:12" ht="13.5" thickBot="1">
      <c r="A133" s="721">
        <v>100</v>
      </c>
      <c r="B133" s="724" t="s">
        <v>959</v>
      </c>
      <c r="C133" s="769">
        <v>2036448</v>
      </c>
      <c r="D133" s="825"/>
      <c r="E133" s="825"/>
      <c r="F133" s="826">
        <v>0</v>
      </c>
      <c r="G133" s="709">
        <v>2036448</v>
      </c>
      <c r="H133" s="826">
        <v>0</v>
      </c>
      <c r="I133" s="825"/>
      <c r="J133" s="1277"/>
      <c r="K133" s="1277"/>
      <c r="L133" s="757">
        <v>0</v>
      </c>
    </row>
    <row r="134" spans="1:12" ht="14.25" thickBot="1" thickTop="1">
      <c r="A134" s="794">
        <v>101</v>
      </c>
      <c r="B134" s="795" t="s">
        <v>360</v>
      </c>
      <c r="C134" s="730">
        <f>SUM(C130:C133)</f>
        <v>6119772</v>
      </c>
      <c r="D134" s="747"/>
      <c r="E134" s="747"/>
      <c r="F134" s="796">
        <f>SUM(F130:F133)</f>
        <v>927565</v>
      </c>
      <c r="G134" s="796">
        <f>SUM(G130:G133)</f>
        <v>4604532</v>
      </c>
      <c r="H134" s="796">
        <f>SUM(H130:H133)</f>
        <v>587675</v>
      </c>
      <c r="I134" s="747"/>
      <c r="J134" s="747"/>
      <c r="K134" s="747"/>
      <c r="L134" s="732">
        <f>SUM(L130:L133)</f>
        <v>1812538</v>
      </c>
    </row>
    <row r="135" spans="1:12" ht="14.25" thickBot="1" thickTop="1">
      <c r="A135" s="828"/>
      <c r="B135" s="797"/>
      <c r="C135" s="781"/>
      <c r="D135" s="782"/>
      <c r="E135" s="781"/>
      <c r="F135" s="781"/>
      <c r="G135" s="782"/>
      <c r="H135" s="782"/>
      <c r="I135" s="782"/>
      <c r="J135" s="783"/>
      <c r="K135" s="783"/>
      <c r="L135" s="784"/>
    </row>
    <row r="136" spans="1:12" ht="14.25" thickBot="1" thickTop="1">
      <c r="A136" s="700"/>
      <c r="B136" s="1294"/>
      <c r="C136" s="1295"/>
      <c r="D136" s="1295"/>
      <c r="E136" s="1295"/>
      <c r="F136" s="1295"/>
      <c r="G136" s="1295"/>
      <c r="H136" s="1295"/>
      <c r="I136" s="1295"/>
      <c r="J136" s="1295"/>
      <c r="K136" s="1295"/>
      <c r="L136" s="1296"/>
    </row>
    <row r="137" spans="1:12" ht="19.5" thickBot="1" thickTop="1">
      <c r="A137" s="798"/>
      <c r="B137" s="1280" t="s">
        <v>676</v>
      </c>
      <c r="C137" s="1281"/>
      <c r="D137" s="1281"/>
      <c r="E137" s="1281"/>
      <c r="F137" s="1281"/>
      <c r="G137" s="1281"/>
      <c r="H137" s="1281"/>
      <c r="I137" s="1281"/>
      <c r="J137" s="1281"/>
      <c r="K137" s="1281"/>
      <c r="L137" s="1282"/>
    </row>
    <row r="138" spans="1:12" ht="14.25" thickBot="1" thickTop="1">
      <c r="A138" s="697"/>
      <c r="B138" s="1286"/>
      <c r="C138" s="1287"/>
      <c r="D138" s="1287"/>
      <c r="E138" s="1287"/>
      <c r="F138" s="1287"/>
      <c r="G138" s="1287"/>
      <c r="H138" s="1287"/>
      <c r="I138" s="1287"/>
      <c r="J138" s="1287"/>
      <c r="K138" s="1287"/>
      <c r="L138" s="1288"/>
    </row>
    <row r="139" spans="1:12" ht="16.5" thickBot="1" thickTop="1">
      <c r="A139" s="698">
        <v>102</v>
      </c>
      <c r="B139" s="1278" t="s">
        <v>942</v>
      </c>
      <c r="C139" s="1279"/>
      <c r="D139" s="1279"/>
      <c r="E139" s="1279"/>
      <c r="F139" s="1279"/>
      <c r="G139" s="1279"/>
      <c r="H139" s="1279"/>
      <c r="I139" s="1279"/>
      <c r="J139" s="1279"/>
      <c r="K139" s="1279"/>
      <c r="L139" s="799"/>
    </row>
    <row r="140" spans="1:12" ht="12.75">
      <c r="A140" s="700">
        <v>103</v>
      </c>
      <c r="B140" s="743" t="s">
        <v>920</v>
      </c>
      <c r="C140" s="800">
        <v>0</v>
      </c>
      <c r="D140" s="801"/>
      <c r="E140" s="802">
        <v>0</v>
      </c>
      <c r="F140" s="802">
        <v>0</v>
      </c>
      <c r="G140" s="802">
        <v>0</v>
      </c>
      <c r="H140" s="802"/>
      <c r="I140" s="801"/>
      <c r="J140" s="757">
        <v>0</v>
      </c>
      <c r="K140" s="757">
        <v>0</v>
      </c>
      <c r="L140" s="1273"/>
    </row>
    <row r="141" spans="1:12" ht="13.5" thickBot="1">
      <c r="A141" s="705">
        <v>104</v>
      </c>
      <c r="B141" s="706" t="s">
        <v>921</v>
      </c>
      <c r="C141" s="707">
        <v>88217316</v>
      </c>
      <c r="D141" s="749"/>
      <c r="E141" s="709">
        <v>45094449</v>
      </c>
      <c r="F141" s="709">
        <v>0</v>
      </c>
      <c r="G141" s="709">
        <v>0</v>
      </c>
      <c r="H141" s="709">
        <v>43122867</v>
      </c>
      <c r="I141" s="749"/>
      <c r="J141" s="710">
        <f>7760424+10500000</f>
        <v>18260424</v>
      </c>
      <c r="K141" s="710">
        <f>5354163+7000000</f>
        <v>12354163</v>
      </c>
      <c r="L141" s="1273"/>
    </row>
    <row r="142" spans="1:12" ht="13.5" thickBot="1">
      <c r="A142" s="711">
        <v>105</v>
      </c>
      <c r="B142" s="712" t="s">
        <v>922</v>
      </c>
      <c r="C142" s="713">
        <f>SUM(C140:C141)</f>
        <v>88217316</v>
      </c>
      <c r="D142" s="750"/>
      <c r="E142" s="714">
        <f>SUM(E140:E141)</f>
        <v>45094449</v>
      </c>
      <c r="F142" s="714">
        <f>SUM(F140:F141)</f>
        <v>0</v>
      </c>
      <c r="G142" s="714">
        <f>SUM(G140:G141)</f>
        <v>0</v>
      </c>
      <c r="H142" s="714">
        <f>SUM(H140:H141)</f>
        <v>43122867</v>
      </c>
      <c r="I142" s="750"/>
      <c r="J142" s="715">
        <f>SUM(J140:J141)</f>
        <v>18260424</v>
      </c>
      <c r="K142" s="715">
        <f>SUM(K140:K141)</f>
        <v>12354163</v>
      </c>
      <c r="L142" s="1274"/>
    </row>
    <row r="143" spans="1:12" ht="13.5" thickBot="1">
      <c r="A143" s="711"/>
      <c r="B143" s="1275"/>
      <c r="C143" s="1265"/>
      <c r="D143" s="1265"/>
      <c r="E143" s="1265"/>
      <c r="F143" s="1265"/>
      <c r="G143" s="1265"/>
      <c r="H143" s="1265"/>
      <c r="I143" s="1265"/>
      <c r="J143" s="1265"/>
      <c r="K143" s="1276"/>
      <c r="L143" s="716"/>
    </row>
    <row r="144" spans="1:12" ht="12.75">
      <c r="A144" s="717">
        <v>106</v>
      </c>
      <c r="B144" s="718" t="s">
        <v>923</v>
      </c>
      <c r="C144" s="740">
        <f>SUM(E144:H144)</f>
        <v>53041950</v>
      </c>
      <c r="D144" s="751"/>
      <c r="E144" s="741">
        <v>4082460</v>
      </c>
      <c r="F144" s="735">
        <v>23773325</v>
      </c>
      <c r="G144" s="735">
        <v>23773325</v>
      </c>
      <c r="H144" s="735">
        <v>1412840</v>
      </c>
      <c r="I144" s="751"/>
      <c r="J144" s="1272"/>
      <c r="K144" s="1272"/>
      <c r="L144" s="704">
        <f>7710424+2756937+482464+6060606+939394</f>
        <v>17949825</v>
      </c>
    </row>
    <row r="145" spans="1:12" ht="12.75">
      <c r="A145" s="721">
        <v>107</v>
      </c>
      <c r="B145" s="722" t="s">
        <v>924</v>
      </c>
      <c r="C145" s="723">
        <f>SUM(E145:H145)</f>
        <v>33488176</v>
      </c>
      <c r="D145" s="760"/>
      <c r="E145" s="709">
        <v>12718558</v>
      </c>
      <c r="F145" s="708">
        <v>10002127</v>
      </c>
      <c r="G145" s="708">
        <v>10002126</v>
      </c>
      <c r="H145" s="708">
        <v>765365</v>
      </c>
      <c r="I145" s="760"/>
      <c r="J145" s="1273"/>
      <c r="K145" s="1273"/>
      <c r="L145" s="710">
        <f>50000+2114762+10500000</f>
        <v>12664762</v>
      </c>
    </row>
    <row r="146" spans="1:12" ht="13.5" thickBot="1">
      <c r="A146" s="721">
        <v>108</v>
      </c>
      <c r="B146" s="761" t="s">
        <v>925</v>
      </c>
      <c r="C146" s="769">
        <f>SUM(E146:H146)</f>
        <v>1687190</v>
      </c>
      <c r="D146" s="763"/>
      <c r="E146" s="709">
        <v>862449</v>
      </c>
      <c r="F146" s="708">
        <v>412371</v>
      </c>
      <c r="G146" s="708">
        <v>412370</v>
      </c>
      <c r="H146" s="708">
        <v>0</v>
      </c>
      <c r="I146" s="763"/>
      <c r="J146" s="1273"/>
      <c r="K146" s="1273"/>
      <c r="L146" s="710">
        <v>0</v>
      </c>
    </row>
    <row r="147" spans="1:12" ht="13.5" thickBot="1">
      <c r="A147" s="728">
        <v>109</v>
      </c>
      <c r="B147" s="729" t="s">
        <v>360</v>
      </c>
      <c r="C147" s="730">
        <f>SUM(C144:C146)</f>
        <v>88217316</v>
      </c>
      <c r="D147" s="747"/>
      <c r="E147" s="731">
        <f>SUM(E144:E146)</f>
        <v>17663467</v>
      </c>
      <c r="F147" s="731">
        <f>SUM(F144:F146)</f>
        <v>34187823</v>
      </c>
      <c r="G147" s="731">
        <f>SUM(G144:G146)</f>
        <v>34187821</v>
      </c>
      <c r="H147" s="731">
        <f>SUM(H144:H146)</f>
        <v>2178205</v>
      </c>
      <c r="I147" s="747"/>
      <c r="J147" s="1277"/>
      <c r="K147" s="1277"/>
      <c r="L147" s="732">
        <f>SUM(L144:L146)</f>
        <v>30614587</v>
      </c>
    </row>
    <row r="148" ht="14.25" thickBot="1" thickTop="1"/>
    <row r="149" spans="1:12" ht="19.5" thickBot="1" thickTop="1">
      <c r="A149" s="798"/>
      <c r="B149" s="1280" t="s">
        <v>713</v>
      </c>
      <c r="C149" s="1281"/>
      <c r="D149" s="1281"/>
      <c r="E149" s="1281"/>
      <c r="F149" s="1281"/>
      <c r="G149" s="1281"/>
      <c r="H149" s="1281"/>
      <c r="I149" s="1281"/>
      <c r="J149" s="1281"/>
      <c r="K149" s="1281"/>
      <c r="L149" s="1282"/>
    </row>
    <row r="150" spans="1:12" ht="14.25" thickBot="1" thickTop="1">
      <c r="A150" s="1266"/>
      <c r="B150" s="1267"/>
      <c r="C150" s="1267"/>
      <c r="D150" s="1267"/>
      <c r="E150" s="1267"/>
      <c r="F150" s="1267"/>
      <c r="G150" s="1267"/>
      <c r="H150" s="1267"/>
      <c r="I150" s="1267"/>
      <c r="J150" s="1267"/>
      <c r="K150" s="1267"/>
      <c r="L150" s="1268"/>
    </row>
    <row r="151" spans="1:12" ht="16.5" thickBot="1" thickTop="1">
      <c r="A151" s="698">
        <v>110</v>
      </c>
      <c r="B151" s="1269" t="s">
        <v>944</v>
      </c>
      <c r="C151" s="1270"/>
      <c r="D151" s="1270"/>
      <c r="E151" s="1270"/>
      <c r="F151" s="1270"/>
      <c r="G151" s="1270"/>
      <c r="H151" s="1270"/>
      <c r="I151" s="1270"/>
      <c r="J151" s="1270"/>
      <c r="K151" s="1270"/>
      <c r="L151" s="1271"/>
    </row>
    <row r="152" spans="1:12" ht="12.75">
      <c r="A152" s="700">
        <v>111</v>
      </c>
      <c r="B152" s="701" t="s">
        <v>920</v>
      </c>
      <c r="C152" s="702">
        <v>0</v>
      </c>
      <c r="D152" s="748"/>
      <c r="E152" s="748"/>
      <c r="F152" s="703">
        <v>0</v>
      </c>
      <c r="G152" s="748"/>
      <c r="H152" s="748"/>
      <c r="I152" s="748"/>
      <c r="J152" s="704">
        <v>0</v>
      </c>
      <c r="K152" s="704">
        <v>0</v>
      </c>
      <c r="L152" s="1272"/>
    </row>
    <row r="153" spans="1:12" ht="13.5" thickBot="1">
      <c r="A153" s="705">
        <v>112</v>
      </c>
      <c r="B153" s="706" t="s">
        <v>921</v>
      </c>
      <c r="C153" s="707">
        <v>25000000</v>
      </c>
      <c r="D153" s="749"/>
      <c r="E153" s="749"/>
      <c r="F153" s="709">
        <v>25000000</v>
      </c>
      <c r="G153" s="749"/>
      <c r="H153" s="749"/>
      <c r="I153" s="749"/>
      <c r="J153" s="710">
        <v>5642681</v>
      </c>
      <c r="K153" s="710">
        <v>0</v>
      </c>
      <c r="L153" s="1273"/>
    </row>
    <row r="154" spans="1:12" ht="13.5" thickBot="1">
      <c r="A154" s="711">
        <v>113</v>
      </c>
      <c r="B154" s="712" t="s">
        <v>922</v>
      </c>
      <c r="C154" s="713">
        <f>SUM(C152:C153)</f>
        <v>25000000</v>
      </c>
      <c r="D154" s="750"/>
      <c r="E154" s="750"/>
      <c r="F154" s="714">
        <f>SUM(F152:F153)</f>
        <v>25000000</v>
      </c>
      <c r="G154" s="750"/>
      <c r="H154" s="750"/>
      <c r="I154" s="750"/>
      <c r="J154" s="715">
        <f>SUM(J152:J153)</f>
        <v>5642681</v>
      </c>
      <c r="K154" s="715">
        <f>SUM(K152:K153)</f>
        <v>0</v>
      </c>
      <c r="L154" s="1274"/>
    </row>
    <row r="155" spans="1:12" ht="13.5" thickBot="1">
      <c r="A155" s="711"/>
      <c r="B155" s="1275"/>
      <c r="C155" s="1265"/>
      <c r="D155" s="1265"/>
      <c r="E155" s="1265"/>
      <c r="F155" s="1265"/>
      <c r="G155" s="1265"/>
      <c r="H155" s="1265"/>
      <c r="I155" s="1265"/>
      <c r="J155" s="1265"/>
      <c r="K155" s="1276"/>
      <c r="L155" s="716"/>
    </row>
    <row r="156" spans="1:12" ht="12.75">
      <c r="A156" s="717">
        <v>114</v>
      </c>
      <c r="B156" s="718" t="s">
        <v>923</v>
      </c>
      <c r="C156" s="740">
        <f>SUM(E156:H156)</f>
        <v>8407749</v>
      </c>
      <c r="D156" s="751"/>
      <c r="E156" s="751"/>
      <c r="F156" s="741">
        <v>8407749</v>
      </c>
      <c r="G156" s="751"/>
      <c r="H156" s="751"/>
      <c r="I156" s="751"/>
      <c r="J156" s="1272"/>
      <c r="K156" s="1272"/>
      <c r="L156" s="704">
        <f>2115000+13166+1000000+175000</f>
        <v>3303166</v>
      </c>
    </row>
    <row r="157" spans="1:12" ht="12.75">
      <c r="A157" s="721">
        <v>115</v>
      </c>
      <c r="B157" s="722" t="s">
        <v>924</v>
      </c>
      <c r="C157" s="723">
        <f>SUM(E157:H157)</f>
        <v>14095151</v>
      </c>
      <c r="D157" s="760"/>
      <c r="E157" s="760"/>
      <c r="F157" s="709">
        <v>14095151</v>
      </c>
      <c r="G157" s="760"/>
      <c r="H157" s="760"/>
      <c r="I157" s="760"/>
      <c r="J157" s="1273"/>
      <c r="K157" s="1273"/>
      <c r="L157" s="710">
        <f>3527681-13166-1175000</f>
        <v>2339515</v>
      </c>
    </row>
    <row r="158" spans="1:12" ht="13.5" thickBot="1">
      <c r="A158" s="721">
        <v>116</v>
      </c>
      <c r="B158" s="761" t="s">
        <v>925</v>
      </c>
      <c r="C158" s="769">
        <f>SUM(E158:H158)</f>
        <v>2497100</v>
      </c>
      <c r="D158" s="763"/>
      <c r="E158" s="763"/>
      <c r="F158" s="766">
        <v>2497100</v>
      </c>
      <c r="G158" s="763"/>
      <c r="H158" s="763"/>
      <c r="I158" s="763"/>
      <c r="J158" s="1273"/>
      <c r="K158" s="1273"/>
      <c r="L158" s="710">
        <v>0</v>
      </c>
    </row>
    <row r="159" spans="1:12" ht="13.5" thickBot="1">
      <c r="A159" s="728">
        <v>117</v>
      </c>
      <c r="B159" s="729" t="s">
        <v>360</v>
      </c>
      <c r="C159" s="730">
        <f>SUM(C156:C158)</f>
        <v>25000000</v>
      </c>
      <c r="D159" s="747"/>
      <c r="E159" s="747"/>
      <c r="F159" s="731">
        <f>SUM(F156:F158)</f>
        <v>25000000</v>
      </c>
      <c r="G159" s="747"/>
      <c r="H159" s="747"/>
      <c r="I159" s="747"/>
      <c r="J159" s="1277"/>
      <c r="K159" s="1277"/>
      <c r="L159" s="732">
        <f>SUM(L156:L158)</f>
        <v>5642681</v>
      </c>
    </row>
    <row r="160" spans="1:12" ht="13.5" thickTop="1">
      <c r="A160" s="686"/>
      <c r="B160" s="1265"/>
      <c r="C160" s="1265"/>
      <c r="D160" s="1265"/>
      <c r="E160" s="1265"/>
      <c r="F160" s="1265"/>
      <c r="G160" s="1265"/>
      <c r="H160" s="1265"/>
      <c r="I160" s="1265"/>
      <c r="J160" s="1265"/>
      <c r="K160" s="1265"/>
      <c r="L160" s="803"/>
    </row>
  </sheetData>
  <sheetProtection/>
  <mergeCells count="92">
    <mergeCell ref="B1:L1"/>
    <mergeCell ref="B4:L4"/>
    <mergeCell ref="A8:A10"/>
    <mergeCell ref="B8:B10"/>
    <mergeCell ref="C8:I8"/>
    <mergeCell ref="J8:J10"/>
    <mergeCell ref="K8:K10"/>
    <mergeCell ref="L8:L10"/>
    <mergeCell ref="C9:C10"/>
    <mergeCell ref="D9:I9"/>
    <mergeCell ref="B12:L12"/>
    <mergeCell ref="B13:L13"/>
    <mergeCell ref="B14:K14"/>
    <mergeCell ref="L15:L17"/>
    <mergeCell ref="B18:K18"/>
    <mergeCell ref="J19:J22"/>
    <mergeCell ref="K19:K22"/>
    <mergeCell ref="B23:L23"/>
    <mergeCell ref="B24:K24"/>
    <mergeCell ref="L25:L27"/>
    <mergeCell ref="B28:K28"/>
    <mergeCell ref="J29:J32"/>
    <mergeCell ref="K29:K32"/>
    <mergeCell ref="B33:L33"/>
    <mergeCell ref="J130:J133"/>
    <mergeCell ref="K130:K133"/>
    <mergeCell ref="B34:K34"/>
    <mergeCell ref="L35:L38"/>
    <mergeCell ref="B39:K39"/>
    <mergeCell ref="C40:C41"/>
    <mergeCell ref="J40:J46"/>
    <mergeCell ref="K40:K46"/>
    <mergeCell ref="B47:L47"/>
    <mergeCell ref="B48:K48"/>
    <mergeCell ref="L49:L51"/>
    <mergeCell ref="B52:K52"/>
    <mergeCell ref="C53:C54"/>
    <mergeCell ref="J53:J57"/>
    <mergeCell ref="K53:K57"/>
    <mergeCell ref="B58:K58"/>
    <mergeCell ref="B59:K59"/>
    <mergeCell ref="L60:L62"/>
    <mergeCell ref="B63:K63"/>
    <mergeCell ref="J64:J69"/>
    <mergeCell ref="K64:K69"/>
    <mergeCell ref="B70:K70"/>
    <mergeCell ref="B71:K71"/>
    <mergeCell ref="L72:L74"/>
    <mergeCell ref="B75:K75"/>
    <mergeCell ref="J76:J79"/>
    <mergeCell ref="K76:K79"/>
    <mergeCell ref="B80:K80"/>
    <mergeCell ref="B81:K81"/>
    <mergeCell ref="L82:L84"/>
    <mergeCell ref="B85:K85"/>
    <mergeCell ref="J86:J91"/>
    <mergeCell ref="K86:K91"/>
    <mergeCell ref="L116:L118"/>
    <mergeCell ref="B119:K119"/>
    <mergeCell ref="B92:K92"/>
    <mergeCell ref="B93:K93"/>
    <mergeCell ref="L94:L96"/>
    <mergeCell ref="B97:K97"/>
    <mergeCell ref="J98:J103"/>
    <mergeCell ref="K98:K103"/>
    <mergeCell ref="B105:K105"/>
    <mergeCell ref="L106:L108"/>
    <mergeCell ref="B109:K109"/>
    <mergeCell ref="J110:J113"/>
    <mergeCell ref="K110:K113"/>
    <mergeCell ref="B115:K115"/>
    <mergeCell ref="J120:J123"/>
    <mergeCell ref="K120:K123"/>
    <mergeCell ref="B125:K125"/>
    <mergeCell ref="L126:L128"/>
    <mergeCell ref="B137:L137"/>
    <mergeCell ref="B138:L138"/>
    <mergeCell ref="B129:K129"/>
    <mergeCell ref="B136:L136"/>
    <mergeCell ref="B139:K139"/>
    <mergeCell ref="L140:L142"/>
    <mergeCell ref="K144:K147"/>
    <mergeCell ref="B149:L149"/>
    <mergeCell ref="B143:K143"/>
    <mergeCell ref="J144:J147"/>
    <mergeCell ref="B160:K160"/>
    <mergeCell ref="A150:L150"/>
    <mergeCell ref="B151:L151"/>
    <mergeCell ref="L152:L154"/>
    <mergeCell ref="B155:K155"/>
    <mergeCell ref="J156:J159"/>
    <mergeCell ref="K156:K15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7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6.125" style="123" customWidth="1"/>
    <col min="2" max="4" width="9.125" style="123" customWidth="1"/>
    <col min="5" max="5" width="40.375" style="123" customWidth="1"/>
    <col min="6" max="6" width="16.125" style="123" bestFit="1" customWidth="1"/>
    <col min="7" max="7" width="14.125" style="123" bestFit="1" customWidth="1"/>
    <col min="8" max="9" width="14.875" style="123" customWidth="1"/>
    <col min="10" max="10" width="16.00390625" style="123" bestFit="1" customWidth="1"/>
    <col min="11" max="16384" width="9.125" style="123" customWidth="1"/>
  </cols>
  <sheetData>
    <row r="1" spans="1:10" s="127" customFormat="1" ht="12.75">
      <c r="A1" s="977" t="s">
        <v>1126</v>
      </c>
      <c r="B1" s="977"/>
      <c r="C1" s="977"/>
      <c r="D1" s="977"/>
      <c r="E1" s="977"/>
      <c r="F1" s="977"/>
      <c r="G1" s="977"/>
      <c r="H1" s="977"/>
      <c r="I1" s="977"/>
      <c r="J1" s="977"/>
    </row>
    <row r="2" spans="1:10" s="127" customFormat="1" ht="9.75" customHeight="1">
      <c r="A2" s="128"/>
      <c r="B2" s="129"/>
      <c r="C2" s="129"/>
      <c r="D2" s="129"/>
      <c r="E2" s="129"/>
      <c r="F2" s="129"/>
      <c r="G2" s="129"/>
      <c r="H2" s="129"/>
      <c r="I2" s="129"/>
      <c r="J2" s="129"/>
    </row>
    <row r="3" spans="1:10" s="127" customFormat="1" ht="16.5">
      <c r="A3" s="978" t="s">
        <v>780</v>
      </c>
      <c r="B3" s="978"/>
      <c r="C3" s="978"/>
      <c r="D3" s="978"/>
      <c r="E3" s="978"/>
      <c r="F3" s="978"/>
      <c r="G3" s="978"/>
      <c r="H3" s="978"/>
      <c r="I3" s="978"/>
      <c r="J3" s="978"/>
    </row>
    <row r="4" spans="1:10" s="127" customFormat="1" ht="12.75">
      <c r="A4" s="128"/>
      <c r="B4" s="129"/>
      <c r="C4" s="129"/>
      <c r="D4" s="129"/>
      <c r="E4" s="129"/>
      <c r="F4" s="129"/>
      <c r="G4" s="129"/>
      <c r="H4" s="129"/>
      <c r="I4" s="129"/>
      <c r="J4" s="129"/>
    </row>
    <row r="5" spans="1:10" ht="78" customHeight="1">
      <c r="A5" s="979" t="s">
        <v>0</v>
      </c>
      <c r="B5" s="980"/>
      <c r="C5" s="980"/>
      <c r="D5" s="980"/>
      <c r="E5" s="981"/>
      <c r="F5" s="130" t="s">
        <v>85</v>
      </c>
      <c r="G5" s="130" t="s">
        <v>361</v>
      </c>
      <c r="H5" s="130" t="s">
        <v>676</v>
      </c>
      <c r="I5" s="130" t="s">
        <v>713</v>
      </c>
      <c r="J5" s="131" t="s">
        <v>356</v>
      </c>
    </row>
    <row r="6" spans="1:10" s="134" customFormat="1" ht="15">
      <c r="A6" s="132" t="s">
        <v>416</v>
      </c>
      <c r="B6" s="982" t="s">
        <v>417</v>
      </c>
      <c r="C6" s="983"/>
      <c r="D6" s="983"/>
      <c r="E6" s="984"/>
      <c r="F6" s="133" t="s">
        <v>418</v>
      </c>
      <c r="G6" s="133" t="s">
        <v>419</v>
      </c>
      <c r="H6" s="133" t="s">
        <v>420</v>
      </c>
      <c r="I6" s="133" t="s">
        <v>421</v>
      </c>
      <c r="J6" s="133" t="s">
        <v>423</v>
      </c>
    </row>
    <row r="7" spans="1:11" ht="14.25" customHeight="1">
      <c r="A7" s="135" t="s">
        <v>1</v>
      </c>
      <c r="B7" s="985" t="s">
        <v>335</v>
      </c>
      <c r="C7" s="985"/>
      <c r="D7" s="985"/>
      <c r="E7" s="985"/>
      <c r="F7" s="122">
        <f>34989435+3693375+12115695+1044000+609406+25000+27396716+80000+5400000+8650000+2543600+24650000+18342800+33000+1350000+1125000+23197320+11080125+6600+5000000+1344830+3459090+2500000+347826+45939+4891800+241500+16410600-416917-2160000+120750+4-4+570710</f>
        <v>208688200</v>
      </c>
      <c r="G7" s="122">
        <f>91562414+4740000+2452125+103400+1263600-340425+513114+334626+416917+565152</f>
        <v>101610923</v>
      </c>
      <c r="H7" s="122">
        <f>169355757+3215520+639450-330000-1461600+2756937+1035000-976500+1125000-1245375+216700+1690500+7803952+304762+1666667+377922+2160000+6060606+9-9</f>
        <v>194395298</v>
      </c>
      <c r="I7" s="122">
        <f>2802000+11931088+1980314+1800000-775591+300000+241500+1000000+805087+2415261+3-3</f>
        <v>22499659</v>
      </c>
      <c r="J7" s="619">
        <f>SUM(F7:I7)</f>
        <v>527194080</v>
      </c>
      <c r="K7" s="513"/>
    </row>
    <row r="8" spans="1:11" ht="13.5" customHeight="1">
      <c r="A8" s="135" t="s">
        <v>3</v>
      </c>
      <c r="B8" s="985" t="s">
        <v>4</v>
      </c>
      <c r="C8" s="985"/>
      <c r="D8" s="985"/>
      <c r="E8" s="985"/>
      <c r="F8" s="122">
        <f>8083672+323170+1060123+164430+143206+3938+4793101+38963+927500+1409909+445130+4900455+3773040+5197+236250+196875+2029806+969525+1155+875000+208449+536159+387500+52174-45939+311347+44564+81181+3163+492+110+428040+37432+2543643-64622+50000-334800+18716+2-2+44233</f>
        <v>34682287</v>
      </c>
      <c r="G8" s="122">
        <f>16696818+829500+429122+18095+221130-59575-513114+64622+87598</f>
        <v>17774196</v>
      </c>
      <c r="H8" s="122">
        <f>33361183+562716+111904-57750-255780+482464+181125-170887+196875-217940+37923+262078+1209613+47238+258333+58578+334800+939394-54+3-3</f>
        <v>37341813</v>
      </c>
      <c r="I8" s="122">
        <f>490350+2122958+964502+315000-377745+13166+367133+37432+175000+124788+374364+1-1</f>
        <v>4606948</v>
      </c>
      <c r="J8" s="619">
        <f aca="true" t="shared" si="0" ref="J8:J72">SUM(F8:I8)</f>
        <v>94405244</v>
      </c>
      <c r="K8" s="513"/>
    </row>
    <row r="9" spans="1:11" ht="12" customHeight="1">
      <c r="A9" s="135" t="s">
        <v>5</v>
      </c>
      <c r="B9" s="985" t="s">
        <v>6</v>
      </c>
      <c r="C9" s="985"/>
      <c r="D9" s="985"/>
      <c r="E9" s="985"/>
      <c r="F9" s="122">
        <f>15275133+40527704+52070+15377340+5249710+4571244+3416864+9798424+4276480+1377000+640554+4667808+416194+24094440+2640000+14028933+360000+27644450+120000+2949420+1830220+73660+5902169+2242300+57876511+11650000+1812600+17254444+2600000+22523810+8285000-54000-254000+500000+1500000+1310301+4441343+600000+1275000+13881090+60657486+18063936+308085+16823647+17596440+175000+92377+6500+1143000+9534431+33191447+558233+4615000+726390+55552-519024-13077629-10911298+200000+401078+382588+349267+1505094+414268+951095+265050+61586+31383+30000+2513+267157-18954243+73560+36836+328388+31750+710550+306250+1012863-726390+366000+13208+12040142+57150+21844+123000+40000-3000-436880+998220-20000+229808-1500000+17500-7292340-3261523+1500000+4600000+7744917+61267-27230</f>
        <v>474726515</v>
      </c>
      <c r="G9" s="122">
        <f>26913440+2000-200000-130000-81892</f>
        <v>26503548</v>
      </c>
      <c r="H9" s="122">
        <f>56130277-781083+2114762-47925+10500000+550024+348851+31954+544626+40591+14000-14000+355000+495000+300000</f>
        <v>70582077</v>
      </c>
      <c r="I9" s="122">
        <f>1082115+290700+14446890+7003586+3527681-317500+144779-2575544-800000-13166+2954117-1175000-21844-8000+8000-500000</f>
        <v>24046814</v>
      </c>
      <c r="J9" s="619">
        <f t="shared" si="0"/>
        <v>595858954</v>
      </c>
      <c r="K9" s="513"/>
    </row>
    <row r="10" spans="1:11" ht="12.75">
      <c r="A10" s="135" t="s">
        <v>8</v>
      </c>
      <c r="B10" s="985" t="s">
        <v>9</v>
      </c>
      <c r="C10" s="985"/>
      <c r="D10" s="985"/>
      <c r="E10" s="985"/>
      <c r="F10" s="122">
        <f>SUM(F11,F12,F15:F20)</f>
        <v>11104900</v>
      </c>
      <c r="G10" s="122">
        <f>SUM(G11,G12,G15:G20)</f>
        <v>0</v>
      </c>
      <c r="H10" s="122">
        <f>SUM(H11,H12,H15:H20)</f>
        <v>0</v>
      </c>
      <c r="I10" s="122">
        <f>SUM(I11,I12,I15:I20)</f>
        <v>0</v>
      </c>
      <c r="J10" s="619">
        <f t="shared" si="0"/>
        <v>11104900</v>
      </c>
      <c r="K10" s="513"/>
    </row>
    <row r="11" spans="1:11" ht="12.75">
      <c r="A11" s="118"/>
      <c r="B11" s="118" t="s">
        <v>10</v>
      </c>
      <c r="C11" s="968" t="s">
        <v>11</v>
      </c>
      <c r="D11" s="970"/>
      <c r="E11" s="969"/>
      <c r="F11" s="121">
        <v>0</v>
      </c>
      <c r="G11" s="121">
        <v>0</v>
      </c>
      <c r="H11" s="121">
        <v>0</v>
      </c>
      <c r="I11" s="121">
        <v>0</v>
      </c>
      <c r="J11" s="122">
        <f t="shared" si="0"/>
        <v>0</v>
      </c>
      <c r="K11" s="513"/>
    </row>
    <row r="12" spans="1:11" ht="12.75">
      <c r="A12" s="118"/>
      <c r="B12" s="118" t="s">
        <v>12</v>
      </c>
      <c r="C12" s="971" t="s">
        <v>13</v>
      </c>
      <c r="D12" s="971"/>
      <c r="E12" s="971"/>
      <c r="F12" s="121">
        <f>SUM(F13:F14)</f>
        <v>0</v>
      </c>
      <c r="G12" s="121">
        <f>SUM(G13:G14)</f>
        <v>0</v>
      </c>
      <c r="H12" s="121">
        <f>SUM(H13:H14)</f>
        <v>0</v>
      </c>
      <c r="I12" s="121">
        <f>SUM(I13:I14)</f>
        <v>0</v>
      </c>
      <c r="J12" s="122">
        <f t="shared" si="0"/>
        <v>0</v>
      </c>
      <c r="K12" s="513"/>
    </row>
    <row r="13" spans="1:11" ht="23.25" customHeight="1" hidden="1">
      <c r="A13" s="124"/>
      <c r="B13" s="118"/>
      <c r="C13" s="124"/>
      <c r="D13" s="966" t="s">
        <v>582</v>
      </c>
      <c r="E13" s="967"/>
      <c r="F13" s="125">
        <v>0</v>
      </c>
      <c r="G13" s="125"/>
      <c r="H13" s="125">
        <v>0</v>
      </c>
      <c r="I13" s="125">
        <v>0</v>
      </c>
      <c r="J13" s="136">
        <f t="shared" si="0"/>
        <v>0</v>
      </c>
      <c r="K13" s="513"/>
    </row>
    <row r="14" spans="1:11" ht="22.5" customHeight="1" hidden="1">
      <c r="A14" s="124"/>
      <c r="B14" s="118"/>
      <c r="C14" s="124"/>
      <c r="D14" s="986" t="s">
        <v>583</v>
      </c>
      <c r="E14" s="987"/>
      <c r="F14" s="125">
        <v>0</v>
      </c>
      <c r="G14" s="125">
        <v>0</v>
      </c>
      <c r="H14" s="125">
        <v>0</v>
      </c>
      <c r="I14" s="125">
        <v>0</v>
      </c>
      <c r="J14" s="136">
        <f t="shared" si="0"/>
        <v>0</v>
      </c>
      <c r="K14" s="513"/>
    </row>
    <row r="15" spans="1:11" ht="12.75">
      <c r="A15" s="118"/>
      <c r="B15" s="118" t="s">
        <v>117</v>
      </c>
      <c r="C15" s="971" t="s">
        <v>118</v>
      </c>
      <c r="D15" s="971"/>
      <c r="E15" s="971"/>
      <c r="F15" s="121">
        <v>0</v>
      </c>
      <c r="G15" s="121">
        <v>0</v>
      </c>
      <c r="H15" s="121">
        <v>0</v>
      </c>
      <c r="I15" s="121">
        <v>0</v>
      </c>
      <c r="J15" s="136">
        <f t="shared" si="0"/>
        <v>0</v>
      </c>
      <c r="K15" s="513"/>
    </row>
    <row r="16" spans="1:11" ht="12" customHeight="1">
      <c r="A16" s="118"/>
      <c r="B16" s="118" t="s">
        <v>119</v>
      </c>
      <c r="C16" s="968" t="s">
        <v>120</v>
      </c>
      <c r="D16" s="970"/>
      <c r="E16" s="969"/>
      <c r="F16" s="121">
        <f aca="true" t="shared" si="1" ref="F16:I17">SUM(F17:F18)</f>
        <v>0</v>
      </c>
      <c r="G16" s="121">
        <f t="shared" si="1"/>
        <v>0</v>
      </c>
      <c r="H16" s="121">
        <f t="shared" si="1"/>
        <v>0</v>
      </c>
      <c r="I16" s="121">
        <f t="shared" si="1"/>
        <v>0</v>
      </c>
      <c r="J16" s="136">
        <f t="shared" si="0"/>
        <v>0</v>
      </c>
      <c r="K16" s="513"/>
    </row>
    <row r="17" spans="1:11" ht="13.5" customHeight="1">
      <c r="A17" s="124"/>
      <c r="B17" s="118" t="s">
        <v>121</v>
      </c>
      <c r="C17" s="118" t="s">
        <v>122</v>
      </c>
      <c r="D17" s="119"/>
      <c r="E17" s="120"/>
      <c r="F17" s="121">
        <f t="shared" si="1"/>
        <v>0</v>
      </c>
      <c r="G17" s="121">
        <f t="shared" si="1"/>
        <v>0</v>
      </c>
      <c r="H17" s="121">
        <f t="shared" si="1"/>
        <v>0</v>
      </c>
      <c r="I17" s="121">
        <f t="shared" si="1"/>
        <v>0</v>
      </c>
      <c r="J17" s="136">
        <f t="shared" si="0"/>
        <v>0</v>
      </c>
      <c r="K17" s="513"/>
    </row>
    <row r="18" spans="1:11" ht="12.75">
      <c r="A18" s="118"/>
      <c r="B18" s="118" t="s">
        <v>123</v>
      </c>
      <c r="C18" s="968" t="s">
        <v>124</v>
      </c>
      <c r="D18" s="970"/>
      <c r="E18" s="969"/>
      <c r="F18" s="121">
        <f>SUM(F19)</f>
        <v>0</v>
      </c>
      <c r="G18" s="121">
        <f>SUM(G19)</f>
        <v>0</v>
      </c>
      <c r="H18" s="121">
        <f>SUM(H19)</f>
        <v>0</v>
      </c>
      <c r="I18" s="121">
        <f>SUM(I19)</f>
        <v>0</v>
      </c>
      <c r="J18" s="136">
        <f t="shared" si="0"/>
        <v>0</v>
      </c>
      <c r="K18" s="513"/>
    </row>
    <row r="19" spans="1:11" ht="12.75">
      <c r="A19" s="118"/>
      <c r="B19" s="118" t="s">
        <v>125</v>
      </c>
      <c r="C19" s="971" t="s">
        <v>14</v>
      </c>
      <c r="D19" s="971"/>
      <c r="E19" s="971"/>
      <c r="F19" s="121">
        <v>0</v>
      </c>
      <c r="G19" s="121">
        <v>0</v>
      </c>
      <c r="H19" s="121">
        <v>0</v>
      </c>
      <c r="I19" s="121">
        <v>0</v>
      </c>
      <c r="J19" s="136">
        <f t="shared" si="0"/>
        <v>0</v>
      </c>
      <c r="K19" s="513"/>
    </row>
    <row r="20" spans="1:11" ht="12.75">
      <c r="A20" s="118"/>
      <c r="B20" s="118" t="s">
        <v>126</v>
      </c>
      <c r="C20" s="968" t="s">
        <v>127</v>
      </c>
      <c r="D20" s="970"/>
      <c r="E20" s="969"/>
      <c r="F20" s="121">
        <f>SUM(F21:F22)</f>
        <v>11104900</v>
      </c>
      <c r="G20" s="121">
        <f>SUM(G21:G22)</f>
        <v>0</v>
      </c>
      <c r="H20" s="121">
        <f>SUM(H21:H22)</f>
        <v>0</v>
      </c>
      <c r="I20" s="121">
        <f>SUM(I21:I22)</f>
        <v>0</v>
      </c>
      <c r="J20" s="136">
        <f t="shared" si="0"/>
        <v>11104900</v>
      </c>
      <c r="K20" s="513"/>
    </row>
    <row r="21" spans="1:11" ht="12.75">
      <c r="A21" s="124"/>
      <c r="B21" s="124"/>
      <c r="C21" s="124"/>
      <c r="D21" s="968" t="s">
        <v>547</v>
      </c>
      <c r="E21" s="969"/>
      <c r="F21" s="125">
        <f>1500000+7300000</f>
        <v>8800000</v>
      </c>
      <c r="G21" s="125">
        <v>0</v>
      </c>
      <c r="H21" s="125">
        <v>0</v>
      </c>
      <c r="I21" s="125">
        <v>0</v>
      </c>
      <c r="J21" s="136">
        <f t="shared" si="0"/>
        <v>8800000</v>
      </c>
      <c r="K21" s="513"/>
    </row>
    <row r="22" spans="1:11" s="126" customFormat="1" ht="12.75">
      <c r="A22" s="124"/>
      <c r="B22" s="124"/>
      <c r="C22" s="124"/>
      <c r="D22" s="968" t="s">
        <v>546</v>
      </c>
      <c r="E22" s="969"/>
      <c r="F22" s="125">
        <v>2304900</v>
      </c>
      <c r="G22" s="125">
        <v>0</v>
      </c>
      <c r="H22" s="125">
        <v>0</v>
      </c>
      <c r="I22" s="125">
        <v>0</v>
      </c>
      <c r="J22" s="136">
        <f t="shared" si="0"/>
        <v>2304900</v>
      </c>
      <c r="K22" s="513"/>
    </row>
    <row r="23" spans="1:11" ht="12" customHeight="1">
      <c r="A23" s="135" t="s">
        <v>128</v>
      </c>
      <c r="B23" s="972" t="s">
        <v>129</v>
      </c>
      <c r="C23" s="973"/>
      <c r="D23" s="973"/>
      <c r="E23" s="974"/>
      <c r="F23" s="122">
        <f>SUM(F57+F46+F45+F43+F42+F41+F40+F29+F28+F27+F26+F24+F25)</f>
        <v>193489644</v>
      </c>
      <c r="G23" s="122">
        <f>SUM(G57+G46+G43+G42+G41+G40+G29+G28+G27+G26+G24+G25)</f>
        <v>0</v>
      </c>
      <c r="H23" s="122">
        <f>SUM(H57+H46+H43+H42+H41+H40+H29+H28+H27+H26+H24+H25)</f>
        <v>0</v>
      </c>
      <c r="I23" s="122">
        <f>SUM(I57+I46+I43+I42+I41+I40+I29+I28+I27+I26+I24+I25)</f>
        <v>0</v>
      </c>
      <c r="J23" s="619">
        <f t="shared" si="0"/>
        <v>193489644</v>
      </c>
      <c r="K23" s="513"/>
    </row>
    <row r="24" spans="1:11" ht="6" customHeight="1" hidden="1">
      <c r="A24" s="124"/>
      <c r="B24" s="124"/>
      <c r="C24" s="124" t="s">
        <v>130</v>
      </c>
      <c r="D24" s="124" t="s">
        <v>131</v>
      </c>
      <c r="E24" s="124"/>
      <c r="F24" s="125">
        <v>0</v>
      </c>
      <c r="G24" s="125">
        <v>0</v>
      </c>
      <c r="H24" s="125">
        <v>0</v>
      </c>
      <c r="I24" s="125">
        <v>0</v>
      </c>
      <c r="J24" s="136">
        <f t="shared" si="0"/>
        <v>0</v>
      </c>
      <c r="K24" s="514"/>
    </row>
    <row r="25" spans="1:11" ht="15" customHeight="1">
      <c r="A25" s="124"/>
      <c r="B25" s="124"/>
      <c r="C25" s="124" t="s">
        <v>132</v>
      </c>
      <c r="D25" s="124" t="s">
        <v>133</v>
      </c>
      <c r="E25" s="124"/>
      <c r="F25" s="125">
        <f>36263474</f>
        <v>36263474</v>
      </c>
      <c r="G25" s="125">
        <v>0</v>
      </c>
      <c r="H25" s="125">
        <v>0</v>
      </c>
      <c r="I25" s="125">
        <v>0</v>
      </c>
      <c r="J25" s="136">
        <f t="shared" si="0"/>
        <v>36263474</v>
      </c>
      <c r="K25" s="514"/>
    </row>
    <row r="26" spans="1:11" ht="12.75" hidden="1">
      <c r="A26" s="124"/>
      <c r="B26" s="124"/>
      <c r="C26" s="124" t="s">
        <v>134</v>
      </c>
      <c r="D26" s="975" t="s">
        <v>135</v>
      </c>
      <c r="E26" s="976"/>
      <c r="F26" s="125">
        <v>0</v>
      </c>
      <c r="G26" s="125">
        <v>0</v>
      </c>
      <c r="H26" s="125">
        <v>0</v>
      </c>
      <c r="I26" s="125">
        <v>0</v>
      </c>
      <c r="J26" s="136">
        <f t="shared" si="0"/>
        <v>0</v>
      </c>
      <c r="K26" s="514"/>
    </row>
    <row r="27" spans="1:11" ht="12.75" hidden="1">
      <c r="A27" s="124"/>
      <c r="B27" s="124"/>
      <c r="C27" s="124" t="s">
        <v>136</v>
      </c>
      <c r="D27" s="975" t="s">
        <v>137</v>
      </c>
      <c r="E27" s="976"/>
      <c r="F27" s="125">
        <v>0</v>
      </c>
      <c r="G27" s="125">
        <v>0</v>
      </c>
      <c r="H27" s="125">
        <v>0</v>
      </c>
      <c r="I27" s="125">
        <v>0</v>
      </c>
      <c r="J27" s="136">
        <f t="shared" si="0"/>
        <v>0</v>
      </c>
      <c r="K27" s="514"/>
    </row>
    <row r="28" spans="1:11" ht="12.75" hidden="1">
      <c r="A28" s="124"/>
      <c r="B28" s="124"/>
      <c r="C28" s="124" t="s">
        <v>158</v>
      </c>
      <c r="D28" s="975" t="s">
        <v>159</v>
      </c>
      <c r="E28" s="976"/>
      <c r="F28" s="125">
        <v>0</v>
      </c>
      <c r="G28" s="125">
        <v>0</v>
      </c>
      <c r="H28" s="125">
        <v>0</v>
      </c>
      <c r="I28" s="125">
        <v>0</v>
      </c>
      <c r="J28" s="136">
        <f t="shared" si="0"/>
        <v>0</v>
      </c>
      <c r="K28" s="514"/>
    </row>
    <row r="29" spans="1:11" ht="12.75" hidden="1">
      <c r="A29" s="124"/>
      <c r="B29" s="124"/>
      <c r="C29" s="124" t="s">
        <v>160</v>
      </c>
      <c r="D29" s="975" t="s">
        <v>161</v>
      </c>
      <c r="E29" s="976"/>
      <c r="F29" s="125">
        <f>SUM(F30:F39)</f>
        <v>0</v>
      </c>
      <c r="G29" s="125">
        <f>SUM(G30:G39)</f>
        <v>0</v>
      </c>
      <c r="H29" s="125">
        <f>SUM(H30:H39)</f>
        <v>0</v>
      </c>
      <c r="I29" s="125">
        <f>SUM(I30:I39)</f>
        <v>0</v>
      </c>
      <c r="J29" s="136">
        <f t="shared" si="0"/>
        <v>0</v>
      </c>
      <c r="K29" s="514"/>
    </row>
    <row r="30" spans="1:11" ht="12.75" hidden="1">
      <c r="A30" s="137"/>
      <c r="B30" s="137"/>
      <c r="C30" s="138" t="s">
        <v>2</v>
      </c>
      <c r="D30" s="138" t="s">
        <v>138</v>
      </c>
      <c r="E30" s="138" t="s">
        <v>139</v>
      </c>
      <c r="F30" s="139">
        <v>0</v>
      </c>
      <c r="G30" s="139">
        <v>0</v>
      </c>
      <c r="H30" s="139">
        <v>0</v>
      </c>
      <c r="I30" s="139">
        <v>0</v>
      </c>
      <c r="J30" s="136">
        <f t="shared" si="0"/>
        <v>0</v>
      </c>
      <c r="K30" s="514"/>
    </row>
    <row r="31" spans="1:11" ht="12.75" hidden="1">
      <c r="A31" s="137"/>
      <c r="B31" s="137"/>
      <c r="C31" s="138"/>
      <c r="D31" s="138" t="s">
        <v>140</v>
      </c>
      <c r="E31" s="138" t="s">
        <v>141</v>
      </c>
      <c r="F31" s="139">
        <v>0</v>
      </c>
      <c r="G31" s="139">
        <v>0</v>
      </c>
      <c r="H31" s="139">
        <v>0</v>
      </c>
      <c r="I31" s="139">
        <v>0</v>
      </c>
      <c r="J31" s="136">
        <f t="shared" si="0"/>
        <v>0</v>
      </c>
      <c r="K31" s="514"/>
    </row>
    <row r="32" spans="1:11" ht="12.75" hidden="1">
      <c r="A32" s="137"/>
      <c r="B32" s="137"/>
      <c r="C32" s="138"/>
      <c r="D32" s="138" t="s">
        <v>142</v>
      </c>
      <c r="E32" s="138" t="s">
        <v>143</v>
      </c>
      <c r="F32" s="139">
        <v>0</v>
      </c>
      <c r="G32" s="139">
        <v>0</v>
      </c>
      <c r="H32" s="139">
        <v>0</v>
      </c>
      <c r="I32" s="139">
        <v>0</v>
      </c>
      <c r="J32" s="136">
        <f t="shared" si="0"/>
        <v>0</v>
      </c>
      <c r="K32" s="514"/>
    </row>
    <row r="33" spans="1:11" ht="12.75" hidden="1">
      <c r="A33" s="137"/>
      <c r="B33" s="137"/>
      <c r="C33" s="138"/>
      <c r="D33" s="138" t="s">
        <v>144</v>
      </c>
      <c r="E33" s="138" t="s">
        <v>145</v>
      </c>
      <c r="F33" s="139">
        <v>0</v>
      </c>
      <c r="G33" s="139">
        <v>0</v>
      </c>
      <c r="H33" s="139">
        <v>0</v>
      </c>
      <c r="I33" s="139">
        <v>0</v>
      </c>
      <c r="J33" s="136">
        <f t="shared" si="0"/>
        <v>0</v>
      </c>
      <c r="K33" s="514"/>
    </row>
    <row r="34" spans="1:11" ht="12.75" hidden="1">
      <c r="A34" s="137"/>
      <c r="B34" s="137"/>
      <c r="C34" s="138"/>
      <c r="D34" s="138" t="s">
        <v>146</v>
      </c>
      <c r="E34" s="138" t="s">
        <v>147</v>
      </c>
      <c r="F34" s="139">
        <v>0</v>
      </c>
      <c r="G34" s="139">
        <v>0</v>
      </c>
      <c r="H34" s="139">
        <v>0</v>
      </c>
      <c r="I34" s="139">
        <v>0</v>
      </c>
      <c r="J34" s="136">
        <f t="shared" si="0"/>
        <v>0</v>
      </c>
      <c r="K34" s="514"/>
    </row>
    <row r="35" spans="1:11" ht="12.75" hidden="1">
      <c r="A35" s="137"/>
      <c r="B35" s="137"/>
      <c r="C35" s="138"/>
      <c r="D35" s="138" t="s">
        <v>148</v>
      </c>
      <c r="E35" s="138" t="s">
        <v>149</v>
      </c>
      <c r="F35" s="139">
        <v>0</v>
      </c>
      <c r="G35" s="139">
        <v>0</v>
      </c>
      <c r="H35" s="139">
        <v>0</v>
      </c>
      <c r="I35" s="139">
        <v>0</v>
      </c>
      <c r="J35" s="136">
        <f t="shared" si="0"/>
        <v>0</v>
      </c>
      <c r="K35" s="514"/>
    </row>
    <row r="36" spans="1:11" ht="0.75" customHeight="1" hidden="1">
      <c r="A36" s="137"/>
      <c r="B36" s="137"/>
      <c r="C36" s="138"/>
      <c r="D36" s="138" t="s">
        <v>150</v>
      </c>
      <c r="E36" s="138" t="s">
        <v>151</v>
      </c>
      <c r="F36" s="139">
        <v>0</v>
      </c>
      <c r="G36" s="139">
        <v>0</v>
      </c>
      <c r="H36" s="139">
        <v>0</v>
      </c>
      <c r="I36" s="139">
        <v>0</v>
      </c>
      <c r="J36" s="136">
        <f t="shared" si="0"/>
        <v>0</v>
      </c>
      <c r="K36" s="514"/>
    </row>
    <row r="37" spans="1:11" ht="12.75" hidden="1">
      <c r="A37" s="137"/>
      <c r="B37" s="137"/>
      <c r="C37" s="138"/>
      <c r="D37" s="138" t="s">
        <v>152</v>
      </c>
      <c r="E37" s="138" t="s">
        <v>153</v>
      </c>
      <c r="F37" s="139">
        <v>0</v>
      </c>
      <c r="G37" s="139">
        <v>0</v>
      </c>
      <c r="H37" s="139">
        <v>0</v>
      </c>
      <c r="I37" s="139">
        <v>0</v>
      </c>
      <c r="J37" s="136">
        <f t="shared" si="0"/>
        <v>0</v>
      </c>
      <c r="K37" s="514"/>
    </row>
    <row r="38" spans="1:11" ht="12.75" hidden="1">
      <c r="A38" s="137"/>
      <c r="B38" s="137"/>
      <c r="C38" s="138"/>
      <c r="D38" s="138" t="s">
        <v>154</v>
      </c>
      <c r="E38" s="138" t="s">
        <v>155</v>
      </c>
      <c r="F38" s="139">
        <v>0</v>
      </c>
      <c r="G38" s="139">
        <v>0</v>
      </c>
      <c r="H38" s="139">
        <v>0</v>
      </c>
      <c r="I38" s="139">
        <v>0</v>
      </c>
      <c r="J38" s="136">
        <f t="shared" si="0"/>
        <v>0</v>
      </c>
      <c r="K38" s="514"/>
    </row>
    <row r="39" spans="1:11" ht="12.75" hidden="1">
      <c r="A39" s="137"/>
      <c r="B39" s="137"/>
      <c r="C39" s="138"/>
      <c r="D39" s="138" t="s">
        <v>156</v>
      </c>
      <c r="E39" s="138" t="s">
        <v>157</v>
      </c>
      <c r="F39" s="139">
        <v>0</v>
      </c>
      <c r="G39" s="139">
        <v>0</v>
      </c>
      <c r="H39" s="139">
        <v>0</v>
      </c>
      <c r="I39" s="139">
        <v>0</v>
      </c>
      <c r="J39" s="136">
        <f t="shared" si="0"/>
        <v>0</v>
      </c>
      <c r="K39" s="514"/>
    </row>
    <row r="40" spans="1:11" ht="12.75" hidden="1">
      <c r="A40" s="124"/>
      <c r="B40" s="124"/>
      <c r="C40" s="124" t="s">
        <v>162</v>
      </c>
      <c r="D40" s="975" t="s">
        <v>163</v>
      </c>
      <c r="E40" s="976"/>
      <c r="F40" s="125">
        <v>0</v>
      </c>
      <c r="G40" s="125">
        <v>0</v>
      </c>
      <c r="H40" s="125">
        <v>0</v>
      </c>
      <c r="I40" s="125">
        <v>0</v>
      </c>
      <c r="J40" s="136">
        <f t="shared" si="0"/>
        <v>0</v>
      </c>
      <c r="K40" s="514"/>
    </row>
    <row r="41" spans="1:11" ht="12.75" hidden="1">
      <c r="A41" s="124"/>
      <c r="B41" s="124"/>
      <c r="C41" s="124" t="s">
        <v>164</v>
      </c>
      <c r="D41" s="975" t="s">
        <v>483</v>
      </c>
      <c r="E41" s="976"/>
      <c r="F41" s="125">
        <v>0</v>
      </c>
      <c r="G41" s="125">
        <v>0</v>
      </c>
      <c r="H41" s="125">
        <v>0</v>
      </c>
      <c r="I41" s="125">
        <v>0</v>
      </c>
      <c r="J41" s="136">
        <f t="shared" si="0"/>
        <v>0</v>
      </c>
      <c r="K41" s="514"/>
    </row>
    <row r="42" spans="1:11" ht="12.75" hidden="1">
      <c r="A42" s="124"/>
      <c r="B42" s="124"/>
      <c r="C42" s="124" t="s">
        <v>175</v>
      </c>
      <c r="D42" s="975" t="s">
        <v>176</v>
      </c>
      <c r="E42" s="976"/>
      <c r="F42" s="125">
        <v>0</v>
      </c>
      <c r="G42" s="125">
        <v>0</v>
      </c>
      <c r="H42" s="125">
        <v>0</v>
      </c>
      <c r="I42" s="125">
        <v>0</v>
      </c>
      <c r="J42" s="136">
        <f t="shared" si="0"/>
        <v>0</v>
      </c>
      <c r="K42" s="514"/>
    </row>
    <row r="43" spans="1:11" ht="12.75" hidden="1">
      <c r="A43" s="124"/>
      <c r="B43" s="124"/>
      <c r="C43" s="124" t="s">
        <v>177</v>
      </c>
      <c r="D43" s="975" t="s">
        <v>178</v>
      </c>
      <c r="E43" s="976"/>
      <c r="F43" s="125">
        <v>0</v>
      </c>
      <c r="G43" s="125">
        <v>0</v>
      </c>
      <c r="H43" s="125">
        <v>0</v>
      </c>
      <c r="I43" s="125">
        <v>0</v>
      </c>
      <c r="J43" s="136">
        <f t="shared" si="0"/>
        <v>0</v>
      </c>
      <c r="K43" s="514"/>
    </row>
    <row r="44" spans="1:11" ht="12.75" hidden="1">
      <c r="A44" s="124"/>
      <c r="B44" s="124"/>
      <c r="C44" s="124" t="s">
        <v>179</v>
      </c>
      <c r="D44" s="975" t="s">
        <v>524</v>
      </c>
      <c r="E44" s="976"/>
      <c r="F44" s="125">
        <v>0</v>
      </c>
      <c r="G44" s="125">
        <v>0</v>
      </c>
      <c r="H44" s="125">
        <v>0</v>
      </c>
      <c r="I44" s="125">
        <v>0</v>
      </c>
      <c r="J44" s="136">
        <f t="shared" si="0"/>
        <v>0</v>
      </c>
      <c r="K44" s="514"/>
    </row>
    <row r="45" spans="1:11" ht="12.75">
      <c r="A45" s="124"/>
      <c r="B45" s="124"/>
      <c r="C45" s="124" t="s">
        <v>160</v>
      </c>
      <c r="D45" s="966" t="s">
        <v>721</v>
      </c>
      <c r="E45" s="967"/>
      <c r="F45" s="125">
        <f>100000+15000+15000-100000-15000+115000</f>
        <v>130000</v>
      </c>
      <c r="G45" s="125">
        <v>0</v>
      </c>
      <c r="H45" s="125">
        <v>0</v>
      </c>
      <c r="I45" s="125">
        <v>0</v>
      </c>
      <c r="J45" s="136">
        <f t="shared" si="0"/>
        <v>130000</v>
      </c>
      <c r="K45" s="514"/>
    </row>
    <row r="46" spans="1:11" ht="12.75">
      <c r="A46" s="124"/>
      <c r="B46" s="124"/>
      <c r="C46" s="124" t="s">
        <v>181</v>
      </c>
      <c r="D46" s="966" t="s">
        <v>180</v>
      </c>
      <c r="E46" s="967"/>
      <c r="F46" s="125">
        <f>22297000+42084000+12311385+32277000+14018000+16949000+10000000+2032000+2286000-70000-4779000-1444000-6364000-3280000+2626200-1016000-1143000+2307500-3606983+2324200</f>
        <v>139809302</v>
      </c>
      <c r="G46" s="125">
        <f>SUM(G47:G56)</f>
        <v>0</v>
      </c>
      <c r="H46" s="125">
        <f>SUM(H47:H56)</f>
        <v>0</v>
      </c>
      <c r="I46" s="125">
        <f>SUM(I47:I56)</f>
        <v>0</v>
      </c>
      <c r="J46" s="136">
        <f t="shared" si="0"/>
        <v>139809302</v>
      </c>
      <c r="K46" s="514"/>
    </row>
    <row r="47" spans="1:11" ht="12.75" hidden="1">
      <c r="A47" s="140"/>
      <c r="B47" s="140"/>
      <c r="C47" s="138" t="s">
        <v>2</v>
      </c>
      <c r="D47" s="188" t="s">
        <v>138</v>
      </c>
      <c r="E47" s="188" t="s">
        <v>165</v>
      </c>
      <c r="F47" s="139">
        <v>0</v>
      </c>
      <c r="G47" s="139">
        <v>0</v>
      </c>
      <c r="H47" s="139">
        <v>0</v>
      </c>
      <c r="I47" s="139">
        <v>0</v>
      </c>
      <c r="J47" s="136">
        <f t="shared" si="0"/>
        <v>0</v>
      </c>
      <c r="K47" s="514"/>
    </row>
    <row r="48" spans="1:11" ht="12.75" hidden="1">
      <c r="A48" s="140"/>
      <c r="B48" s="140"/>
      <c r="C48" s="138"/>
      <c r="D48" s="188" t="s">
        <v>140</v>
      </c>
      <c r="E48" s="188" t="s">
        <v>521</v>
      </c>
      <c r="F48" s="139">
        <v>0</v>
      </c>
      <c r="G48" s="139"/>
      <c r="H48" s="139"/>
      <c r="I48" s="139"/>
      <c r="J48" s="136">
        <f t="shared" si="0"/>
        <v>0</v>
      </c>
      <c r="K48" s="514"/>
    </row>
    <row r="49" spans="1:11" ht="12.75" hidden="1">
      <c r="A49" s="140"/>
      <c r="B49" s="140"/>
      <c r="C49" s="138"/>
      <c r="D49" s="188" t="s">
        <v>142</v>
      </c>
      <c r="E49" s="188" t="s">
        <v>166</v>
      </c>
      <c r="F49" s="139">
        <f>100000</f>
        <v>100000</v>
      </c>
      <c r="G49" s="139">
        <v>0</v>
      </c>
      <c r="H49" s="139">
        <v>0</v>
      </c>
      <c r="I49" s="139">
        <v>0</v>
      </c>
      <c r="J49" s="136">
        <f t="shared" si="0"/>
        <v>100000</v>
      </c>
      <c r="K49" s="514"/>
    </row>
    <row r="50" spans="1:11" ht="12.75" hidden="1">
      <c r="A50" s="140"/>
      <c r="B50" s="140"/>
      <c r="C50" s="138"/>
      <c r="D50" s="188" t="s">
        <v>144</v>
      </c>
      <c r="E50" s="188" t="s">
        <v>167</v>
      </c>
      <c r="F50" s="139">
        <v>0</v>
      </c>
      <c r="G50" s="139">
        <v>0</v>
      </c>
      <c r="H50" s="139">
        <v>0</v>
      </c>
      <c r="I50" s="139">
        <v>0</v>
      </c>
      <c r="J50" s="136">
        <f t="shared" si="0"/>
        <v>0</v>
      </c>
      <c r="K50" s="514"/>
    </row>
    <row r="51" spans="1:11" ht="12.75" hidden="1">
      <c r="A51" s="140"/>
      <c r="B51" s="140"/>
      <c r="C51" s="138"/>
      <c r="D51" s="188" t="s">
        <v>146</v>
      </c>
      <c r="E51" s="188" t="s">
        <v>168</v>
      </c>
      <c r="F51" s="139">
        <v>0</v>
      </c>
      <c r="G51" s="139">
        <v>0</v>
      </c>
      <c r="H51" s="139">
        <v>0</v>
      </c>
      <c r="I51" s="139">
        <v>0</v>
      </c>
      <c r="J51" s="136">
        <f t="shared" si="0"/>
        <v>0</v>
      </c>
      <c r="K51" s="514"/>
    </row>
    <row r="52" spans="1:11" ht="12.75" hidden="1">
      <c r="A52" s="140"/>
      <c r="B52" s="140"/>
      <c r="C52" s="138"/>
      <c r="D52" s="188" t="s">
        <v>148</v>
      </c>
      <c r="E52" s="188" t="s">
        <v>169</v>
      </c>
      <c r="F52" s="139">
        <v>0</v>
      </c>
      <c r="G52" s="139">
        <v>0</v>
      </c>
      <c r="H52" s="139">
        <v>0</v>
      </c>
      <c r="I52" s="139">
        <v>0</v>
      </c>
      <c r="J52" s="136">
        <f t="shared" si="0"/>
        <v>0</v>
      </c>
      <c r="K52" s="514"/>
    </row>
    <row r="53" spans="1:11" ht="12.75" hidden="1">
      <c r="A53" s="137"/>
      <c r="B53" s="137"/>
      <c r="C53" s="138"/>
      <c r="D53" s="188" t="s">
        <v>150</v>
      </c>
      <c r="E53" s="188" t="s">
        <v>170</v>
      </c>
      <c r="F53" s="139">
        <f>16916206+43528000+9850000+2500000+32626000+18843000+37833000+1100000+3374212+13435298+6711326+25701000+11294000+3419000+5394000+8971000+5744000-782000-854000-8393000-50329-262038-267633-9876000-2249000-653000-1203000-2187000-868000-8000000-1200000+782000+854000-1607000-1500000</f>
        <v>208924042</v>
      </c>
      <c r="G53" s="139">
        <v>0</v>
      </c>
      <c r="H53" s="139">
        <v>0</v>
      </c>
      <c r="I53" s="139">
        <v>0</v>
      </c>
      <c r="J53" s="136">
        <f t="shared" si="0"/>
        <v>208924042</v>
      </c>
      <c r="K53" s="514"/>
    </row>
    <row r="54" spans="1:11" ht="12.75" hidden="1">
      <c r="A54" s="137"/>
      <c r="B54" s="137"/>
      <c r="C54" s="138"/>
      <c r="D54" s="188" t="s">
        <v>152</v>
      </c>
      <c r="E54" s="188" t="s">
        <v>171</v>
      </c>
      <c r="F54" s="139">
        <f>3224350+35026110</f>
        <v>38250460</v>
      </c>
      <c r="G54" s="139">
        <v>0</v>
      </c>
      <c r="H54" s="139">
        <v>0</v>
      </c>
      <c r="I54" s="139">
        <v>0</v>
      </c>
      <c r="J54" s="136">
        <f t="shared" si="0"/>
        <v>38250460</v>
      </c>
      <c r="K54" s="514"/>
    </row>
    <row r="55" spans="1:11" ht="12.75" hidden="1">
      <c r="A55" s="140"/>
      <c r="B55" s="140"/>
      <c r="C55" s="138"/>
      <c r="D55" s="188" t="s">
        <v>154</v>
      </c>
      <c r="E55" s="188" t="s">
        <v>173</v>
      </c>
      <c r="F55" s="139">
        <v>0</v>
      </c>
      <c r="G55" s="139">
        <v>0</v>
      </c>
      <c r="H55" s="139">
        <v>0</v>
      </c>
      <c r="I55" s="139">
        <v>0</v>
      </c>
      <c r="J55" s="136">
        <f t="shared" si="0"/>
        <v>0</v>
      </c>
      <c r="K55" s="514"/>
    </row>
    <row r="56" spans="1:11" ht="12.75" hidden="1">
      <c r="A56" s="140"/>
      <c r="B56" s="140"/>
      <c r="C56" s="138"/>
      <c r="D56" s="188" t="s">
        <v>156</v>
      </c>
      <c r="E56" s="188" t="s">
        <v>174</v>
      </c>
      <c r="F56" s="139">
        <v>0</v>
      </c>
      <c r="G56" s="139">
        <v>0</v>
      </c>
      <c r="H56" s="139">
        <v>0</v>
      </c>
      <c r="I56" s="139">
        <v>0</v>
      </c>
      <c r="J56" s="136">
        <f t="shared" si="0"/>
        <v>0</v>
      </c>
      <c r="K56" s="514"/>
    </row>
    <row r="57" spans="1:11" ht="12.75">
      <c r="A57" s="140"/>
      <c r="B57" s="140"/>
      <c r="C57" s="124" t="s">
        <v>525</v>
      </c>
      <c r="D57" s="966" t="s">
        <v>182</v>
      </c>
      <c r="E57" s="967"/>
      <c r="F57" s="125">
        <f>SUM(F58:F63)</f>
        <v>17286868</v>
      </c>
      <c r="G57" s="125">
        <f>SUM(G58:G63)</f>
        <v>0</v>
      </c>
      <c r="H57" s="125">
        <f>SUM(H58:H63)</f>
        <v>0</v>
      </c>
      <c r="I57" s="125">
        <f>SUM(I58:I63)</f>
        <v>0</v>
      </c>
      <c r="J57" s="136">
        <f t="shared" si="0"/>
        <v>17286868</v>
      </c>
      <c r="K57" s="514"/>
    </row>
    <row r="58" spans="1:11" ht="12.75" hidden="1">
      <c r="A58" s="137"/>
      <c r="B58" s="137"/>
      <c r="C58" s="141"/>
      <c r="D58" s="142"/>
      <c r="E58" s="143" t="s">
        <v>415</v>
      </c>
      <c r="F58" s="139">
        <f>1000000-1000000</f>
        <v>0</v>
      </c>
      <c r="G58" s="139">
        <v>0</v>
      </c>
      <c r="H58" s="139">
        <v>0</v>
      </c>
      <c r="I58" s="139">
        <v>0</v>
      </c>
      <c r="J58" s="136">
        <f t="shared" si="0"/>
        <v>0</v>
      </c>
      <c r="K58" s="514"/>
    </row>
    <row r="59" spans="1:11" ht="12.75" hidden="1">
      <c r="A59" s="137"/>
      <c r="B59" s="137"/>
      <c r="C59" s="141"/>
      <c r="D59" s="142"/>
      <c r="E59" s="143" t="s">
        <v>439</v>
      </c>
      <c r="F59" s="139">
        <f>1000000-1000000</f>
        <v>0</v>
      </c>
      <c r="G59" s="139">
        <v>0</v>
      </c>
      <c r="H59" s="139">
        <v>0</v>
      </c>
      <c r="I59" s="139">
        <v>0</v>
      </c>
      <c r="J59" s="136">
        <f t="shared" si="0"/>
        <v>0</v>
      </c>
      <c r="K59" s="514"/>
    </row>
    <row r="60" spans="1:11" ht="12.75">
      <c r="A60" s="137"/>
      <c r="B60" s="137"/>
      <c r="C60" s="141" t="s">
        <v>2</v>
      </c>
      <c r="D60" s="142"/>
      <c r="E60" s="143" t="s">
        <v>625</v>
      </c>
      <c r="F60" s="139">
        <f>350000+1841851</f>
        <v>2191851</v>
      </c>
      <c r="G60" s="139">
        <v>0</v>
      </c>
      <c r="H60" s="139">
        <v>0</v>
      </c>
      <c r="I60" s="139">
        <v>0</v>
      </c>
      <c r="J60" s="136">
        <f t="shared" si="0"/>
        <v>2191851</v>
      </c>
      <c r="K60" s="514"/>
    </row>
    <row r="61" spans="1:11" ht="22.5">
      <c r="A61" s="137"/>
      <c r="B61" s="137"/>
      <c r="C61" s="138"/>
      <c r="D61" s="142"/>
      <c r="E61" s="512" t="s">
        <v>776</v>
      </c>
      <c r="F61" s="632">
        <f>200000-160000</f>
        <v>40000</v>
      </c>
      <c r="G61" s="632">
        <v>0</v>
      </c>
      <c r="H61" s="632">
        <v>0</v>
      </c>
      <c r="I61" s="632">
        <v>0</v>
      </c>
      <c r="J61" s="633">
        <f>SUM(F61:I61)</f>
        <v>40000</v>
      </c>
      <c r="K61" s="514"/>
    </row>
    <row r="62" spans="1:11" ht="22.5">
      <c r="A62" s="137"/>
      <c r="B62" s="137"/>
      <c r="C62" s="138"/>
      <c r="D62" s="142"/>
      <c r="E62" s="512" t="s">
        <v>967</v>
      </c>
      <c r="F62" s="632">
        <f>15055017</f>
        <v>15055017</v>
      </c>
      <c r="G62" s="632"/>
      <c r="H62" s="632"/>
      <c r="I62" s="632"/>
      <c r="J62" s="633">
        <f>SUM(F62:I62)</f>
        <v>15055017</v>
      </c>
      <c r="K62" s="514"/>
    </row>
    <row r="63" spans="1:11" ht="12.75" hidden="1">
      <c r="A63" s="137"/>
      <c r="B63" s="137"/>
      <c r="C63" s="138"/>
      <c r="D63" s="142"/>
      <c r="E63" s="512" t="s">
        <v>966</v>
      </c>
      <c r="F63" s="632">
        <f>121735509-9534431-1841851-33191447-2702314-8864634-558233-36263474-4615000-22387266+911000-2197500+5373648-726390-55552+519024+13077629+755546+10911298-15055017-2307500-440857-15000-200000-401078-382588-3610256-510500-7422766</f>
        <v>0</v>
      </c>
      <c r="G63" s="632">
        <v>0</v>
      </c>
      <c r="H63" s="632">
        <v>0</v>
      </c>
      <c r="I63" s="632">
        <v>0</v>
      </c>
      <c r="J63" s="633">
        <f t="shared" si="0"/>
        <v>0</v>
      </c>
      <c r="K63" s="514"/>
    </row>
    <row r="64" spans="1:11" ht="12" customHeight="1">
      <c r="A64" s="135" t="s">
        <v>110</v>
      </c>
      <c r="B64" s="972" t="s">
        <v>357</v>
      </c>
      <c r="C64" s="973"/>
      <c r="D64" s="973"/>
      <c r="E64" s="974"/>
      <c r="F64" s="122">
        <f>452341169+25000000+363120+101682090+187978206+1940000+973100+19510500+3348220+190500+730250+74930+2460790-20000000-1730500+1000000+74295+190500-17780000+400000+100000+6000000+4790554-3817843-13005804+560000+250000+22387266-911000+2197500-5373648-755546+225760-237338-366000+6795254-12040142-57150+79700+436880-998220+20000+1500000-3900000-5000000-1100000-7744917+27230</f>
        <v>748809706</v>
      </c>
      <c r="G64" s="122">
        <f>1934590-1204167+200000+130000+81892</f>
        <v>1142315</v>
      </c>
      <c r="H64" s="122">
        <f>1174115+47925+1130000</f>
        <v>2352040</v>
      </c>
      <c r="I64" s="122">
        <f>304800-177800+800000+700000+145000+500000</f>
        <v>2272000</v>
      </c>
      <c r="J64" s="619">
        <f t="shared" si="0"/>
        <v>754576061</v>
      </c>
      <c r="K64" s="513"/>
    </row>
    <row r="65" spans="1:11" ht="12.75">
      <c r="A65" s="135" t="s">
        <v>112</v>
      </c>
      <c r="B65" s="972" t="s">
        <v>111</v>
      </c>
      <c r="C65" s="973"/>
      <c r="D65" s="973"/>
      <c r="E65" s="974"/>
      <c r="F65" s="122">
        <f>8794813+21830061+91442680+6759599+2794000+2000000+31599998+523290+863600-5098639+4700000+829010+28000-79700-1500000+19846252+7292340+3261523</f>
        <v>195886827</v>
      </c>
      <c r="G65" s="122">
        <f>1204167</f>
        <v>1204167</v>
      </c>
      <c r="H65" s="122">
        <f>508000+507849</f>
        <v>1015849</v>
      </c>
      <c r="I65" s="122">
        <f>578000-578000</f>
        <v>0</v>
      </c>
      <c r="J65" s="619">
        <f t="shared" si="0"/>
        <v>198106843</v>
      </c>
      <c r="K65" s="513"/>
    </row>
    <row r="66" spans="1:11" ht="12.75">
      <c r="A66" s="135" t="s">
        <v>114</v>
      </c>
      <c r="B66" s="972" t="s">
        <v>113</v>
      </c>
      <c r="C66" s="973"/>
      <c r="D66" s="973"/>
      <c r="E66" s="974"/>
      <c r="F66" s="122">
        <f>SUM(F75)</f>
        <v>5513420</v>
      </c>
      <c r="G66" s="122">
        <f>SUM(G75)</f>
        <v>0</v>
      </c>
      <c r="H66" s="122">
        <f>SUM(H75)</f>
        <v>0</v>
      </c>
      <c r="I66" s="122">
        <f>SUM(I75)</f>
        <v>0</v>
      </c>
      <c r="J66" s="619">
        <f t="shared" si="0"/>
        <v>5513420</v>
      </c>
      <c r="K66" s="513"/>
    </row>
    <row r="67" spans="1:11" ht="12.75" hidden="1">
      <c r="A67" s="118"/>
      <c r="B67" s="118" t="s">
        <v>184</v>
      </c>
      <c r="C67" s="971" t="s">
        <v>185</v>
      </c>
      <c r="D67" s="971"/>
      <c r="E67" s="971"/>
      <c r="F67" s="121">
        <v>0</v>
      </c>
      <c r="G67" s="121">
        <v>0</v>
      </c>
      <c r="H67" s="121">
        <v>0</v>
      </c>
      <c r="I67" s="121">
        <v>0</v>
      </c>
      <c r="J67" s="122">
        <f t="shared" si="0"/>
        <v>0</v>
      </c>
      <c r="K67" s="513"/>
    </row>
    <row r="68" spans="1:11" ht="12.75" hidden="1">
      <c r="A68" s="118"/>
      <c r="B68" s="118" t="s">
        <v>186</v>
      </c>
      <c r="C68" s="971" t="s">
        <v>187</v>
      </c>
      <c r="D68" s="971"/>
      <c r="E68" s="971"/>
      <c r="F68" s="121">
        <v>0</v>
      </c>
      <c r="G68" s="121">
        <v>0</v>
      </c>
      <c r="H68" s="121">
        <v>0</v>
      </c>
      <c r="I68" s="121">
        <v>0</v>
      </c>
      <c r="J68" s="122">
        <f t="shared" si="0"/>
        <v>0</v>
      </c>
      <c r="K68" s="513"/>
    </row>
    <row r="69" spans="1:11" ht="12.75" hidden="1">
      <c r="A69" s="118" t="s">
        <v>183</v>
      </c>
      <c r="B69" s="118" t="s">
        <v>188</v>
      </c>
      <c r="C69" s="971" t="s">
        <v>189</v>
      </c>
      <c r="D69" s="971"/>
      <c r="E69" s="971"/>
      <c r="F69" s="121">
        <v>0</v>
      </c>
      <c r="G69" s="121">
        <v>0</v>
      </c>
      <c r="H69" s="121">
        <v>0</v>
      </c>
      <c r="I69" s="121">
        <v>0</v>
      </c>
      <c r="J69" s="122">
        <f t="shared" si="0"/>
        <v>0</v>
      </c>
      <c r="K69" s="513"/>
    </row>
    <row r="70" spans="1:11" ht="12.75" hidden="1">
      <c r="A70" s="118"/>
      <c r="B70" s="118" t="s">
        <v>190</v>
      </c>
      <c r="C70" s="971" t="s">
        <v>191</v>
      </c>
      <c r="D70" s="971"/>
      <c r="E70" s="971"/>
      <c r="F70" s="121">
        <v>0</v>
      </c>
      <c r="G70" s="121">
        <v>0</v>
      </c>
      <c r="H70" s="121">
        <v>0</v>
      </c>
      <c r="I70" s="121">
        <v>0</v>
      </c>
      <c r="J70" s="122">
        <f t="shared" si="0"/>
        <v>0</v>
      </c>
      <c r="K70" s="513"/>
    </row>
    <row r="71" spans="1:11" ht="12.75" hidden="1">
      <c r="A71" s="118"/>
      <c r="B71" s="118" t="s">
        <v>192</v>
      </c>
      <c r="C71" s="971" t="s">
        <v>193</v>
      </c>
      <c r="D71" s="971"/>
      <c r="E71" s="971"/>
      <c r="F71" s="121">
        <v>0</v>
      </c>
      <c r="G71" s="121">
        <v>0</v>
      </c>
      <c r="H71" s="121">
        <v>0</v>
      </c>
      <c r="I71" s="121">
        <v>0</v>
      </c>
      <c r="J71" s="122">
        <f t="shared" si="0"/>
        <v>0</v>
      </c>
      <c r="K71" s="513"/>
    </row>
    <row r="72" spans="1:11" ht="12.75" hidden="1">
      <c r="A72" s="118"/>
      <c r="B72" s="118" t="s">
        <v>194</v>
      </c>
      <c r="C72" s="971" t="s">
        <v>195</v>
      </c>
      <c r="D72" s="971"/>
      <c r="E72" s="971"/>
      <c r="F72" s="121">
        <v>0</v>
      </c>
      <c r="G72" s="121">
        <v>0</v>
      </c>
      <c r="H72" s="121">
        <v>0</v>
      </c>
      <c r="I72" s="121">
        <v>0</v>
      </c>
      <c r="J72" s="122">
        <f t="shared" si="0"/>
        <v>0</v>
      </c>
      <c r="K72" s="513"/>
    </row>
    <row r="73" spans="1:11" ht="12.75" hidden="1">
      <c r="A73" s="118"/>
      <c r="B73" s="118" t="s">
        <v>196</v>
      </c>
      <c r="C73" s="971" t="s">
        <v>197</v>
      </c>
      <c r="D73" s="971"/>
      <c r="E73" s="971"/>
      <c r="F73" s="121">
        <v>0</v>
      </c>
      <c r="G73" s="121">
        <v>0</v>
      </c>
      <c r="H73" s="121">
        <v>0</v>
      </c>
      <c r="I73" s="121">
        <v>0</v>
      </c>
      <c r="J73" s="122">
        <f>SUM(F73:I73)</f>
        <v>0</v>
      </c>
      <c r="K73" s="513"/>
    </row>
    <row r="74" spans="1:11" ht="12.75" hidden="1">
      <c r="A74" s="118"/>
      <c r="B74" s="118" t="s">
        <v>198</v>
      </c>
      <c r="C74" s="971" t="s">
        <v>527</v>
      </c>
      <c r="D74" s="971"/>
      <c r="E74" s="971"/>
      <c r="F74" s="121">
        <v>0</v>
      </c>
      <c r="G74" s="121">
        <v>0</v>
      </c>
      <c r="H74" s="121">
        <v>0</v>
      </c>
      <c r="I74" s="121">
        <v>0</v>
      </c>
      <c r="J74" s="122">
        <f>SUM(F74:I74)</f>
        <v>0</v>
      </c>
      <c r="K74" s="513"/>
    </row>
    <row r="75" spans="1:11" ht="12.75">
      <c r="A75" s="118"/>
      <c r="B75" s="118" t="s">
        <v>526</v>
      </c>
      <c r="C75" s="971" t="s">
        <v>624</v>
      </c>
      <c r="D75" s="971"/>
      <c r="E75" s="971"/>
      <c r="F75" s="121">
        <f>449520+5000000+63900</f>
        <v>5513420</v>
      </c>
      <c r="G75" s="121">
        <v>0</v>
      </c>
      <c r="H75" s="121">
        <v>0</v>
      </c>
      <c r="I75" s="121">
        <v>0</v>
      </c>
      <c r="J75" s="136">
        <f>SUM(F75:I75)</f>
        <v>5513420</v>
      </c>
      <c r="K75" s="513"/>
    </row>
    <row r="76" spans="1:11" ht="12.75">
      <c r="A76" s="135" t="s">
        <v>116</v>
      </c>
      <c r="B76" s="972" t="s">
        <v>115</v>
      </c>
      <c r="C76" s="973"/>
      <c r="D76" s="973"/>
      <c r="E76" s="974"/>
      <c r="F76" s="122">
        <v>19299537</v>
      </c>
      <c r="G76" s="122">
        <v>0</v>
      </c>
      <c r="H76" s="122">
        <v>0</v>
      </c>
      <c r="I76" s="122">
        <v>0</v>
      </c>
      <c r="J76" s="619">
        <f>SUM(F76:I76)</f>
        <v>19299537</v>
      </c>
      <c r="K76" s="513"/>
    </row>
    <row r="77" spans="1:10" ht="12.75">
      <c r="A77" s="144"/>
      <c r="B77" s="145"/>
      <c r="C77" s="145"/>
      <c r="D77" s="145"/>
      <c r="E77" s="145"/>
      <c r="F77" s="146"/>
      <c r="G77" s="634"/>
      <c r="H77" s="634"/>
      <c r="I77" s="634"/>
      <c r="J77" s="147"/>
    </row>
    <row r="78" spans="1:10" ht="15.75">
      <c r="A78" s="988" t="s">
        <v>199</v>
      </c>
      <c r="B78" s="989"/>
      <c r="C78" s="989"/>
      <c r="D78" s="989"/>
      <c r="E78" s="990"/>
      <c r="F78" s="148">
        <f>SUM(F7+F8+F9+F10+F23+F64+F65+F66+F76)</f>
        <v>1892201036</v>
      </c>
      <c r="G78" s="148">
        <f>SUM(G7+G8+G9+G10+G23+G64+G65+G66+G76)</f>
        <v>148235149</v>
      </c>
      <c r="H78" s="148">
        <f>SUM(H7+H8+H9+H10+H23+H64+H65+H66+H76)</f>
        <v>305687077</v>
      </c>
      <c r="I78" s="148">
        <f>SUM(I7+I8+I9+I10+I23+I64+I65+I66+I76)</f>
        <v>53425421</v>
      </c>
      <c r="J78" s="148">
        <f>SUM(J7+J8+J9+J10+J23+J64+J65+J66+J76)</f>
        <v>2399548683</v>
      </c>
    </row>
  </sheetData>
  <sheetProtection/>
  <mergeCells count="46">
    <mergeCell ref="C75:E75"/>
    <mergeCell ref="B76:E76"/>
    <mergeCell ref="A78:E78"/>
    <mergeCell ref="C69:E69"/>
    <mergeCell ref="C70:E70"/>
    <mergeCell ref="C71:E71"/>
    <mergeCell ref="C72:E72"/>
    <mergeCell ref="C73:E73"/>
    <mergeCell ref="C74:E74"/>
    <mergeCell ref="B66:E66"/>
    <mergeCell ref="C67:E67"/>
    <mergeCell ref="C68:E68"/>
    <mergeCell ref="B65:E65"/>
    <mergeCell ref="D46:E46"/>
    <mergeCell ref="D57:E57"/>
    <mergeCell ref="B64:E64"/>
    <mergeCell ref="D29:E29"/>
    <mergeCell ref="D40:E40"/>
    <mergeCell ref="D41:E41"/>
    <mergeCell ref="D42:E42"/>
    <mergeCell ref="D43:E43"/>
    <mergeCell ref="D44:E44"/>
    <mergeCell ref="D28:E28"/>
    <mergeCell ref="B10:E10"/>
    <mergeCell ref="B8:E8"/>
    <mergeCell ref="B9:E9"/>
    <mergeCell ref="D13:E13"/>
    <mergeCell ref="D14:E14"/>
    <mergeCell ref="C15:E15"/>
    <mergeCell ref="A1:J1"/>
    <mergeCell ref="A3:J3"/>
    <mergeCell ref="A5:E5"/>
    <mergeCell ref="B6:E6"/>
    <mergeCell ref="B7:E7"/>
    <mergeCell ref="C12:E12"/>
    <mergeCell ref="C11:E11"/>
    <mergeCell ref="D45:E45"/>
    <mergeCell ref="D21:E21"/>
    <mergeCell ref="D22:E22"/>
    <mergeCell ref="C16:E16"/>
    <mergeCell ref="C18:E18"/>
    <mergeCell ref="C19:E19"/>
    <mergeCell ref="C20:E20"/>
    <mergeCell ref="B23:E23"/>
    <mergeCell ref="D26:E26"/>
    <mergeCell ref="D27:E27"/>
  </mergeCell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61"/>
  <sheetViews>
    <sheetView zoomScalePageLayoutView="0" workbookViewId="0" topLeftCell="A1">
      <selection activeCell="B2" sqref="B2:I2"/>
    </sheetView>
  </sheetViews>
  <sheetFormatPr defaultColWidth="9.00390625" defaultRowHeight="12.75"/>
  <cols>
    <col min="1" max="1" width="4.125" style="73" bestFit="1" customWidth="1"/>
    <col min="2" max="2" width="55.125" style="22" bestFit="1" customWidth="1"/>
    <col min="3" max="3" width="13.375" style="22" bestFit="1" customWidth="1"/>
    <col min="4" max="5" width="15.125" style="22" bestFit="1" customWidth="1"/>
    <col min="6" max="6" width="53.875" style="22" bestFit="1" customWidth="1"/>
    <col min="7" max="7" width="15.00390625" style="22" bestFit="1" customWidth="1"/>
    <col min="8" max="9" width="15.875" style="22" bestFit="1" customWidth="1"/>
    <col min="10" max="16384" width="9.125" style="22" customWidth="1"/>
  </cols>
  <sheetData>
    <row r="1" spans="6:10" ht="12.75" customHeight="1">
      <c r="F1" s="994" t="s">
        <v>1127</v>
      </c>
      <c r="G1" s="995"/>
      <c r="H1" s="995"/>
      <c r="I1" s="995"/>
      <c r="J1" s="66"/>
    </row>
    <row r="2" spans="2:9" ht="15.75">
      <c r="B2" s="996" t="s">
        <v>781</v>
      </c>
      <c r="C2" s="996"/>
      <c r="D2" s="996"/>
      <c r="E2" s="996"/>
      <c r="F2" s="996"/>
      <c r="G2" s="996"/>
      <c r="H2" s="996"/>
      <c r="I2" s="996"/>
    </row>
    <row r="3" ht="8.25" customHeight="1"/>
    <row r="4" spans="1:9" s="23" customFormat="1" ht="15" customHeight="1">
      <c r="A4" s="998" t="s">
        <v>422</v>
      </c>
      <c r="B4" s="997" t="s">
        <v>428</v>
      </c>
      <c r="C4" s="997"/>
      <c r="D4" s="997"/>
      <c r="E4" s="997"/>
      <c r="F4" s="997" t="s">
        <v>353</v>
      </c>
      <c r="G4" s="997"/>
      <c r="H4" s="997"/>
      <c r="I4" s="997"/>
    </row>
    <row r="5" spans="1:9" s="26" customFormat="1" ht="14.25">
      <c r="A5" s="998"/>
      <c r="B5" s="24" t="s">
        <v>352</v>
      </c>
      <c r="C5" s="25" t="s">
        <v>330</v>
      </c>
      <c r="D5" s="25" t="s">
        <v>329</v>
      </c>
      <c r="E5" s="25" t="s">
        <v>411</v>
      </c>
      <c r="F5" s="24" t="s">
        <v>352</v>
      </c>
      <c r="G5" s="25" t="s">
        <v>330</v>
      </c>
      <c r="H5" s="25" t="s">
        <v>329</v>
      </c>
      <c r="I5" s="25" t="s">
        <v>411</v>
      </c>
    </row>
    <row r="6" spans="1:9" s="72" customFormat="1" ht="12">
      <c r="A6" s="998"/>
      <c r="B6" s="71" t="s">
        <v>416</v>
      </c>
      <c r="C6" s="71" t="s">
        <v>417</v>
      </c>
      <c r="D6" s="71" t="s">
        <v>418</v>
      </c>
      <c r="E6" s="71" t="s">
        <v>419</v>
      </c>
      <c r="F6" s="71" t="s">
        <v>420</v>
      </c>
      <c r="G6" s="71" t="s">
        <v>421</v>
      </c>
      <c r="H6" s="71" t="s">
        <v>423</v>
      </c>
      <c r="I6" s="71" t="s">
        <v>424</v>
      </c>
    </row>
    <row r="7" spans="1:9" s="42" customFormat="1" ht="14.25">
      <c r="A7" s="71">
        <v>1</v>
      </c>
      <c r="B7" s="41" t="s">
        <v>476</v>
      </c>
      <c r="C7" s="59">
        <f>SUM(C8)</f>
        <v>1127548185</v>
      </c>
      <c r="D7" s="59">
        <f>SUM(D32,D8)</f>
        <v>91421079</v>
      </c>
      <c r="E7" s="59">
        <f aca="true" t="shared" si="0" ref="E7:E30">SUM(C7:D7)</f>
        <v>1218969264</v>
      </c>
      <c r="F7" s="41" t="s">
        <v>477</v>
      </c>
      <c r="G7" s="59">
        <f>SUM(G8,G32)</f>
        <v>1406997805</v>
      </c>
      <c r="H7" s="59">
        <f>SUM(H8,H32)</f>
        <v>973251341</v>
      </c>
      <c r="I7" s="59">
        <f aca="true" t="shared" si="1" ref="I7:I18">SUM(G7:H7)</f>
        <v>2380249146</v>
      </c>
    </row>
    <row r="8" spans="1:9" s="51" customFormat="1" ht="12.75">
      <c r="A8" s="74">
        <v>2</v>
      </c>
      <c r="B8" s="48" t="s">
        <v>433</v>
      </c>
      <c r="C8" s="49">
        <f>SUM(C28+C18+C13+C9)</f>
        <v>1127548185</v>
      </c>
      <c r="D8" s="49">
        <f>SUM(D28+D18+D13+D9)</f>
        <v>0</v>
      </c>
      <c r="E8" s="49">
        <f t="shared" si="0"/>
        <v>1127548185</v>
      </c>
      <c r="F8" s="50" t="s">
        <v>436</v>
      </c>
      <c r="G8" s="49">
        <f>SUM(G9:G13)</f>
        <v>1406997805</v>
      </c>
      <c r="H8" s="49">
        <f>SUM(H9:H13)</f>
        <v>15055017</v>
      </c>
      <c r="I8" s="49">
        <f t="shared" si="1"/>
        <v>1422052822</v>
      </c>
    </row>
    <row r="9" spans="1:9" s="29" customFormat="1" ht="12.75">
      <c r="A9" s="74">
        <v>3</v>
      </c>
      <c r="B9" s="57" t="s">
        <v>15</v>
      </c>
      <c r="C9" s="38">
        <f>SUM(C10:C12)</f>
        <v>807240932</v>
      </c>
      <c r="D9" s="38">
        <v>0</v>
      </c>
      <c r="E9" s="38">
        <f t="shared" si="0"/>
        <v>807240932</v>
      </c>
      <c r="F9" s="58" t="s">
        <v>437</v>
      </c>
      <c r="G9" s="38">
        <f>426163725+33000+1350000+1125000+3215520+639450-330000-1461600+2756937+1035000-976500+1125000-1245375-775591+23197320+11080125+6600+103400+216700+5000000+1263600+300000+1344830+3459090+2500000+347826+45939+513114-340425+4891800+241500+16410600-416917+334626+416917+1690500+241500+1000000-2160000+120750+4-4+565152+7803952+304762+1666667+377922+2160000+6060606+9-9+805087+2415261+3-3+570710</f>
        <v>527194080</v>
      </c>
      <c r="H9" s="38">
        <v>0</v>
      </c>
      <c r="I9" s="38">
        <f t="shared" si="1"/>
        <v>527194080</v>
      </c>
    </row>
    <row r="10" spans="1:9" s="29" customFormat="1" ht="12.75">
      <c r="A10" s="71">
        <v>4</v>
      </c>
      <c r="B10" s="35" t="s">
        <v>16</v>
      </c>
      <c r="C10" s="40">
        <f>482488434+22486700+418000+383873+10959511+1038000+426173+10068391+848820-11343384+8095006+652750+9013565+2713500+1598080+3719500+145000+2384560+190000-10659174</f>
        <v>535627305</v>
      </c>
      <c r="D10" s="40">
        <v>0</v>
      </c>
      <c r="E10" s="40">
        <f t="shared" si="0"/>
        <v>535627305</v>
      </c>
      <c r="F10" s="58" t="s">
        <v>638</v>
      </c>
      <c r="G10" s="38">
        <f>81276070+5197+236250+196875+562716+111904-57750-255780+482464+181125-170887+196875-217940-377745+2029806+969525+1155+18095+37923+875000+221130+13166+367133+208449+536159+387500+52174-45939-513114-59575+311347+44564+81181+3163+492+110+428040+37432+2543643-64622+64622+262078+37432+175000+50000-334800+18716+2-2+87598+1209613+47238+258333+58578+334800+939394-54+3-3+124788+374364+1-1+44233</f>
        <v>94405244</v>
      </c>
      <c r="H10" s="38">
        <v>0</v>
      </c>
      <c r="I10" s="38">
        <f t="shared" si="1"/>
        <v>94405244</v>
      </c>
    </row>
    <row r="11" spans="1:9" s="29" customFormat="1" ht="12.75">
      <c r="A11" s="74">
        <v>5</v>
      </c>
      <c r="B11" s="35" t="s">
        <v>636</v>
      </c>
      <c r="C11" s="40">
        <v>0</v>
      </c>
      <c r="D11" s="40">
        <v>0</v>
      </c>
      <c r="E11" s="40">
        <f t="shared" si="0"/>
        <v>0</v>
      </c>
      <c r="F11" s="58" t="s">
        <v>38</v>
      </c>
      <c r="G11" s="38">
        <f>418929171-54000-254000+500000-781083+2114762-317500+144779-2575544+1500000+1310301+4441343-800000+600000+1275000+13881090+60657486+18063936+308085+16823647-13166+2954117-47925+17596440+175000+92377+6500+1143000+9534431+33191447+558233+4615000+726390+55552-519024-13077629-10911298+200000+401078+382588+349267+1505094+414268+951095+265050+61586+31383+30000+2513+267157-18954243+2000+10500000+550024+348851+31954-1175000+73560+36836+328388+31750+710550+306250+1012863-726390+366000+13208+12040142+57150+21844+123000+40000-3000-436880+998220-20000-200000-130000-81892+544626+40591+14000-14000-21844+8000-8000+229808-1500000+17500-7292340-3261523+1500000+4600000+7744917+355000+495000+300000-500000+61267-27230</f>
        <v>595858954</v>
      </c>
      <c r="H11" s="38">
        <v>0</v>
      </c>
      <c r="I11" s="38">
        <f t="shared" si="1"/>
        <v>595858954</v>
      </c>
    </row>
    <row r="12" spans="1:9" s="29" customFormat="1" ht="12.75">
      <c r="A12" s="74">
        <v>6</v>
      </c>
      <c r="B12" s="35" t="s">
        <v>17</v>
      </c>
      <c r="C12" s="40">
        <f>110463289+5354163+26537427+16490993+13881090+60657486+23938936+2626200+1484730+571500+2887500-2702314-8864634+5586997+278932+1952578+278932+50000+139466+7000000-54+2324200+676210</f>
        <v>271613627</v>
      </c>
      <c r="D12" s="40">
        <v>0</v>
      </c>
      <c r="E12" s="40">
        <f t="shared" si="0"/>
        <v>271613627</v>
      </c>
      <c r="F12" s="58" t="s">
        <v>39</v>
      </c>
      <c r="G12" s="38">
        <f>3804900+7300000</f>
        <v>11104900</v>
      </c>
      <c r="H12" s="38">
        <v>0</v>
      </c>
      <c r="I12" s="38">
        <f t="shared" si="1"/>
        <v>11104900</v>
      </c>
    </row>
    <row r="13" spans="1:9" s="29" customFormat="1" ht="12.75">
      <c r="A13" s="71">
        <v>7</v>
      </c>
      <c r="B13" s="57" t="s">
        <v>21</v>
      </c>
      <c r="C13" s="38">
        <f>SUM(C14:C17)</f>
        <v>239700000</v>
      </c>
      <c r="D13" s="38">
        <f>SUM(D14:D17)</f>
        <v>0</v>
      </c>
      <c r="E13" s="38">
        <f t="shared" si="0"/>
        <v>239700000</v>
      </c>
      <c r="F13" s="61" t="s">
        <v>40</v>
      </c>
      <c r="G13" s="38">
        <f>SUM(G14:G18)</f>
        <v>178434627</v>
      </c>
      <c r="H13" s="38">
        <f>SUM(H14:H18)</f>
        <v>15055017</v>
      </c>
      <c r="I13" s="38">
        <f t="shared" si="1"/>
        <v>193489644</v>
      </c>
    </row>
    <row r="14" spans="1:9" s="30" customFormat="1" ht="12.75">
      <c r="A14" s="74">
        <v>8</v>
      </c>
      <c r="B14" s="35" t="s">
        <v>108</v>
      </c>
      <c r="C14" s="40">
        <v>239000000</v>
      </c>
      <c r="D14" s="40">
        <v>0</v>
      </c>
      <c r="E14" s="40">
        <f t="shared" si="0"/>
        <v>239000000</v>
      </c>
      <c r="F14" s="37" t="s">
        <v>690</v>
      </c>
      <c r="G14" s="40">
        <f>36263474</f>
        <v>36263474</v>
      </c>
      <c r="H14" s="40">
        <v>0</v>
      </c>
      <c r="I14" s="40">
        <f t="shared" si="1"/>
        <v>36263474</v>
      </c>
    </row>
    <row r="15" spans="1:9" s="30" customFormat="1" ht="12.75">
      <c r="A15" s="74">
        <v>9</v>
      </c>
      <c r="B15" s="36" t="s">
        <v>709</v>
      </c>
      <c r="C15" s="40">
        <v>50000</v>
      </c>
      <c r="D15" s="40">
        <v>0</v>
      </c>
      <c r="E15" s="40">
        <f t="shared" si="0"/>
        <v>50000</v>
      </c>
      <c r="F15" s="37" t="s">
        <v>637</v>
      </c>
      <c r="G15" s="40">
        <v>0</v>
      </c>
      <c r="H15" s="40">
        <v>0</v>
      </c>
      <c r="I15" s="40">
        <f t="shared" si="1"/>
        <v>0</v>
      </c>
    </row>
    <row r="16" spans="1:9" s="30" customFormat="1" ht="12.75">
      <c r="A16" s="74">
        <v>10</v>
      </c>
      <c r="B16" s="36" t="s">
        <v>710</v>
      </c>
      <c r="C16" s="40">
        <f>22000000-10269500-11730500</f>
        <v>0</v>
      </c>
      <c r="D16" s="40">
        <v>0</v>
      </c>
      <c r="E16" s="40">
        <f t="shared" si="0"/>
        <v>0</v>
      </c>
      <c r="F16" s="37" t="s">
        <v>722</v>
      </c>
      <c r="G16" s="40">
        <f>115000+15000-100000-15000+115000</f>
        <v>130000</v>
      </c>
      <c r="H16" s="40">
        <v>0</v>
      </c>
      <c r="I16" s="40">
        <f t="shared" si="1"/>
        <v>130000</v>
      </c>
    </row>
    <row r="17" spans="1:9" s="30" customFormat="1" ht="12.75">
      <c r="A17" s="71">
        <v>11</v>
      </c>
      <c r="B17" s="35" t="s">
        <v>711</v>
      </c>
      <c r="C17" s="40">
        <v>650000</v>
      </c>
      <c r="D17" s="40">
        <v>0</v>
      </c>
      <c r="E17" s="40">
        <f t="shared" si="0"/>
        <v>650000</v>
      </c>
      <c r="F17" s="37" t="s">
        <v>723</v>
      </c>
      <c r="G17" s="40">
        <f>154254385-70000-4779000-1444000-6364000-3280000+2626200-1016000-1143000+2307500-3606983+2324200</f>
        <v>139809302</v>
      </c>
      <c r="H17" s="40">
        <v>0</v>
      </c>
      <c r="I17" s="40">
        <f t="shared" si="1"/>
        <v>139809302</v>
      </c>
    </row>
    <row r="18" spans="1:9" s="30" customFormat="1" ht="12.75">
      <c r="A18" s="74">
        <v>12</v>
      </c>
      <c r="B18" s="57" t="s">
        <v>22</v>
      </c>
      <c r="C18" s="38">
        <f>SUM(C19:C27)</f>
        <v>80214753</v>
      </c>
      <c r="D18" s="38">
        <f>SUM(D19:D27)</f>
        <v>0</v>
      </c>
      <c r="E18" s="38">
        <f t="shared" si="0"/>
        <v>80214753</v>
      </c>
      <c r="F18" s="37" t="s">
        <v>724</v>
      </c>
      <c r="G18" s="40">
        <f>26199000-23849000+200000-1000000+121735509-9534431+1841851-1841851-33191447-2702314-8864634-558233-36263474-4615000-22387266+911000-2197500+5373648-726390-55552+519024+13077629+755546+10911298-15055017-2307500-440857-15000-200000-401078-382588-3610256-510500-7422766-160000-1000000</f>
        <v>2231851</v>
      </c>
      <c r="H18" s="40">
        <f>15055017</f>
        <v>15055017</v>
      </c>
      <c r="I18" s="40">
        <f t="shared" si="1"/>
        <v>17286868</v>
      </c>
    </row>
    <row r="19" spans="1:9" s="29" customFormat="1" ht="12.75">
      <c r="A19" s="74">
        <v>13</v>
      </c>
      <c r="B19" s="35" t="s">
        <v>528</v>
      </c>
      <c r="C19" s="40">
        <f>9500000+1370149-1370149</f>
        <v>9500000</v>
      </c>
      <c r="D19" s="40">
        <v>0</v>
      </c>
      <c r="E19" s="40">
        <f t="shared" si="0"/>
        <v>9500000</v>
      </c>
      <c r="F19" s="61"/>
      <c r="G19" s="38"/>
      <c r="H19" s="38"/>
      <c r="I19" s="38"/>
    </row>
    <row r="20" spans="1:9" s="29" customFormat="1" ht="12.75">
      <c r="A20" s="71">
        <v>14</v>
      </c>
      <c r="B20" s="35" t="s">
        <v>23</v>
      </c>
      <c r="C20" s="40">
        <f>21002978+536221+3402559+342137+3306421+136431+2631668</f>
        <v>31358415</v>
      </c>
      <c r="D20" s="40">
        <v>0</v>
      </c>
      <c r="E20" s="40">
        <f t="shared" si="0"/>
        <v>31358415</v>
      </c>
      <c r="F20" s="37"/>
      <c r="G20" s="40"/>
      <c r="H20" s="40"/>
      <c r="I20" s="40"/>
    </row>
    <row r="21" spans="1:9" s="29" customFormat="1" ht="12.75">
      <c r="A21" s="74">
        <v>15</v>
      </c>
      <c r="B21" s="35" t="s">
        <v>24</v>
      </c>
      <c r="C21" s="40">
        <v>7687837</v>
      </c>
      <c r="D21" s="40">
        <v>0</v>
      </c>
      <c r="E21" s="40">
        <f t="shared" si="0"/>
        <v>7687837</v>
      </c>
      <c r="F21" s="37"/>
      <c r="G21" s="40"/>
      <c r="H21" s="40"/>
      <c r="I21" s="40"/>
    </row>
    <row r="22" spans="1:9" s="29" customFormat="1" ht="12.75">
      <c r="A22" s="74">
        <v>16</v>
      </c>
      <c r="B22" s="35" t="s">
        <v>484</v>
      </c>
      <c r="C22" s="40">
        <v>746000</v>
      </c>
      <c r="D22" s="40">
        <v>0</v>
      </c>
      <c r="E22" s="40">
        <f t="shared" si="0"/>
        <v>746000</v>
      </c>
      <c r="F22" s="37"/>
      <c r="G22" s="40"/>
      <c r="H22" s="40"/>
      <c r="I22" s="40"/>
    </row>
    <row r="23" spans="1:9" s="29" customFormat="1" ht="12.75">
      <c r="A23" s="71">
        <v>17</v>
      </c>
      <c r="B23" s="35" t="s">
        <v>25</v>
      </c>
      <c r="C23" s="40">
        <f>7036704+12898200+635625</f>
        <v>20570529</v>
      </c>
      <c r="D23" s="40">
        <v>0</v>
      </c>
      <c r="E23" s="40">
        <f t="shared" si="0"/>
        <v>20570529</v>
      </c>
      <c r="F23" s="37"/>
      <c r="G23" s="40"/>
      <c r="H23" s="40"/>
      <c r="I23" s="40"/>
    </row>
    <row r="24" spans="1:9" s="29" customFormat="1" ht="12.75">
      <c r="A24" s="74">
        <v>18</v>
      </c>
      <c r="B24" s="35" t="s">
        <v>26</v>
      </c>
      <c r="C24" s="40">
        <f>6431187+144779+918691+92377+892734+36836+710550</f>
        <v>9227154</v>
      </c>
      <c r="D24" s="40">
        <v>0</v>
      </c>
      <c r="E24" s="40">
        <f t="shared" si="0"/>
        <v>9227154</v>
      </c>
      <c r="F24" s="28"/>
      <c r="G24" s="40"/>
      <c r="H24" s="39"/>
      <c r="I24" s="39"/>
    </row>
    <row r="25" spans="1:9" s="29" customFormat="1" ht="12.75">
      <c r="A25" s="74">
        <v>19</v>
      </c>
      <c r="B25" s="35" t="s">
        <v>291</v>
      </c>
      <c r="C25" s="40">
        <v>0</v>
      </c>
      <c r="D25" s="40">
        <v>0</v>
      </c>
      <c r="E25" s="40">
        <f t="shared" si="0"/>
        <v>0</v>
      </c>
      <c r="F25" s="28"/>
      <c r="G25" s="40"/>
      <c r="H25" s="39"/>
      <c r="I25" s="39"/>
    </row>
    <row r="26" spans="1:9" s="29" customFormat="1" ht="12.75">
      <c r="A26" s="74">
        <v>20</v>
      </c>
      <c r="B26" s="35" t="s">
        <v>657</v>
      </c>
      <c r="C26" s="40">
        <v>500</v>
      </c>
      <c r="D26" s="40">
        <v>0</v>
      </c>
      <c r="E26" s="40">
        <f t="shared" si="0"/>
        <v>500</v>
      </c>
      <c r="F26" s="28"/>
      <c r="G26" s="40"/>
      <c r="H26" s="39"/>
      <c r="I26" s="39"/>
    </row>
    <row r="27" spans="1:9" s="27" customFormat="1" ht="12.75">
      <c r="A27" s="71">
        <v>21</v>
      </c>
      <c r="B27" s="35" t="s">
        <v>658</v>
      </c>
      <c r="C27" s="40">
        <f>11039511-10959511+73560+212129+102620+28000+13208+63900+550901</f>
        <v>1124318</v>
      </c>
      <c r="D27" s="40">
        <v>0</v>
      </c>
      <c r="E27" s="40">
        <f t="shared" si="0"/>
        <v>1124318</v>
      </c>
      <c r="F27" s="28"/>
      <c r="G27" s="39"/>
      <c r="H27" s="39"/>
      <c r="I27" s="39"/>
    </row>
    <row r="28" spans="1:9" s="27" customFormat="1" ht="12.75">
      <c r="A28" s="74">
        <v>22</v>
      </c>
      <c r="B28" s="57" t="s">
        <v>32</v>
      </c>
      <c r="C28" s="38">
        <f>SUM(C29:C30)</f>
        <v>392500</v>
      </c>
      <c r="D28" s="38">
        <v>0</v>
      </c>
      <c r="E28" s="38">
        <f t="shared" si="0"/>
        <v>392500</v>
      </c>
      <c r="F28" s="28"/>
      <c r="G28" s="39"/>
      <c r="H28" s="39"/>
      <c r="I28" s="39"/>
    </row>
    <row r="29" spans="1:9" s="27" customFormat="1" ht="12.75">
      <c r="A29" s="74">
        <v>23</v>
      </c>
      <c r="B29" s="35" t="s">
        <v>33</v>
      </c>
      <c r="C29" s="40">
        <v>0</v>
      </c>
      <c r="D29" s="40">
        <v>0</v>
      </c>
      <c r="E29" s="40">
        <f t="shared" si="0"/>
        <v>0</v>
      </c>
      <c r="F29" s="28"/>
      <c r="G29" s="39"/>
      <c r="H29" s="39"/>
      <c r="I29" s="39"/>
    </row>
    <row r="30" spans="1:9" s="27" customFormat="1" ht="12.75">
      <c r="A30" s="71">
        <v>24</v>
      </c>
      <c r="B30" s="35" t="s">
        <v>34</v>
      </c>
      <c r="C30" s="40">
        <f>375000+17500</f>
        <v>392500</v>
      </c>
      <c r="D30" s="40">
        <v>0</v>
      </c>
      <c r="E30" s="40">
        <f t="shared" si="0"/>
        <v>392500</v>
      </c>
      <c r="F30" s="28"/>
      <c r="G30" s="39"/>
      <c r="H30" s="39"/>
      <c r="I30" s="39"/>
    </row>
    <row r="31" spans="1:9" s="27" customFormat="1" ht="12.75">
      <c r="A31" s="74">
        <v>25</v>
      </c>
      <c r="B31" s="35"/>
      <c r="C31" s="40"/>
      <c r="D31" s="40"/>
      <c r="E31" s="40"/>
      <c r="F31" s="28"/>
      <c r="G31" s="39"/>
      <c r="H31" s="39"/>
      <c r="I31" s="39"/>
    </row>
    <row r="32" spans="1:9" s="51" customFormat="1" ht="12.75">
      <c r="A32" s="74">
        <v>26</v>
      </c>
      <c r="B32" s="52" t="s">
        <v>435</v>
      </c>
      <c r="C32" s="49">
        <f>SUM(C41+C36+C33)</f>
        <v>0</v>
      </c>
      <c r="D32" s="49">
        <f>SUM(D41+D36+D33)</f>
        <v>91421079</v>
      </c>
      <c r="E32" s="49">
        <f>SUM(D32:D32)</f>
        <v>91421079</v>
      </c>
      <c r="F32" s="50" t="s">
        <v>325</v>
      </c>
      <c r="G32" s="49">
        <f>SUM(G33:G35)</f>
        <v>0</v>
      </c>
      <c r="H32" s="49">
        <f>SUM(H33:H35)</f>
        <v>958196324</v>
      </c>
      <c r="I32" s="49">
        <f aca="true" t="shared" si="2" ref="I32:I40">SUM(G32:H32)</f>
        <v>958196324</v>
      </c>
    </row>
    <row r="33" spans="1:9" s="27" customFormat="1" ht="12.75">
      <c r="A33" s="71">
        <v>27</v>
      </c>
      <c r="B33" s="57" t="s">
        <v>18</v>
      </c>
      <c r="C33" s="38">
        <f>SUM(C34:C35)</f>
        <v>0</v>
      </c>
      <c r="D33" s="38">
        <f>SUM(D34:D35)</f>
        <v>36779982</v>
      </c>
      <c r="E33" s="38">
        <f>SUM(D33:D33)</f>
        <v>36779982</v>
      </c>
      <c r="F33" s="58" t="s">
        <v>41</v>
      </c>
      <c r="G33" s="38">
        <v>0</v>
      </c>
      <c r="H33" s="38">
        <f>800006380-20000000-1730500-177800+1000000+74295+190500+800000-17780000+400000+100000+6000000+4790554-3817843-13005804+700000+47925+560000+250000+22387266-911000+2197500-5373648-755546-1204167+1130000+225760-237338-366000+6795254-12040142-57150+79700+436880-998220+20000+200000+130000+81892+145000+1500000-3900000-5000000-1100000-7744917+500000+27230</f>
        <v>754576061</v>
      </c>
      <c r="I33" s="38">
        <f t="shared" si="2"/>
        <v>754576061</v>
      </c>
    </row>
    <row r="34" spans="1:9" s="27" customFormat="1" ht="12.75">
      <c r="A34" s="74">
        <v>28</v>
      </c>
      <c r="B34" s="35" t="s">
        <v>19</v>
      </c>
      <c r="C34" s="40">
        <v>0</v>
      </c>
      <c r="D34" s="40">
        <v>19846252</v>
      </c>
      <c r="E34" s="40">
        <f aca="true" t="shared" si="3" ref="E34:E43">SUM(D34:D34)</f>
        <v>19846252</v>
      </c>
      <c r="F34" s="58" t="s">
        <v>42</v>
      </c>
      <c r="G34" s="38">
        <v>0</v>
      </c>
      <c r="H34" s="38">
        <f>166252441+863600+578000-5098639-578000+1204167+507849+4700000+829010+28000-79700-1500000+19846252+7292340+3261523</f>
        <v>198106843</v>
      </c>
      <c r="I34" s="38">
        <f t="shared" si="2"/>
        <v>198106843</v>
      </c>
    </row>
    <row r="35" spans="1:9" s="27" customFormat="1" ht="12.75">
      <c r="A35" s="74">
        <v>29</v>
      </c>
      <c r="B35" s="35" t="s">
        <v>20</v>
      </c>
      <c r="C35" s="40">
        <v>0</v>
      </c>
      <c r="D35" s="40">
        <f>6000000+74295+190500-6000000+6000000+2374582+6795254+349099+1150000</f>
        <v>16933730</v>
      </c>
      <c r="E35" s="40">
        <f t="shared" si="3"/>
        <v>16933730</v>
      </c>
      <c r="F35" s="58" t="s">
        <v>43</v>
      </c>
      <c r="G35" s="38">
        <f>SUM(G36:G40)</f>
        <v>0</v>
      </c>
      <c r="H35" s="38">
        <f>SUM(H36:H40)</f>
        <v>5513420</v>
      </c>
      <c r="I35" s="38">
        <f t="shared" si="2"/>
        <v>5513420</v>
      </c>
    </row>
    <row r="36" spans="1:9" s="27" customFormat="1" ht="12.75">
      <c r="A36" s="71">
        <v>30</v>
      </c>
      <c r="B36" s="57" t="s">
        <v>27</v>
      </c>
      <c r="C36" s="38">
        <f>SUM(C37:C40)</f>
        <v>0</v>
      </c>
      <c r="D36" s="38">
        <f>SUM(D37:D40)</f>
        <v>54373637</v>
      </c>
      <c r="E36" s="38">
        <f t="shared" si="3"/>
        <v>54373637</v>
      </c>
      <c r="F36" s="37" t="s">
        <v>44</v>
      </c>
      <c r="G36" s="40">
        <v>0</v>
      </c>
      <c r="H36" s="40">
        <v>0</v>
      </c>
      <c r="I36" s="40">
        <f t="shared" si="2"/>
        <v>0</v>
      </c>
    </row>
    <row r="37" spans="1:9" s="27" customFormat="1" ht="12.75">
      <c r="A37" s="74">
        <v>31</v>
      </c>
      <c r="B37" s="35" t="s">
        <v>28</v>
      </c>
      <c r="C37" s="40">
        <v>0</v>
      </c>
      <c r="D37" s="40">
        <v>0</v>
      </c>
      <c r="E37" s="40">
        <f t="shared" si="3"/>
        <v>0</v>
      </c>
      <c r="F37" s="37" t="s">
        <v>45</v>
      </c>
      <c r="G37" s="40">
        <v>0</v>
      </c>
      <c r="H37" s="40">
        <v>0</v>
      </c>
      <c r="I37" s="40">
        <f t="shared" si="2"/>
        <v>0</v>
      </c>
    </row>
    <row r="38" spans="1:9" s="29" customFormat="1" ht="12.75">
      <c r="A38" s="74">
        <v>32</v>
      </c>
      <c r="B38" s="35" t="s">
        <v>29</v>
      </c>
      <c r="C38" s="40">
        <f>SUM(C39:C40)</f>
        <v>0</v>
      </c>
      <c r="D38" s="40">
        <f>44406964+1500000+1000000+11730500-1038000-510500-7422766-3606983+8314422</f>
        <v>54373637</v>
      </c>
      <c r="E38" s="40">
        <f t="shared" si="3"/>
        <v>54373637</v>
      </c>
      <c r="F38" s="37" t="s">
        <v>46</v>
      </c>
      <c r="G38" s="40">
        <v>0</v>
      </c>
      <c r="H38" s="40">
        <v>0</v>
      </c>
      <c r="I38" s="40">
        <f t="shared" si="2"/>
        <v>0</v>
      </c>
    </row>
    <row r="39" spans="1:9" s="29" customFormat="1" ht="12.75">
      <c r="A39" s="71">
        <v>33</v>
      </c>
      <c r="B39" s="35" t="s">
        <v>30</v>
      </c>
      <c r="C39" s="40">
        <v>0</v>
      </c>
      <c r="D39" s="40">
        <v>0</v>
      </c>
      <c r="E39" s="40">
        <f t="shared" si="3"/>
        <v>0</v>
      </c>
      <c r="F39" s="37" t="s">
        <v>47</v>
      </c>
      <c r="G39" s="40">
        <v>0</v>
      </c>
      <c r="H39" s="40">
        <v>0</v>
      </c>
      <c r="I39" s="40">
        <f t="shared" si="2"/>
        <v>0</v>
      </c>
    </row>
    <row r="40" spans="1:9" s="31" customFormat="1" ht="13.5">
      <c r="A40" s="74">
        <v>34</v>
      </c>
      <c r="B40" s="35" t="s">
        <v>31</v>
      </c>
      <c r="C40" s="40">
        <v>0</v>
      </c>
      <c r="D40" s="40">
        <v>0</v>
      </c>
      <c r="E40" s="40">
        <f t="shared" si="3"/>
        <v>0</v>
      </c>
      <c r="F40" s="37" t="s">
        <v>48</v>
      </c>
      <c r="G40" s="40">
        <v>0</v>
      </c>
      <c r="H40" s="40">
        <f>5449520+63900</f>
        <v>5513420</v>
      </c>
      <c r="I40" s="40">
        <f t="shared" si="2"/>
        <v>5513420</v>
      </c>
    </row>
    <row r="41" spans="1:9" s="31" customFormat="1" ht="13.5">
      <c r="A41" s="74">
        <v>35</v>
      </c>
      <c r="B41" s="57" t="s">
        <v>35</v>
      </c>
      <c r="C41" s="38">
        <f>SUM(C42:C43)</f>
        <v>0</v>
      </c>
      <c r="D41" s="38">
        <f>SUM(D42:D43)</f>
        <v>267460</v>
      </c>
      <c r="E41" s="38">
        <f t="shared" si="3"/>
        <v>267460</v>
      </c>
      <c r="F41" s="37"/>
      <c r="G41" s="40"/>
      <c r="H41" s="40"/>
      <c r="I41" s="40"/>
    </row>
    <row r="42" spans="1:9" s="31" customFormat="1" ht="13.5">
      <c r="A42" s="71">
        <v>36</v>
      </c>
      <c r="B42" s="35" t="s">
        <v>629</v>
      </c>
      <c r="C42" s="40">
        <v>0</v>
      </c>
      <c r="D42" s="40">
        <v>0</v>
      </c>
      <c r="E42" s="40">
        <f t="shared" si="3"/>
        <v>0</v>
      </c>
      <c r="F42" s="32"/>
      <c r="G42" s="40"/>
      <c r="H42" s="40"/>
      <c r="I42" s="40"/>
    </row>
    <row r="43" spans="1:9" s="31" customFormat="1" ht="13.5">
      <c r="A43" s="74">
        <v>37</v>
      </c>
      <c r="B43" s="35" t="s">
        <v>628</v>
      </c>
      <c r="C43" s="40">
        <v>0</v>
      </c>
      <c r="D43" s="40">
        <v>267460</v>
      </c>
      <c r="E43" s="40">
        <f t="shared" si="3"/>
        <v>267460</v>
      </c>
      <c r="F43" s="32"/>
      <c r="G43" s="40"/>
      <c r="H43" s="40"/>
      <c r="I43" s="40"/>
    </row>
    <row r="44" spans="1:9" s="33" customFormat="1" ht="6" customHeight="1">
      <c r="A44" s="999"/>
      <c r="B44" s="1000"/>
      <c r="C44" s="1000"/>
      <c r="D44" s="1000"/>
      <c r="E44" s="1000"/>
      <c r="F44" s="1000"/>
      <c r="G44" s="1000"/>
      <c r="H44" s="1000"/>
      <c r="I44" s="1001"/>
    </row>
    <row r="45" spans="1:9" s="33" customFormat="1" ht="15">
      <c r="A45" s="74">
        <v>38</v>
      </c>
      <c r="B45" s="1002" t="s">
        <v>478</v>
      </c>
      <c r="C45" s="1003"/>
      <c r="D45" s="1003"/>
      <c r="E45" s="1003"/>
      <c r="F45" s="1003"/>
      <c r="G45" s="92">
        <f>C7-G7</f>
        <v>-279449620</v>
      </c>
      <c r="H45" s="92">
        <f>D7-H7</f>
        <v>-881830262</v>
      </c>
      <c r="I45" s="92">
        <f>SUM(G45:H45)</f>
        <v>-1161279882</v>
      </c>
    </row>
    <row r="46" spans="1:9" s="33" customFormat="1" ht="6" customHeight="1">
      <c r="A46" s="991"/>
      <c r="B46" s="992"/>
      <c r="C46" s="992"/>
      <c r="D46" s="992"/>
      <c r="E46" s="992"/>
      <c r="F46" s="992"/>
      <c r="G46" s="992"/>
      <c r="H46" s="992"/>
      <c r="I46" s="993"/>
    </row>
    <row r="47" spans="1:9" s="45" customFormat="1" ht="28.5">
      <c r="A47" s="74">
        <v>39</v>
      </c>
      <c r="B47" s="41" t="s">
        <v>326</v>
      </c>
      <c r="C47" s="43">
        <f>SUM(C48:C49)</f>
        <v>238565540</v>
      </c>
      <c r="D47" s="43">
        <f>SUM(D48:D49)</f>
        <v>942013879</v>
      </c>
      <c r="E47" s="43">
        <f>SUM(E48:E49)</f>
        <v>1180579419</v>
      </c>
      <c r="F47" s="44"/>
      <c r="G47" s="43"/>
      <c r="H47" s="43"/>
      <c r="I47" s="43"/>
    </row>
    <row r="48" spans="1:9" s="54" customFormat="1" ht="13.5">
      <c r="A48" s="71">
        <v>40</v>
      </c>
      <c r="B48" s="55" t="s">
        <v>630</v>
      </c>
      <c r="C48" s="49">
        <f>152741175+789210+75829006+334626+2000+13068678-4199155</f>
        <v>238565540</v>
      </c>
      <c r="D48" s="49">
        <f>896617876-510500+45906503</f>
        <v>942013879</v>
      </c>
      <c r="E48" s="49">
        <f aca="true" t="shared" si="4" ref="E48:E54">SUM(C48:D48)</f>
        <v>1180579419</v>
      </c>
      <c r="F48" s="50"/>
      <c r="G48" s="49"/>
      <c r="H48" s="49"/>
      <c r="I48" s="49"/>
    </row>
    <row r="49" spans="1:9" s="54" customFormat="1" ht="13.5">
      <c r="A49" s="71">
        <v>41</v>
      </c>
      <c r="B49" s="55" t="s">
        <v>631</v>
      </c>
      <c r="C49" s="49">
        <f>-1370149+1370149</f>
        <v>0</v>
      </c>
      <c r="D49" s="49">
        <v>0</v>
      </c>
      <c r="E49" s="49">
        <f>SUM(C49:D49)</f>
        <v>0</v>
      </c>
      <c r="F49" s="50"/>
      <c r="G49" s="49"/>
      <c r="H49" s="49"/>
      <c r="I49" s="49"/>
    </row>
    <row r="50" spans="1:9" s="45" customFormat="1" ht="28.5">
      <c r="A50" s="74">
        <v>42</v>
      </c>
      <c r="B50" s="41" t="s">
        <v>327</v>
      </c>
      <c r="C50" s="640">
        <f>SUM(C51:C53)</f>
        <v>0</v>
      </c>
      <c r="D50" s="640">
        <f>SUM(D51:D53)</f>
        <v>0</v>
      </c>
      <c r="E50" s="640">
        <f t="shared" si="4"/>
        <v>0</v>
      </c>
      <c r="F50" s="641" t="s">
        <v>328</v>
      </c>
      <c r="G50" s="640">
        <f>SUM(G51:G53)</f>
        <v>19299537</v>
      </c>
      <c r="H50" s="640">
        <f>SUM(H51:H53)</f>
        <v>0</v>
      </c>
      <c r="I50" s="640">
        <f>SUM(G50:H50)</f>
        <v>19299537</v>
      </c>
    </row>
    <row r="51" spans="1:9" s="54" customFormat="1" ht="13.5">
      <c r="A51" s="74">
        <v>43</v>
      </c>
      <c r="B51" s="53" t="s">
        <v>632</v>
      </c>
      <c r="C51" s="49">
        <v>0</v>
      </c>
      <c r="D51" s="49">
        <v>0</v>
      </c>
      <c r="E51" s="49">
        <f t="shared" si="4"/>
        <v>0</v>
      </c>
      <c r="F51" s="50" t="s">
        <v>634</v>
      </c>
      <c r="G51" s="49">
        <v>0</v>
      </c>
      <c r="H51" s="49">
        <v>0</v>
      </c>
      <c r="I51" s="49">
        <f>SUM(G51:H51)</f>
        <v>0</v>
      </c>
    </row>
    <row r="52" spans="1:9" s="56" customFormat="1" ht="12.75">
      <c r="A52" s="74">
        <v>44</v>
      </c>
      <c r="B52" s="53" t="s">
        <v>633</v>
      </c>
      <c r="C52" s="49">
        <v>0</v>
      </c>
      <c r="D52" s="49">
        <v>0</v>
      </c>
      <c r="E52" s="49">
        <f>SUM(C52:D52)</f>
        <v>0</v>
      </c>
      <c r="F52" s="50" t="s">
        <v>635</v>
      </c>
      <c r="G52" s="49">
        <v>0</v>
      </c>
      <c r="H52" s="49">
        <v>0</v>
      </c>
      <c r="I52" s="49">
        <f>SUM(G52:H52)</f>
        <v>0</v>
      </c>
    </row>
    <row r="53" spans="1:9" s="56" customFormat="1" ht="12.75">
      <c r="A53" s="74">
        <v>45</v>
      </c>
      <c r="B53" s="53" t="s">
        <v>626</v>
      </c>
      <c r="C53" s="49">
        <v>0</v>
      </c>
      <c r="D53" s="49">
        <v>0</v>
      </c>
      <c r="E53" s="49">
        <f>SUM(C53:D53)</f>
        <v>0</v>
      </c>
      <c r="F53" s="53" t="s">
        <v>627</v>
      </c>
      <c r="G53" s="49">
        <v>19299537</v>
      </c>
      <c r="H53" s="49">
        <v>0</v>
      </c>
      <c r="I53" s="49">
        <f>SUM(G53:H53)</f>
        <v>19299537</v>
      </c>
    </row>
    <row r="54" spans="1:9" s="47" customFormat="1" ht="15.75">
      <c r="A54" s="74">
        <v>46</v>
      </c>
      <c r="B54" s="46" t="s">
        <v>429</v>
      </c>
      <c r="C54" s="60">
        <f>SUM(C7,C47,C50)</f>
        <v>1366113725</v>
      </c>
      <c r="D54" s="60">
        <f>SUM(D7,D47,D50)</f>
        <v>1033434958</v>
      </c>
      <c r="E54" s="60">
        <f t="shared" si="4"/>
        <v>2399548683</v>
      </c>
      <c r="F54" s="46" t="s">
        <v>336</v>
      </c>
      <c r="G54" s="60">
        <f>SUM(G7,G50)</f>
        <v>1426297342</v>
      </c>
      <c r="H54" s="60">
        <f>SUM(H7,H50)</f>
        <v>973251341</v>
      </c>
      <c r="I54" s="60">
        <f>SUM(G54:H54)</f>
        <v>2399548683</v>
      </c>
    </row>
    <row r="61" ht="15">
      <c r="B61" s="34"/>
    </row>
  </sheetData>
  <sheetProtection/>
  <mergeCells count="8">
    <mergeCell ref="A46:I46"/>
    <mergeCell ref="F1:I1"/>
    <mergeCell ref="B2:I2"/>
    <mergeCell ref="B4:E4"/>
    <mergeCell ref="F4:I4"/>
    <mergeCell ref="A4:A6"/>
    <mergeCell ref="A44:I44"/>
    <mergeCell ref="B45:F45"/>
  </mergeCells>
  <printOptions horizontalCentered="1"/>
  <pageMargins left="0.15748031496062992" right="0.15748031496062992" top="0.5905511811023623" bottom="0.1968503937007874" header="0.5118110236220472" footer="0.5118110236220472"/>
  <pageSetup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57"/>
  <sheetViews>
    <sheetView zoomScale="95" zoomScaleNormal="95" zoomScalePageLayoutView="0" workbookViewId="0" topLeftCell="C1">
      <pane xSplit="4" ySplit="7" topLeftCell="G8" activePane="bottomRight" state="frozen"/>
      <selection pane="topLeft" activeCell="C1" sqref="C1"/>
      <selection pane="topRight" activeCell="G1" sqref="G1"/>
      <selection pane="bottomLeft" activeCell="C8" sqref="C8"/>
      <selection pane="bottomRight" activeCell="E2" sqref="E2:X2"/>
    </sheetView>
  </sheetViews>
  <sheetFormatPr defaultColWidth="8.875" defaultRowHeight="12.75"/>
  <cols>
    <col min="1" max="1" width="1.37890625" style="432" hidden="1" customWidth="1"/>
    <col min="2" max="3" width="8.00390625" style="433" hidden="1" customWidth="1"/>
    <col min="4" max="4" width="4.625" style="434" bestFit="1" customWidth="1"/>
    <col min="5" max="5" width="30.375" style="432" customWidth="1"/>
    <col min="6" max="6" width="9.25390625" style="435" hidden="1" customWidth="1"/>
    <col min="7" max="7" width="11.375" style="432" bestFit="1" customWidth="1"/>
    <col min="8" max="8" width="11.125" style="432" customWidth="1"/>
    <col min="9" max="9" width="11.375" style="432" customWidth="1"/>
    <col min="10" max="11" width="10.25390625" style="432" customWidth="1"/>
    <col min="12" max="12" width="11.625" style="432" customWidth="1"/>
    <col min="13" max="13" width="9.875" style="432" customWidth="1"/>
    <col min="14" max="14" width="9.25390625" style="432" customWidth="1"/>
    <col min="15" max="16" width="10.00390625" style="432" customWidth="1"/>
    <col min="17" max="17" width="11.875" style="432" customWidth="1"/>
    <col min="18" max="18" width="10.00390625" style="432" customWidth="1"/>
    <col min="19" max="19" width="10.375" style="432" bestFit="1" customWidth="1"/>
    <col min="20" max="20" width="12.875" style="432" bestFit="1" customWidth="1"/>
    <col min="21" max="21" width="11.375" style="432" bestFit="1" customWidth="1"/>
    <col min="22" max="22" width="11.125" style="432" customWidth="1"/>
    <col min="23" max="23" width="10.625" style="432" customWidth="1"/>
    <col min="24" max="24" width="15.75390625" style="489" bestFit="1" customWidth="1"/>
    <col min="25" max="25" width="14.375" style="432" customWidth="1"/>
    <col min="26" max="26" width="9.875" style="432" bestFit="1" customWidth="1"/>
    <col min="27" max="16384" width="8.875" style="432" customWidth="1"/>
  </cols>
  <sheetData>
    <row r="1" spans="3:24" ht="15">
      <c r="C1" s="1005"/>
      <c r="M1" s="127"/>
      <c r="N1" s="127"/>
      <c r="O1" s="127"/>
      <c r="P1" s="127"/>
      <c r="Q1" s="127"/>
      <c r="R1" s="127"/>
      <c r="S1" s="1006" t="s">
        <v>1128</v>
      </c>
      <c r="T1" s="1007"/>
      <c r="U1" s="1007"/>
      <c r="V1" s="1007"/>
      <c r="W1" s="1007"/>
      <c r="X1" s="1007"/>
    </row>
    <row r="2" spans="1:24" ht="15.75">
      <c r="A2" s="436"/>
      <c r="B2" s="437"/>
      <c r="C2" s="1005"/>
      <c r="D2" s="437"/>
      <c r="E2" s="1008" t="s">
        <v>782</v>
      </c>
      <c r="F2" s="1008"/>
      <c r="G2" s="1008"/>
      <c r="H2" s="1008"/>
      <c r="I2" s="1008"/>
      <c r="J2" s="1008"/>
      <c r="K2" s="1008"/>
      <c r="L2" s="1008"/>
      <c r="M2" s="1008"/>
      <c r="N2" s="1008"/>
      <c r="O2" s="1008"/>
      <c r="P2" s="1008"/>
      <c r="Q2" s="1008"/>
      <c r="R2" s="1008"/>
      <c r="S2" s="1008"/>
      <c r="T2" s="1008"/>
      <c r="U2" s="1008"/>
      <c r="V2" s="1008"/>
      <c r="W2" s="1008"/>
      <c r="X2" s="1008"/>
    </row>
    <row r="3" ht="12.75" thickBot="1">
      <c r="X3" s="438"/>
    </row>
    <row r="4" spans="2:24" s="439" customFormat="1" ht="12.75" customHeight="1">
      <c r="B4" s="440"/>
      <c r="C4" s="440"/>
      <c r="D4" s="1009" t="s">
        <v>422</v>
      </c>
      <c r="E4" s="1012" t="s">
        <v>352</v>
      </c>
      <c r="F4" s="1015" t="s">
        <v>358</v>
      </c>
      <c r="G4" s="1021" t="s">
        <v>359</v>
      </c>
      <c r="H4" s="1022"/>
      <c r="I4" s="1022"/>
      <c r="J4" s="1022"/>
      <c r="K4" s="1022"/>
      <c r="L4" s="1022"/>
      <c r="M4" s="1022"/>
      <c r="N4" s="1022"/>
      <c r="O4" s="1022"/>
      <c r="P4" s="1022"/>
      <c r="Q4" s="1022"/>
      <c r="R4" s="1022"/>
      <c r="S4" s="1022"/>
      <c r="T4" s="1022"/>
      <c r="U4" s="1022"/>
      <c r="V4" s="1022"/>
      <c r="W4" s="1023"/>
      <c r="X4" s="1024" t="s">
        <v>360</v>
      </c>
    </row>
    <row r="5" spans="2:24" s="441" customFormat="1" ht="12" customHeight="1">
      <c r="B5" s="442"/>
      <c r="C5" s="442"/>
      <c r="D5" s="1010"/>
      <c r="E5" s="1013"/>
      <c r="F5" s="1016"/>
      <c r="G5" s="443" t="s">
        <v>1</v>
      </c>
      <c r="H5" s="443" t="s">
        <v>3</v>
      </c>
      <c r="I5" s="443" t="s">
        <v>5</v>
      </c>
      <c r="J5" s="443" t="s">
        <v>8</v>
      </c>
      <c r="K5" s="1018" t="s">
        <v>581</v>
      </c>
      <c r="L5" s="1019"/>
      <c r="M5" s="1019"/>
      <c r="N5" s="1019"/>
      <c r="O5" s="1019"/>
      <c r="P5" s="1019"/>
      <c r="Q5" s="1019"/>
      <c r="R5" s="1019"/>
      <c r="S5" s="1020"/>
      <c r="T5" s="445" t="s">
        <v>110</v>
      </c>
      <c r="U5" s="445" t="s">
        <v>112</v>
      </c>
      <c r="V5" s="443" t="s">
        <v>114</v>
      </c>
      <c r="W5" s="443" t="s">
        <v>116</v>
      </c>
      <c r="X5" s="1025"/>
    </row>
    <row r="6" spans="2:24" s="441" customFormat="1" ht="63.75" customHeight="1">
      <c r="B6" s="442"/>
      <c r="C6" s="442"/>
      <c r="D6" s="1010"/>
      <c r="E6" s="1014"/>
      <c r="F6" s="1017"/>
      <c r="G6" s="446" t="s">
        <v>335</v>
      </c>
      <c r="H6" s="446" t="s">
        <v>572</v>
      </c>
      <c r="I6" s="446" t="s">
        <v>354</v>
      </c>
      <c r="J6" s="446" t="s">
        <v>9</v>
      </c>
      <c r="K6" s="446" t="s">
        <v>133</v>
      </c>
      <c r="L6" s="446" t="s">
        <v>109</v>
      </c>
      <c r="M6" s="446" t="s">
        <v>729</v>
      </c>
      <c r="N6" s="446" t="s">
        <v>415</v>
      </c>
      <c r="O6" s="446" t="s">
        <v>427</v>
      </c>
      <c r="P6" s="446" t="s">
        <v>439</v>
      </c>
      <c r="Q6" s="446" t="s">
        <v>968</v>
      </c>
      <c r="R6" s="446" t="s">
        <v>972</v>
      </c>
      <c r="S6" s="446" t="s">
        <v>777</v>
      </c>
      <c r="T6" s="444" t="s">
        <v>333</v>
      </c>
      <c r="U6" s="444" t="s">
        <v>362</v>
      </c>
      <c r="V6" s="446" t="s">
        <v>580</v>
      </c>
      <c r="W6" s="446" t="s">
        <v>115</v>
      </c>
      <c r="X6" s="1026"/>
    </row>
    <row r="7" spans="2:24" s="447" customFormat="1" ht="12">
      <c r="B7" s="448"/>
      <c r="C7" s="448"/>
      <c r="D7" s="1011"/>
      <c r="E7" s="449" t="s">
        <v>416</v>
      </c>
      <c r="F7" s="450" t="s">
        <v>417</v>
      </c>
      <c r="G7" s="451" t="s">
        <v>417</v>
      </c>
      <c r="H7" s="451" t="s">
        <v>418</v>
      </c>
      <c r="I7" s="452" t="s">
        <v>419</v>
      </c>
      <c r="J7" s="449" t="s">
        <v>420</v>
      </c>
      <c r="K7" s="449" t="s">
        <v>421</v>
      </c>
      <c r="L7" s="452" t="s">
        <v>423</v>
      </c>
      <c r="M7" s="452" t="s">
        <v>424</v>
      </c>
      <c r="N7" s="452" t="s">
        <v>375</v>
      </c>
      <c r="O7" s="452" t="s">
        <v>376</v>
      </c>
      <c r="P7" s="451" t="s">
        <v>377</v>
      </c>
      <c r="Q7" s="451" t="s">
        <v>378</v>
      </c>
      <c r="R7" s="452" t="s">
        <v>379</v>
      </c>
      <c r="S7" s="452" t="s">
        <v>380</v>
      </c>
      <c r="T7" s="453" t="s">
        <v>381</v>
      </c>
      <c r="U7" s="454" t="s">
        <v>382</v>
      </c>
      <c r="V7" s="455" t="s">
        <v>753</v>
      </c>
      <c r="W7" s="454" t="s">
        <v>970</v>
      </c>
      <c r="X7" s="455" t="s">
        <v>969</v>
      </c>
    </row>
    <row r="8" spans="1:24" s="463" customFormat="1" ht="24">
      <c r="A8" s="432"/>
      <c r="B8" s="433"/>
      <c r="C8" s="433" t="s">
        <v>57</v>
      </c>
      <c r="D8" s="456" t="s">
        <v>383</v>
      </c>
      <c r="E8" s="457" t="s">
        <v>58</v>
      </c>
      <c r="F8" s="458"/>
      <c r="G8" s="459">
        <f>34989435+6600+347826+45939-4</f>
        <v>35389796</v>
      </c>
      <c r="H8" s="459">
        <f>8083672+1155+52174-45939+44564-2</f>
        <v>8135624</v>
      </c>
      <c r="I8" s="460">
        <f>15275133+16823647+92377+6500+4615000+30000+36836+710550+12040142-20000+7744917</f>
        <v>57355102</v>
      </c>
      <c r="J8" s="460"/>
      <c r="K8" s="460"/>
      <c r="L8" s="460">
        <f>22297000-70000</f>
        <v>22227000</v>
      </c>
      <c r="M8" s="460">
        <f>100000-100000</f>
        <v>0</v>
      </c>
      <c r="N8" s="460"/>
      <c r="O8" s="460"/>
      <c r="P8" s="460"/>
      <c r="Q8" s="460"/>
      <c r="R8" s="460"/>
      <c r="S8" s="460"/>
      <c r="T8" s="459">
        <f>20000</f>
        <v>20000</v>
      </c>
      <c r="U8" s="460"/>
      <c r="V8" s="461"/>
      <c r="W8" s="460"/>
      <c r="X8" s="462">
        <f aca="true" t="shared" si="0" ref="X8:X51">SUM(G8:W8)</f>
        <v>123127522</v>
      </c>
    </row>
    <row r="9" spans="1:24" s="463" customFormat="1" ht="20.25" customHeight="1">
      <c r="A9" s="432"/>
      <c r="B9" s="433"/>
      <c r="C9" s="433" t="s">
        <v>57</v>
      </c>
      <c r="D9" s="456" t="s">
        <v>384</v>
      </c>
      <c r="E9" s="457" t="s">
        <v>978</v>
      </c>
      <c r="F9" s="458"/>
      <c r="G9" s="459">
        <f>241500+120750+4</f>
        <v>362254</v>
      </c>
      <c r="H9" s="459">
        <f>37432+18716+2</f>
        <v>56150</v>
      </c>
      <c r="I9" s="460"/>
      <c r="J9" s="460"/>
      <c r="K9" s="460"/>
      <c r="L9" s="460"/>
      <c r="M9" s="460"/>
      <c r="N9" s="460"/>
      <c r="O9" s="460"/>
      <c r="P9" s="460"/>
      <c r="Q9" s="460"/>
      <c r="R9" s="460"/>
      <c r="S9" s="460"/>
      <c r="T9" s="459"/>
      <c r="U9" s="460"/>
      <c r="V9" s="461"/>
      <c r="W9" s="460"/>
      <c r="X9" s="462">
        <f t="shared" si="0"/>
        <v>418404</v>
      </c>
    </row>
    <row r="10" spans="1:24" s="463" customFormat="1" ht="24">
      <c r="A10" s="432"/>
      <c r="B10" s="433" t="s">
        <v>52</v>
      </c>
      <c r="C10" s="433" t="s">
        <v>54</v>
      </c>
      <c r="D10" s="464" t="s">
        <v>385</v>
      </c>
      <c r="E10" s="465" t="s">
        <v>55</v>
      </c>
      <c r="F10" s="466"/>
      <c r="G10" s="467"/>
      <c r="H10" s="467"/>
      <c r="I10" s="461">
        <f>40527704-54000+500000+308085+1143000+9534431+200000+1505094+306250+123000</f>
        <v>54093564</v>
      </c>
      <c r="J10" s="461"/>
      <c r="K10" s="461"/>
      <c r="L10" s="461">
        <f>42084000-4779000</f>
        <v>37305000</v>
      </c>
      <c r="M10" s="461"/>
      <c r="N10" s="461"/>
      <c r="O10" s="461"/>
      <c r="P10" s="461"/>
      <c r="Q10" s="461"/>
      <c r="R10" s="461"/>
      <c r="S10" s="461"/>
      <c r="T10" s="467">
        <f>452341169+4790554-13005804+22387266+2197500+79700+1500000-5000000</f>
        <v>465290385</v>
      </c>
      <c r="U10" s="461">
        <f>8794813-5098639+4700000-79700-1500000</f>
        <v>6816474</v>
      </c>
      <c r="V10" s="461">
        <f>449520+63900</f>
        <v>513420</v>
      </c>
      <c r="W10" s="461"/>
      <c r="X10" s="462">
        <f t="shared" si="0"/>
        <v>564018843</v>
      </c>
    </row>
    <row r="11" spans="1:24" s="463" customFormat="1" ht="23.25" customHeight="1">
      <c r="A11" s="432"/>
      <c r="B11" s="433"/>
      <c r="C11" s="433" t="s">
        <v>59</v>
      </c>
      <c r="D11" s="464" t="s">
        <v>386</v>
      </c>
      <c r="E11" s="465" t="s">
        <v>367</v>
      </c>
      <c r="F11" s="466"/>
      <c r="G11" s="467"/>
      <c r="H11" s="467">
        <v>311347</v>
      </c>
      <c r="I11" s="467">
        <f>21844</f>
        <v>21844</v>
      </c>
      <c r="J11" s="467"/>
      <c r="K11" s="467"/>
      <c r="L11" s="467"/>
      <c r="M11" s="467"/>
      <c r="N11" s="467"/>
      <c r="O11" s="467"/>
      <c r="P11" s="467"/>
      <c r="Q11" s="467"/>
      <c r="R11" s="467"/>
      <c r="S11" s="467"/>
      <c r="T11" s="467"/>
      <c r="U11" s="461"/>
      <c r="V11" s="461"/>
      <c r="W11" s="461"/>
      <c r="X11" s="462">
        <f t="shared" si="0"/>
        <v>333191</v>
      </c>
    </row>
    <row r="12" spans="1:24" s="463" customFormat="1" ht="23.25" customHeight="1">
      <c r="A12" s="432"/>
      <c r="B12" s="433"/>
      <c r="C12" s="433" t="s">
        <v>973</v>
      </c>
      <c r="D12" s="464" t="s">
        <v>387</v>
      </c>
      <c r="E12" s="465" t="s">
        <v>971</v>
      </c>
      <c r="F12" s="466"/>
      <c r="G12" s="467"/>
      <c r="H12" s="467"/>
      <c r="I12" s="467"/>
      <c r="J12" s="467"/>
      <c r="K12" s="467">
        <v>36263474</v>
      </c>
      <c r="L12" s="467"/>
      <c r="M12" s="467"/>
      <c r="N12" s="467"/>
      <c r="O12" s="467"/>
      <c r="P12" s="467"/>
      <c r="Q12" s="467"/>
      <c r="R12" s="467"/>
      <c r="S12" s="467"/>
      <c r="T12" s="467"/>
      <c r="U12" s="461"/>
      <c r="V12" s="461"/>
      <c r="W12" s="461"/>
      <c r="X12" s="462">
        <f t="shared" si="0"/>
        <v>36263474</v>
      </c>
    </row>
    <row r="13" spans="1:24" s="463" customFormat="1" ht="23.25" customHeight="1">
      <c r="A13" s="432"/>
      <c r="B13" s="433"/>
      <c r="C13" s="433" t="s">
        <v>570</v>
      </c>
      <c r="D13" s="464" t="s">
        <v>388</v>
      </c>
      <c r="E13" s="465" t="s">
        <v>571</v>
      </c>
      <c r="F13" s="466"/>
      <c r="G13" s="467"/>
      <c r="H13" s="467"/>
      <c r="I13" s="467">
        <f>558233+13208</f>
        <v>571441</v>
      </c>
      <c r="J13" s="467"/>
      <c r="K13" s="467"/>
      <c r="L13" s="467"/>
      <c r="M13" s="467"/>
      <c r="N13" s="467"/>
      <c r="O13" s="467"/>
      <c r="P13" s="467"/>
      <c r="Q13" s="467"/>
      <c r="R13" s="467"/>
      <c r="S13" s="467"/>
      <c r="T13" s="467"/>
      <c r="U13" s="461"/>
      <c r="V13" s="461"/>
      <c r="W13" s="461">
        <v>19299537</v>
      </c>
      <c r="X13" s="462">
        <f t="shared" si="0"/>
        <v>19870978</v>
      </c>
    </row>
    <row r="14" spans="1:24" s="463" customFormat="1" ht="23.25" customHeight="1">
      <c r="A14" s="432"/>
      <c r="B14" s="433"/>
      <c r="C14" s="433" t="s">
        <v>974</v>
      </c>
      <c r="D14" s="464" t="s">
        <v>389</v>
      </c>
      <c r="E14" s="465" t="s">
        <v>975</v>
      </c>
      <c r="F14" s="466"/>
      <c r="G14" s="467"/>
      <c r="H14" s="467"/>
      <c r="I14" s="467"/>
      <c r="J14" s="467"/>
      <c r="K14" s="467"/>
      <c r="L14" s="467"/>
      <c r="M14" s="467">
        <f>15000+115000</f>
        <v>130000</v>
      </c>
      <c r="N14" s="467"/>
      <c r="O14" s="467"/>
      <c r="P14" s="467"/>
      <c r="Q14" s="467"/>
      <c r="R14" s="467"/>
      <c r="S14" s="467"/>
      <c r="T14" s="467"/>
      <c r="U14" s="461"/>
      <c r="V14" s="461"/>
      <c r="W14" s="461"/>
      <c r="X14" s="462">
        <f t="shared" si="0"/>
        <v>130000</v>
      </c>
    </row>
    <row r="15" spans="1:24" s="463" customFormat="1" ht="24">
      <c r="A15" s="432">
        <v>20215</v>
      </c>
      <c r="B15" s="433" t="s">
        <v>54</v>
      </c>
      <c r="C15" s="433" t="s">
        <v>62</v>
      </c>
      <c r="D15" s="464" t="s">
        <v>390</v>
      </c>
      <c r="E15" s="465" t="s">
        <v>63</v>
      </c>
      <c r="F15" s="466"/>
      <c r="G15" s="467"/>
      <c r="H15" s="467"/>
      <c r="I15" s="461"/>
      <c r="J15" s="461"/>
      <c r="K15" s="461"/>
      <c r="L15" s="461">
        <f>12311385-3606983</f>
        <v>8704402</v>
      </c>
      <c r="M15" s="461"/>
      <c r="N15" s="461"/>
      <c r="O15" s="461"/>
      <c r="P15" s="461"/>
      <c r="Q15" s="461"/>
      <c r="R15" s="461"/>
      <c r="S15" s="461"/>
      <c r="T15" s="467"/>
      <c r="U15" s="461"/>
      <c r="V15" s="461"/>
      <c r="W15" s="461"/>
      <c r="X15" s="462">
        <f t="shared" si="0"/>
        <v>8704402</v>
      </c>
    </row>
    <row r="16" spans="1:24" s="463" customFormat="1" ht="24">
      <c r="A16" s="432"/>
      <c r="B16" s="433"/>
      <c r="C16" s="433" t="s">
        <v>697</v>
      </c>
      <c r="D16" s="464" t="s">
        <v>391</v>
      </c>
      <c r="E16" s="465" t="s">
        <v>691</v>
      </c>
      <c r="F16" s="466"/>
      <c r="G16" s="467">
        <f>3693375+11080125</f>
        <v>14773500</v>
      </c>
      <c r="H16" s="467">
        <f>323170+969525+3163</f>
        <v>1295858</v>
      </c>
      <c r="I16" s="467">
        <f>4441343+61586</f>
        <v>4502929</v>
      </c>
      <c r="J16" s="467"/>
      <c r="K16" s="467"/>
      <c r="L16" s="467"/>
      <c r="M16" s="467"/>
      <c r="N16" s="467"/>
      <c r="O16" s="467"/>
      <c r="P16" s="467"/>
      <c r="Q16" s="467"/>
      <c r="R16" s="467"/>
      <c r="S16" s="467"/>
      <c r="T16" s="467">
        <f>190500</f>
        <v>190500</v>
      </c>
      <c r="U16" s="461"/>
      <c r="V16" s="467"/>
      <c r="W16" s="461"/>
      <c r="X16" s="462">
        <f t="shared" si="0"/>
        <v>20762787</v>
      </c>
    </row>
    <row r="17" spans="1:24" s="463" customFormat="1" ht="22.5" customHeight="1">
      <c r="A17" s="432"/>
      <c r="B17" s="433"/>
      <c r="C17" s="433" t="s">
        <v>698</v>
      </c>
      <c r="D17" s="464" t="s">
        <v>392</v>
      </c>
      <c r="E17" s="465" t="s">
        <v>692</v>
      </c>
      <c r="F17" s="466"/>
      <c r="G17" s="467">
        <f>12115695+23197320+4891800+570710</f>
        <v>40775525</v>
      </c>
      <c r="H17" s="467">
        <f>1060123+2029806+81181+428040+44233</f>
        <v>3643383</v>
      </c>
      <c r="I17" s="467">
        <f>52070+1310301+267157+57150+61267</f>
        <v>1747945</v>
      </c>
      <c r="J17" s="467"/>
      <c r="K17" s="467"/>
      <c r="L17" s="467"/>
      <c r="M17" s="467"/>
      <c r="N17" s="467"/>
      <c r="O17" s="467"/>
      <c r="P17" s="467"/>
      <c r="Q17" s="467"/>
      <c r="R17" s="467"/>
      <c r="S17" s="467"/>
      <c r="T17" s="467">
        <f>74295-57150</f>
        <v>17145</v>
      </c>
      <c r="U17" s="461"/>
      <c r="V17" s="467"/>
      <c r="W17" s="461"/>
      <c r="X17" s="462">
        <f t="shared" si="0"/>
        <v>46183998</v>
      </c>
    </row>
    <row r="18" spans="2:24" ht="24">
      <c r="B18" s="433" t="s">
        <v>57</v>
      </c>
      <c r="C18" s="433" t="s">
        <v>53</v>
      </c>
      <c r="D18" s="464" t="s">
        <v>393</v>
      </c>
      <c r="E18" s="465" t="s">
        <v>486</v>
      </c>
      <c r="F18" s="466"/>
      <c r="G18" s="467"/>
      <c r="H18" s="467"/>
      <c r="I18" s="461">
        <f>15377340-436880</f>
        <v>14940460</v>
      </c>
      <c r="J18" s="461"/>
      <c r="K18" s="461"/>
      <c r="L18" s="461"/>
      <c r="M18" s="461"/>
      <c r="N18" s="461"/>
      <c r="O18" s="461"/>
      <c r="P18" s="461"/>
      <c r="Q18" s="461"/>
      <c r="R18" s="461"/>
      <c r="S18" s="461"/>
      <c r="T18" s="461">
        <f>363120+436880</f>
        <v>800000</v>
      </c>
      <c r="U18" s="461">
        <v>19846252</v>
      </c>
      <c r="V18" s="461"/>
      <c r="W18" s="461"/>
      <c r="X18" s="462">
        <f t="shared" si="0"/>
        <v>35586712</v>
      </c>
    </row>
    <row r="19" spans="2:24" ht="24">
      <c r="B19" s="433" t="s">
        <v>59</v>
      </c>
      <c r="C19" s="433" t="s">
        <v>64</v>
      </c>
      <c r="D19" s="464" t="s">
        <v>394</v>
      </c>
      <c r="E19" s="465" t="s">
        <v>65</v>
      </c>
      <c r="F19" s="466"/>
      <c r="G19" s="467"/>
      <c r="H19" s="467"/>
      <c r="I19" s="461">
        <f>5249710+366000</f>
        <v>5615710</v>
      </c>
      <c r="J19" s="461"/>
      <c r="K19" s="461"/>
      <c r="L19" s="461"/>
      <c r="M19" s="461"/>
      <c r="N19" s="461"/>
      <c r="O19" s="461"/>
      <c r="P19" s="461"/>
      <c r="Q19" s="461"/>
      <c r="R19" s="461"/>
      <c r="S19" s="461"/>
      <c r="T19" s="461">
        <f>101682090-3817843-5373648-366000+6795254-12040142</f>
        <v>86879711</v>
      </c>
      <c r="U19" s="461"/>
      <c r="V19" s="461"/>
      <c r="W19" s="461"/>
      <c r="X19" s="462">
        <f t="shared" si="0"/>
        <v>92495421</v>
      </c>
    </row>
    <row r="20" spans="3:24" ht="24">
      <c r="C20" s="433" t="s">
        <v>747</v>
      </c>
      <c r="D20" s="464" t="s">
        <v>395</v>
      </c>
      <c r="E20" s="465" t="s">
        <v>730</v>
      </c>
      <c r="F20" s="468"/>
      <c r="G20" s="467"/>
      <c r="H20" s="467"/>
      <c r="I20" s="461">
        <f>4571244+40000</f>
        <v>4611244</v>
      </c>
      <c r="J20" s="461"/>
      <c r="K20" s="461"/>
      <c r="L20" s="461"/>
      <c r="M20" s="461"/>
      <c r="N20" s="461"/>
      <c r="O20" s="461"/>
      <c r="P20" s="461"/>
      <c r="Q20" s="461"/>
      <c r="R20" s="461"/>
      <c r="S20" s="461"/>
      <c r="T20" s="461">
        <f>187978206-911000-7744917</f>
        <v>179322289</v>
      </c>
      <c r="U20" s="461"/>
      <c r="V20" s="461"/>
      <c r="W20" s="461"/>
      <c r="X20" s="462">
        <f t="shared" si="0"/>
        <v>183933533</v>
      </c>
    </row>
    <row r="21" spans="1:24" ht="24">
      <c r="A21" s="432">
        <v>751791</v>
      </c>
      <c r="B21" s="433" t="s">
        <v>60</v>
      </c>
      <c r="C21" s="433" t="s">
        <v>49</v>
      </c>
      <c r="D21" s="464" t="s">
        <v>396</v>
      </c>
      <c r="E21" s="465" t="s">
        <v>50</v>
      </c>
      <c r="F21" s="468"/>
      <c r="G21" s="461"/>
      <c r="H21" s="467"/>
      <c r="I21" s="461">
        <v>3416864</v>
      </c>
      <c r="J21" s="461"/>
      <c r="K21" s="461"/>
      <c r="L21" s="461"/>
      <c r="M21" s="461"/>
      <c r="N21" s="461"/>
      <c r="O21" s="461"/>
      <c r="P21" s="461"/>
      <c r="Q21" s="461"/>
      <c r="R21" s="461"/>
      <c r="S21" s="461"/>
      <c r="T21" s="461"/>
      <c r="U21" s="461"/>
      <c r="V21" s="461"/>
      <c r="W21" s="461"/>
      <c r="X21" s="462">
        <f t="shared" si="0"/>
        <v>3416864</v>
      </c>
    </row>
    <row r="22" spans="1:24" ht="24">
      <c r="A22" s="432">
        <v>751834</v>
      </c>
      <c r="B22" s="433" t="s">
        <v>61</v>
      </c>
      <c r="C22" s="433" t="s">
        <v>51</v>
      </c>
      <c r="D22" s="464" t="s">
        <v>397</v>
      </c>
      <c r="E22" s="465" t="s">
        <v>365</v>
      </c>
      <c r="F22" s="466"/>
      <c r="G22" s="467"/>
      <c r="H22" s="467"/>
      <c r="I22" s="461">
        <v>9798424</v>
      </c>
      <c r="J22" s="461"/>
      <c r="K22" s="461"/>
      <c r="L22" s="461"/>
      <c r="M22" s="461"/>
      <c r="N22" s="461"/>
      <c r="O22" s="461"/>
      <c r="P22" s="461"/>
      <c r="Q22" s="461"/>
      <c r="R22" s="461"/>
      <c r="S22" s="461"/>
      <c r="T22" s="461">
        <v>1000000</v>
      </c>
      <c r="U22" s="461"/>
      <c r="V22" s="461"/>
      <c r="W22" s="461"/>
      <c r="X22" s="462">
        <f t="shared" si="0"/>
        <v>10798424</v>
      </c>
    </row>
    <row r="23" spans="3:24" ht="24">
      <c r="C23" s="433" t="s">
        <v>52</v>
      </c>
      <c r="D23" s="464" t="s">
        <v>398</v>
      </c>
      <c r="E23" s="465" t="s">
        <v>731</v>
      </c>
      <c r="F23" s="466"/>
      <c r="G23" s="467"/>
      <c r="H23" s="467">
        <v>110</v>
      </c>
      <c r="I23" s="461">
        <f>4276480+33191447-3261523-27230</f>
        <v>34179174</v>
      </c>
      <c r="J23" s="461"/>
      <c r="K23" s="461"/>
      <c r="L23" s="461"/>
      <c r="M23" s="461"/>
      <c r="N23" s="461"/>
      <c r="O23" s="461"/>
      <c r="P23" s="461"/>
      <c r="Q23" s="461"/>
      <c r="R23" s="461"/>
      <c r="S23" s="461"/>
      <c r="T23" s="467">
        <f>1940000+27230</f>
        <v>1967230</v>
      </c>
      <c r="U23" s="461"/>
      <c r="V23" s="461">
        <v>5000000</v>
      </c>
      <c r="W23" s="461"/>
      <c r="X23" s="462">
        <f t="shared" si="0"/>
        <v>41146514</v>
      </c>
    </row>
    <row r="24" spans="3:24" ht="24">
      <c r="C24" s="433" t="s">
        <v>748</v>
      </c>
      <c r="D24" s="464" t="s">
        <v>399</v>
      </c>
      <c r="E24" s="465" t="s">
        <v>732</v>
      </c>
      <c r="F24" s="466"/>
      <c r="G24" s="467"/>
      <c r="H24" s="467"/>
      <c r="I24" s="461">
        <f>1377000+726390-726390</f>
        <v>1377000</v>
      </c>
      <c r="J24" s="461"/>
      <c r="K24" s="461"/>
      <c r="L24" s="461"/>
      <c r="M24" s="461"/>
      <c r="N24" s="461"/>
      <c r="O24" s="461"/>
      <c r="P24" s="461"/>
      <c r="Q24" s="461"/>
      <c r="R24" s="461"/>
      <c r="S24" s="461"/>
      <c r="T24" s="467"/>
      <c r="U24" s="461">
        <f>21830061+829010</f>
        <v>22659071</v>
      </c>
      <c r="V24" s="461"/>
      <c r="W24" s="461"/>
      <c r="X24" s="462">
        <f t="shared" si="0"/>
        <v>24036071</v>
      </c>
    </row>
    <row r="25" spans="3:24" ht="24">
      <c r="C25" s="433" t="s">
        <v>817</v>
      </c>
      <c r="D25" s="464" t="s">
        <v>400</v>
      </c>
      <c r="E25" s="465" t="s">
        <v>783</v>
      </c>
      <c r="F25" s="466"/>
      <c r="G25" s="467">
        <v>1044000</v>
      </c>
      <c r="H25" s="467">
        <v>164430</v>
      </c>
      <c r="I25" s="461">
        <f>640554-254000</f>
        <v>386554</v>
      </c>
      <c r="J25" s="461"/>
      <c r="K25" s="461"/>
      <c r="L25" s="461"/>
      <c r="M25" s="461"/>
      <c r="N25" s="461"/>
      <c r="O25" s="461"/>
      <c r="P25" s="461"/>
      <c r="Q25" s="461"/>
      <c r="R25" s="461"/>
      <c r="S25" s="461"/>
      <c r="T25" s="467">
        <f>973100-755546</f>
        <v>217554</v>
      </c>
      <c r="U25" s="461"/>
      <c r="V25" s="461"/>
      <c r="W25" s="461"/>
      <c r="X25" s="462">
        <f t="shared" si="0"/>
        <v>1812538</v>
      </c>
    </row>
    <row r="26" spans="3:24" ht="24">
      <c r="C26" s="433" t="s">
        <v>749</v>
      </c>
      <c r="D26" s="464" t="s">
        <v>401</v>
      </c>
      <c r="E26" s="465" t="s">
        <v>733</v>
      </c>
      <c r="F26" s="466"/>
      <c r="G26" s="467">
        <v>609406</v>
      </c>
      <c r="H26" s="467">
        <v>143206</v>
      </c>
      <c r="I26" s="461">
        <v>4667808</v>
      </c>
      <c r="J26" s="461"/>
      <c r="K26" s="461"/>
      <c r="L26" s="461"/>
      <c r="M26" s="461"/>
      <c r="N26" s="461"/>
      <c r="O26" s="461"/>
      <c r="P26" s="461"/>
      <c r="Q26" s="461"/>
      <c r="R26" s="461"/>
      <c r="S26" s="461"/>
      <c r="T26" s="467">
        <f>19510500-1730500-17780000</f>
        <v>0</v>
      </c>
      <c r="U26" s="461">
        <f>91442680+863600+28000</f>
        <v>92334280</v>
      </c>
      <c r="V26" s="461"/>
      <c r="W26" s="461"/>
      <c r="X26" s="462">
        <f t="shared" si="0"/>
        <v>97754700</v>
      </c>
    </row>
    <row r="27" spans="3:24" ht="24" customHeight="1">
      <c r="C27" s="433" t="s">
        <v>693</v>
      </c>
      <c r="D27" s="464" t="s">
        <v>402</v>
      </c>
      <c r="E27" s="465" t="s">
        <v>694</v>
      </c>
      <c r="F27" s="466"/>
      <c r="G27" s="467"/>
      <c r="H27" s="461"/>
      <c r="I27" s="461">
        <v>416194</v>
      </c>
      <c r="J27" s="461"/>
      <c r="K27" s="461"/>
      <c r="L27" s="461"/>
      <c r="M27" s="461"/>
      <c r="N27" s="461"/>
      <c r="O27" s="461"/>
      <c r="P27" s="461"/>
      <c r="Q27" s="461"/>
      <c r="R27" s="461"/>
      <c r="S27" s="461"/>
      <c r="T27" s="467"/>
      <c r="U27" s="461">
        <v>6759599</v>
      </c>
      <c r="V27" s="461"/>
      <c r="W27" s="461"/>
      <c r="X27" s="462">
        <f t="shared" si="0"/>
        <v>7175793</v>
      </c>
    </row>
    <row r="28" spans="1:24" ht="24" customHeight="1">
      <c r="A28" s="432">
        <v>751966</v>
      </c>
      <c r="B28" s="433" t="s">
        <v>62</v>
      </c>
      <c r="C28" s="433" t="s">
        <v>60</v>
      </c>
      <c r="D28" s="464" t="s">
        <v>403</v>
      </c>
      <c r="E28" s="465" t="s">
        <v>368</v>
      </c>
      <c r="F28" s="466"/>
      <c r="G28" s="467"/>
      <c r="H28" s="461"/>
      <c r="I28" s="461">
        <f>24094440+414268</f>
        <v>24508708</v>
      </c>
      <c r="J28" s="461"/>
      <c r="K28" s="461"/>
      <c r="L28" s="461"/>
      <c r="M28" s="461"/>
      <c r="N28" s="461"/>
      <c r="O28" s="461"/>
      <c r="P28" s="461"/>
      <c r="Q28" s="461"/>
      <c r="R28" s="461"/>
      <c r="S28" s="461"/>
      <c r="T28" s="467"/>
      <c r="U28" s="461">
        <v>2794000</v>
      </c>
      <c r="V28" s="461"/>
      <c r="W28" s="461"/>
      <c r="X28" s="462">
        <f t="shared" si="0"/>
        <v>27302708</v>
      </c>
    </row>
    <row r="29" spans="1:24" ht="24" customHeight="1">
      <c r="A29" s="432">
        <v>751999</v>
      </c>
      <c r="B29" s="433" t="s">
        <v>64</v>
      </c>
      <c r="C29" s="433" t="s">
        <v>56</v>
      </c>
      <c r="D29" s="464" t="s">
        <v>404</v>
      </c>
      <c r="E29" s="465" t="s">
        <v>487</v>
      </c>
      <c r="F29" s="466"/>
      <c r="G29" s="467"/>
      <c r="H29" s="467"/>
      <c r="I29" s="461">
        <v>2640000</v>
      </c>
      <c r="J29" s="461"/>
      <c r="K29" s="461"/>
      <c r="L29" s="461">
        <f>32277000-1444000</f>
        <v>30833000</v>
      </c>
      <c r="M29" s="461"/>
      <c r="N29" s="461"/>
      <c r="O29" s="461"/>
      <c r="P29" s="461"/>
      <c r="Q29" s="461"/>
      <c r="R29" s="461"/>
      <c r="S29" s="461"/>
      <c r="T29" s="467"/>
      <c r="U29" s="461"/>
      <c r="V29" s="461"/>
      <c r="W29" s="461"/>
      <c r="X29" s="462">
        <f t="shared" si="0"/>
        <v>33473000</v>
      </c>
    </row>
    <row r="30" spans="2:25" ht="24">
      <c r="B30" s="433" t="s">
        <v>66</v>
      </c>
      <c r="C30" s="433" t="s">
        <v>61</v>
      </c>
      <c r="D30" s="464" t="s">
        <v>447</v>
      </c>
      <c r="E30" s="465" t="s">
        <v>488</v>
      </c>
      <c r="F30" s="466"/>
      <c r="G30" s="467">
        <f>25000+33000</f>
        <v>58000</v>
      </c>
      <c r="H30" s="467">
        <f>3938+5197</f>
        <v>9135</v>
      </c>
      <c r="I30" s="461">
        <f>14028933+401078+382588+349267-3000+998220</f>
        <v>16157086</v>
      </c>
      <c r="J30" s="461"/>
      <c r="K30" s="461"/>
      <c r="L30" s="461">
        <f>14018000-6364000-3280000</f>
        <v>4374000</v>
      </c>
      <c r="M30" s="461"/>
      <c r="N30" s="461"/>
      <c r="O30" s="461"/>
      <c r="P30" s="461"/>
      <c r="Q30" s="461"/>
      <c r="R30" s="461"/>
      <c r="S30" s="461"/>
      <c r="T30" s="467">
        <f>3348220-998220</f>
        <v>2350000</v>
      </c>
      <c r="U30" s="461">
        <f>2000000+3261523</f>
        <v>5261523</v>
      </c>
      <c r="V30" s="461"/>
      <c r="W30" s="461"/>
      <c r="X30" s="462">
        <f t="shared" si="0"/>
        <v>28209744</v>
      </c>
      <c r="Y30" s="469"/>
    </row>
    <row r="31" spans="2:25" ht="24" customHeight="1">
      <c r="B31" s="433" t="s">
        <v>67</v>
      </c>
      <c r="C31" s="433" t="s">
        <v>67</v>
      </c>
      <c r="D31" s="1004" t="s">
        <v>1119</v>
      </c>
      <c r="E31" s="465" t="s">
        <v>370</v>
      </c>
      <c r="F31" s="470"/>
      <c r="G31" s="461"/>
      <c r="H31" s="461"/>
      <c r="I31" s="461">
        <v>360000</v>
      </c>
      <c r="J31" s="461"/>
      <c r="K31" s="461"/>
      <c r="L31" s="461"/>
      <c r="M31" s="461"/>
      <c r="N31" s="461"/>
      <c r="O31" s="461"/>
      <c r="P31" s="461"/>
      <c r="Q31" s="461"/>
      <c r="R31" s="461"/>
      <c r="S31" s="461"/>
      <c r="T31" s="461"/>
      <c r="U31" s="461"/>
      <c r="V31" s="461"/>
      <c r="W31" s="461"/>
      <c r="X31" s="462">
        <f t="shared" si="0"/>
        <v>360000</v>
      </c>
      <c r="Y31" s="469"/>
    </row>
    <row r="32" spans="2:26" ht="24" customHeight="1">
      <c r="B32" s="433" t="s">
        <v>68</v>
      </c>
      <c r="C32" s="433" t="s">
        <v>68</v>
      </c>
      <c r="D32" s="1004"/>
      <c r="E32" s="465" t="s">
        <v>371</v>
      </c>
      <c r="F32" s="470"/>
      <c r="G32" s="461"/>
      <c r="H32" s="461">
        <v>492</v>
      </c>
      <c r="I32" s="461">
        <f>27644450+2513</f>
        <v>27646963</v>
      </c>
      <c r="J32" s="461"/>
      <c r="K32" s="461"/>
      <c r="L32" s="461"/>
      <c r="M32" s="461"/>
      <c r="N32" s="461"/>
      <c r="O32" s="461"/>
      <c r="P32" s="461"/>
      <c r="Q32" s="461"/>
      <c r="R32" s="461"/>
      <c r="S32" s="461"/>
      <c r="T32" s="461"/>
      <c r="U32" s="461"/>
      <c r="V32" s="461"/>
      <c r="W32" s="461"/>
      <c r="X32" s="462">
        <f t="shared" si="0"/>
        <v>27647455</v>
      </c>
      <c r="Z32" s="432" t="s">
        <v>674</v>
      </c>
    </row>
    <row r="33" spans="1:26" ht="24" customHeight="1">
      <c r="A33" s="432">
        <v>851286</v>
      </c>
      <c r="B33" s="433" t="s">
        <v>69</v>
      </c>
      <c r="C33" s="433" t="s">
        <v>69</v>
      </c>
      <c r="D33" s="1004"/>
      <c r="E33" s="465" t="s">
        <v>372</v>
      </c>
      <c r="F33" s="470"/>
      <c r="G33" s="461"/>
      <c r="H33" s="461"/>
      <c r="I33" s="461">
        <v>120000</v>
      </c>
      <c r="J33" s="461"/>
      <c r="K33" s="461"/>
      <c r="L33" s="461">
        <f>2626200+2307500+2324200</f>
        <v>7257900</v>
      </c>
      <c r="M33" s="461"/>
      <c r="N33" s="461"/>
      <c r="O33" s="461"/>
      <c r="P33" s="461"/>
      <c r="Q33" s="461"/>
      <c r="R33" s="461"/>
      <c r="S33" s="461"/>
      <c r="T33" s="461"/>
      <c r="U33" s="461"/>
      <c r="V33" s="461"/>
      <c r="W33" s="461"/>
      <c r="X33" s="462">
        <f t="shared" si="0"/>
        <v>7377900</v>
      </c>
      <c r="Z33" s="469">
        <f>SUM(X31:X34)</f>
        <v>73652592</v>
      </c>
    </row>
    <row r="34" spans="1:24" s="463" customFormat="1" ht="27" customHeight="1">
      <c r="A34" s="432">
        <v>851297</v>
      </c>
      <c r="B34" s="433" t="s">
        <v>70</v>
      </c>
      <c r="C34" s="433" t="s">
        <v>70</v>
      </c>
      <c r="D34" s="1004"/>
      <c r="E34" s="465" t="s">
        <v>426</v>
      </c>
      <c r="F34" s="470"/>
      <c r="G34" s="461">
        <f>27396716+2500000</f>
        <v>29896716</v>
      </c>
      <c r="H34" s="461">
        <f>4793101+387500+50000</f>
        <v>5230601</v>
      </c>
      <c r="I34" s="461">
        <v>2949420</v>
      </c>
      <c r="J34" s="461"/>
      <c r="K34" s="461"/>
      <c r="L34" s="461"/>
      <c r="M34" s="461"/>
      <c r="N34" s="461"/>
      <c r="O34" s="461"/>
      <c r="P34" s="461"/>
      <c r="Q34" s="461"/>
      <c r="R34" s="461"/>
      <c r="S34" s="461"/>
      <c r="T34" s="461">
        <v>190500</v>
      </c>
      <c r="U34" s="461"/>
      <c r="V34" s="461"/>
      <c r="W34" s="461"/>
      <c r="X34" s="462">
        <f t="shared" si="0"/>
        <v>38267237</v>
      </c>
    </row>
    <row r="35" spans="1:24" s="463" customFormat="1" ht="24" customHeight="1">
      <c r="A35" s="432"/>
      <c r="B35" s="433"/>
      <c r="C35" s="433" t="s">
        <v>894</v>
      </c>
      <c r="D35" s="464" t="s">
        <v>449</v>
      </c>
      <c r="E35" s="465" t="s">
        <v>895</v>
      </c>
      <c r="F35" s="471"/>
      <c r="G35" s="461"/>
      <c r="H35" s="461"/>
      <c r="I35" s="461">
        <f>600000+1275000+17500</f>
        <v>1892500</v>
      </c>
      <c r="J35" s="461"/>
      <c r="K35" s="461"/>
      <c r="L35" s="461"/>
      <c r="M35" s="461"/>
      <c r="N35" s="461"/>
      <c r="O35" s="461"/>
      <c r="P35" s="461"/>
      <c r="Q35" s="461"/>
      <c r="R35" s="461"/>
      <c r="S35" s="461"/>
      <c r="T35" s="461">
        <f>400000+100000</f>
        <v>500000</v>
      </c>
      <c r="U35" s="461"/>
      <c r="V35" s="461"/>
      <c r="W35" s="461"/>
      <c r="X35" s="462">
        <f t="shared" si="0"/>
        <v>2392500</v>
      </c>
    </row>
    <row r="36" spans="1:24" s="463" customFormat="1" ht="24" customHeight="1">
      <c r="A36" s="432">
        <v>853322</v>
      </c>
      <c r="B36" s="433" t="s">
        <v>71</v>
      </c>
      <c r="C36" s="433" t="s">
        <v>79</v>
      </c>
      <c r="D36" s="464" t="s">
        <v>438</v>
      </c>
      <c r="E36" s="465" t="s">
        <v>80</v>
      </c>
      <c r="F36" s="471"/>
      <c r="G36" s="461"/>
      <c r="H36" s="461"/>
      <c r="I36" s="461">
        <f>1500000-1500000</f>
        <v>0</v>
      </c>
      <c r="J36" s="461"/>
      <c r="K36" s="461"/>
      <c r="L36" s="461">
        <f>16949000</f>
        <v>16949000</v>
      </c>
      <c r="M36" s="461"/>
      <c r="N36" s="461"/>
      <c r="O36" s="461"/>
      <c r="P36" s="461"/>
      <c r="Q36" s="461"/>
      <c r="R36" s="461"/>
      <c r="S36" s="461"/>
      <c r="T36" s="461"/>
      <c r="U36" s="461"/>
      <c r="V36" s="461"/>
      <c r="W36" s="461"/>
      <c r="X36" s="462">
        <f t="shared" si="0"/>
        <v>16949000</v>
      </c>
    </row>
    <row r="37" spans="1:24" s="463" customFormat="1" ht="24">
      <c r="A37" s="432"/>
      <c r="B37" s="433" t="s">
        <v>72</v>
      </c>
      <c r="C37" s="433" t="s">
        <v>485</v>
      </c>
      <c r="D37" s="464" t="s">
        <v>450</v>
      </c>
      <c r="E37" s="472" t="s">
        <v>550</v>
      </c>
      <c r="F37" s="471"/>
      <c r="G37" s="461">
        <v>80000</v>
      </c>
      <c r="H37" s="461">
        <v>38963</v>
      </c>
      <c r="I37" s="461">
        <f>1830220+31383</f>
        <v>1861603</v>
      </c>
      <c r="J37" s="461"/>
      <c r="K37" s="461"/>
      <c r="L37" s="461"/>
      <c r="M37" s="461"/>
      <c r="N37" s="461"/>
      <c r="O37" s="461"/>
      <c r="P37" s="461"/>
      <c r="Q37" s="461"/>
      <c r="R37" s="461"/>
      <c r="S37" s="461"/>
      <c r="T37" s="461">
        <v>730250</v>
      </c>
      <c r="U37" s="461"/>
      <c r="V37" s="461"/>
      <c r="W37" s="461"/>
      <c r="X37" s="462">
        <f t="shared" si="0"/>
        <v>2710816</v>
      </c>
    </row>
    <row r="38" spans="2:26" ht="20.25" customHeight="1">
      <c r="B38" s="433" t="s">
        <v>74</v>
      </c>
      <c r="C38" s="433" t="s">
        <v>750</v>
      </c>
      <c r="D38" s="474" t="s">
        <v>405</v>
      </c>
      <c r="E38" s="465" t="s">
        <v>82</v>
      </c>
      <c r="F38" s="470"/>
      <c r="G38" s="461"/>
      <c r="H38" s="461"/>
      <c r="I38" s="461">
        <v>73660</v>
      </c>
      <c r="J38" s="461"/>
      <c r="K38" s="473"/>
      <c r="L38" s="473"/>
      <c r="M38" s="461"/>
      <c r="N38" s="461"/>
      <c r="O38" s="461"/>
      <c r="P38" s="461"/>
      <c r="Q38" s="461"/>
      <c r="R38" s="461"/>
      <c r="S38" s="461"/>
      <c r="T38" s="461"/>
      <c r="U38" s="461"/>
      <c r="V38" s="461"/>
      <c r="W38" s="461"/>
      <c r="X38" s="462">
        <f t="shared" si="0"/>
        <v>73660</v>
      </c>
      <c r="Z38" s="469">
        <f>SUM(X38:X38)</f>
        <v>73660</v>
      </c>
    </row>
    <row r="39" spans="3:26" ht="27" customHeight="1">
      <c r="C39" s="433" t="s">
        <v>751</v>
      </c>
      <c r="D39" s="474" t="s">
        <v>406</v>
      </c>
      <c r="E39" s="465" t="s">
        <v>734</v>
      </c>
      <c r="F39" s="470"/>
      <c r="G39" s="461">
        <v>5400000</v>
      </c>
      <c r="H39" s="461">
        <v>927500</v>
      </c>
      <c r="I39" s="461">
        <f>5902169+55552</f>
        <v>5957721</v>
      </c>
      <c r="J39" s="461"/>
      <c r="K39" s="473"/>
      <c r="L39" s="473"/>
      <c r="M39" s="461"/>
      <c r="N39" s="461"/>
      <c r="O39" s="461"/>
      <c r="P39" s="461"/>
      <c r="Q39" s="461"/>
      <c r="R39" s="461"/>
      <c r="S39" s="461"/>
      <c r="T39" s="461"/>
      <c r="U39" s="461"/>
      <c r="V39" s="461"/>
      <c r="W39" s="461"/>
      <c r="X39" s="462">
        <f t="shared" si="0"/>
        <v>12285221</v>
      </c>
      <c r="Z39" s="469"/>
    </row>
    <row r="40" spans="3:26" ht="26.25" customHeight="1">
      <c r="C40" s="433" t="s">
        <v>66</v>
      </c>
      <c r="D40" s="474" t="s">
        <v>407</v>
      </c>
      <c r="E40" s="465" t="s">
        <v>735</v>
      </c>
      <c r="F40" s="470"/>
      <c r="G40" s="461"/>
      <c r="H40" s="461"/>
      <c r="I40" s="461"/>
      <c r="J40" s="461"/>
      <c r="K40" s="473"/>
      <c r="L40" s="473"/>
      <c r="M40" s="461"/>
      <c r="N40" s="461"/>
      <c r="O40" s="461"/>
      <c r="P40" s="461"/>
      <c r="Q40" s="461"/>
      <c r="R40" s="461"/>
      <c r="S40" s="461"/>
      <c r="T40" s="461"/>
      <c r="U40" s="461">
        <v>31599998</v>
      </c>
      <c r="V40" s="461"/>
      <c r="W40" s="461"/>
      <c r="X40" s="462">
        <f t="shared" si="0"/>
        <v>31599998</v>
      </c>
      <c r="Z40" s="469"/>
    </row>
    <row r="41" spans="3:26" ht="24.75" customHeight="1">
      <c r="C41" s="433" t="s">
        <v>752</v>
      </c>
      <c r="D41" s="474" t="s">
        <v>451</v>
      </c>
      <c r="E41" s="465" t="s">
        <v>736</v>
      </c>
      <c r="F41" s="470"/>
      <c r="G41" s="461">
        <f>8650000+5000000</f>
        <v>13650000</v>
      </c>
      <c r="H41" s="461">
        <f>1409909+875000</f>
        <v>2284909</v>
      </c>
      <c r="I41" s="461">
        <f>2242300+18063936-10911298</f>
        <v>9394938</v>
      </c>
      <c r="J41" s="461"/>
      <c r="K41" s="473"/>
      <c r="L41" s="473"/>
      <c r="M41" s="461"/>
      <c r="N41" s="461"/>
      <c r="O41" s="461"/>
      <c r="P41" s="461"/>
      <c r="Q41" s="461"/>
      <c r="R41" s="461"/>
      <c r="S41" s="461"/>
      <c r="T41" s="461"/>
      <c r="U41" s="461"/>
      <c r="V41" s="461"/>
      <c r="W41" s="461"/>
      <c r="X41" s="462">
        <f t="shared" si="0"/>
        <v>25329847</v>
      </c>
      <c r="Z41" s="469"/>
    </row>
    <row r="42" spans="3:24" ht="24">
      <c r="C42" s="433" t="s">
        <v>576</v>
      </c>
      <c r="D42" s="474" t="s">
        <v>408</v>
      </c>
      <c r="E42" s="465" t="s">
        <v>577</v>
      </c>
      <c r="F42" s="470"/>
      <c r="G42" s="461">
        <v>2543600</v>
      </c>
      <c r="H42" s="461">
        <v>445130</v>
      </c>
      <c r="I42" s="461">
        <f>57876511+1012863</f>
        <v>58889374</v>
      </c>
      <c r="J42" s="461"/>
      <c r="K42" s="461"/>
      <c r="L42" s="461"/>
      <c r="M42" s="461"/>
      <c r="N42" s="461"/>
      <c r="O42" s="461"/>
      <c r="P42" s="461"/>
      <c r="Q42" s="461"/>
      <c r="R42" s="461"/>
      <c r="S42" s="461"/>
      <c r="T42" s="461">
        <v>74930</v>
      </c>
      <c r="U42" s="461"/>
      <c r="V42" s="461"/>
      <c r="W42" s="461"/>
      <c r="X42" s="462">
        <f t="shared" si="0"/>
        <v>61953034</v>
      </c>
    </row>
    <row r="43" spans="2:24" ht="24" customHeight="1">
      <c r="B43" s="433" t="s">
        <v>75</v>
      </c>
      <c r="C43" s="433" t="s">
        <v>573</v>
      </c>
      <c r="D43" s="474" t="s">
        <v>425</v>
      </c>
      <c r="E43" s="465" t="s">
        <v>574</v>
      </c>
      <c r="F43" s="470"/>
      <c r="G43" s="461"/>
      <c r="H43" s="461"/>
      <c r="I43" s="461">
        <f>11650000+951095</f>
        <v>12601095</v>
      </c>
      <c r="J43" s="461"/>
      <c r="K43" s="461"/>
      <c r="L43" s="461">
        <v>10000000</v>
      </c>
      <c r="M43" s="461"/>
      <c r="N43" s="461"/>
      <c r="O43" s="461"/>
      <c r="P43" s="461"/>
      <c r="Q43" s="461"/>
      <c r="R43" s="461"/>
      <c r="S43" s="461"/>
      <c r="T43" s="461"/>
      <c r="U43" s="461"/>
      <c r="V43" s="461"/>
      <c r="W43" s="461"/>
      <c r="X43" s="462">
        <f t="shared" si="0"/>
        <v>22601095</v>
      </c>
    </row>
    <row r="44" spans="3:24" ht="24">
      <c r="C44" s="433" t="s">
        <v>578</v>
      </c>
      <c r="D44" s="474" t="s">
        <v>452</v>
      </c>
      <c r="E44" s="465" t="s">
        <v>579</v>
      </c>
      <c r="F44" s="470"/>
      <c r="G44" s="461"/>
      <c r="H44" s="461"/>
      <c r="I44" s="461">
        <f>1812600+73560+229808</f>
        <v>2115968</v>
      </c>
      <c r="J44" s="461"/>
      <c r="K44" s="461"/>
      <c r="L44" s="461"/>
      <c r="M44" s="461"/>
      <c r="N44" s="461"/>
      <c r="O44" s="461"/>
      <c r="P44" s="461"/>
      <c r="Q44" s="461"/>
      <c r="R44" s="461"/>
      <c r="S44" s="461"/>
      <c r="T44" s="461"/>
      <c r="U44" s="461"/>
      <c r="V44" s="461"/>
      <c r="W44" s="461"/>
      <c r="X44" s="462">
        <f t="shared" si="0"/>
        <v>2115968</v>
      </c>
    </row>
    <row r="45" spans="3:26" ht="24" customHeight="1">
      <c r="C45" s="433" t="s">
        <v>75</v>
      </c>
      <c r="D45" s="474" t="s">
        <v>453</v>
      </c>
      <c r="E45" s="465" t="s">
        <v>695</v>
      </c>
      <c r="F45" s="470"/>
      <c r="G45" s="461">
        <v>24650000</v>
      </c>
      <c r="H45" s="461">
        <v>4900455</v>
      </c>
      <c r="I45" s="461">
        <f>17254444+13881090-519024</f>
        <v>30616510</v>
      </c>
      <c r="J45" s="461"/>
      <c r="K45" s="461"/>
      <c r="L45" s="461"/>
      <c r="M45" s="461"/>
      <c r="N45" s="461"/>
      <c r="O45" s="461"/>
      <c r="P45" s="461"/>
      <c r="Q45" s="461"/>
      <c r="R45" s="461"/>
      <c r="S45" s="461"/>
      <c r="T45" s="461">
        <v>6000000</v>
      </c>
      <c r="U45" s="461"/>
      <c r="V45" s="461"/>
      <c r="W45" s="461"/>
      <c r="X45" s="462">
        <f t="shared" si="0"/>
        <v>66166965</v>
      </c>
      <c r="Z45" s="469">
        <f>SUM(X43:X46)</f>
        <v>116528945</v>
      </c>
    </row>
    <row r="46" spans="2:24" ht="24" customHeight="1">
      <c r="B46" s="433" t="s">
        <v>77</v>
      </c>
      <c r="C46" s="433" t="s">
        <v>73</v>
      </c>
      <c r="D46" s="474" t="s">
        <v>741</v>
      </c>
      <c r="E46" s="465" t="s">
        <v>434</v>
      </c>
      <c r="F46" s="470"/>
      <c r="G46" s="461">
        <f>1344830</f>
        <v>1344830</v>
      </c>
      <c r="H46" s="461">
        <f>208449</f>
        <v>208449</v>
      </c>
      <c r="I46" s="461">
        <f>2600000+17596440+265050+328388+1500000</f>
        <v>22289878</v>
      </c>
      <c r="J46" s="461"/>
      <c r="K46" s="461"/>
      <c r="L46" s="461">
        <f>2032000-1016000</f>
        <v>1016000</v>
      </c>
      <c r="M46" s="461"/>
      <c r="N46" s="461"/>
      <c r="O46" s="461"/>
      <c r="P46" s="461"/>
      <c r="Q46" s="461"/>
      <c r="R46" s="461"/>
      <c r="S46" s="461"/>
      <c r="T46" s="461">
        <f>560000+225760</f>
        <v>785760</v>
      </c>
      <c r="U46" s="461"/>
      <c r="V46" s="461"/>
      <c r="W46" s="461"/>
      <c r="X46" s="462">
        <f t="shared" si="0"/>
        <v>25644917</v>
      </c>
    </row>
    <row r="47" spans="3:24" ht="24" customHeight="1">
      <c r="C47" s="433" t="s">
        <v>737</v>
      </c>
      <c r="D47" s="474" t="s">
        <v>742</v>
      </c>
      <c r="E47" s="465" t="s">
        <v>738</v>
      </c>
      <c r="F47" s="470"/>
      <c r="G47" s="461">
        <f>3459090</f>
        <v>3459090</v>
      </c>
      <c r="H47" s="461">
        <f>536159</f>
        <v>536159</v>
      </c>
      <c r="I47" s="461">
        <f>175000+31750+4600000</f>
        <v>4806750</v>
      </c>
      <c r="J47" s="461"/>
      <c r="K47" s="461"/>
      <c r="L47" s="461">
        <f>2286000-1143000</f>
        <v>1143000</v>
      </c>
      <c r="M47" s="461"/>
      <c r="N47" s="461"/>
      <c r="O47" s="461"/>
      <c r="P47" s="461"/>
      <c r="Q47" s="461"/>
      <c r="R47" s="461"/>
      <c r="S47" s="461"/>
      <c r="T47" s="461">
        <f>250000-237338</f>
        <v>12662</v>
      </c>
      <c r="U47" s="461"/>
      <c r="V47" s="475"/>
      <c r="W47" s="461"/>
      <c r="X47" s="462">
        <f t="shared" si="0"/>
        <v>9957661</v>
      </c>
    </row>
    <row r="48" spans="2:24" ht="24">
      <c r="B48" s="433" t="s">
        <v>79</v>
      </c>
      <c r="C48" s="433" t="s">
        <v>76</v>
      </c>
      <c r="D48" s="474" t="s">
        <v>743</v>
      </c>
      <c r="E48" s="465" t="s">
        <v>575</v>
      </c>
      <c r="F48" s="470"/>
      <c r="G48" s="461"/>
      <c r="H48" s="461"/>
      <c r="I48" s="461"/>
      <c r="J48" s="461">
        <f>3804900+7300000</f>
        <v>11104900</v>
      </c>
      <c r="K48" s="461"/>
      <c r="L48" s="461"/>
      <c r="M48" s="461"/>
      <c r="N48" s="461"/>
      <c r="O48" s="461"/>
      <c r="P48" s="461"/>
      <c r="Q48" s="461"/>
      <c r="R48" s="461"/>
      <c r="S48" s="461"/>
      <c r="T48" s="461"/>
      <c r="U48" s="461"/>
      <c r="V48" s="475"/>
      <c r="W48" s="461"/>
      <c r="X48" s="462">
        <f t="shared" si="0"/>
        <v>11104900</v>
      </c>
    </row>
    <row r="49" spans="3:24" ht="24">
      <c r="C49" s="433" t="s">
        <v>739</v>
      </c>
      <c r="D49" s="474" t="s">
        <v>744</v>
      </c>
      <c r="E49" s="465" t="s">
        <v>740</v>
      </c>
      <c r="F49" s="476"/>
      <c r="G49" s="477">
        <f>18342800+1350000+1125000+16410600-416917-2160000</f>
        <v>34651483</v>
      </c>
      <c r="H49" s="475">
        <f>3773040+236250+196875+2543643-64622-334800</f>
        <v>6350386</v>
      </c>
      <c r="I49" s="475">
        <f>22523810+60657486-13077629-18954243-7292340</f>
        <v>43857084</v>
      </c>
      <c r="J49" s="475"/>
      <c r="K49" s="475"/>
      <c r="L49" s="475"/>
      <c r="M49" s="475"/>
      <c r="N49" s="475"/>
      <c r="O49" s="475"/>
      <c r="P49" s="475"/>
      <c r="Q49" s="475"/>
      <c r="R49" s="475"/>
      <c r="S49" s="475"/>
      <c r="T49" s="475">
        <v>2460790</v>
      </c>
      <c r="U49" s="475">
        <f>523290+7292340</f>
        <v>7815630</v>
      </c>
      <c r="V49" s="477"/>
      <c r="W49" s="475"/>
      <c r="X49" s="462">
        <f t="shared" si="0"/>
        <v>95135373</v>
      </c>
    </row>
    <row r="50" spans="4:24" ht="24">
      <c r="D50" s="474" t="s">
        <v>745</v>
      </c>
      <c r="E50" s="465" t="s">
        <v>369</v>
      </c>
      <c r="F50" s="476"/>
      <c r="G50" s="477"/>
      <c r="H50" s="475"/>
      <c r="I50" s="475"/>
      <c r="J50" s="475"/>
      <c r="K50" s="475"/>
      <c r="L50" s="475"/>
      <c r="M50" s="475"/>
      <c r="N50" s="475">
        <f>1000000-1000000</f>
        <v>0</v>
      </c>
      <c r="O50" s="475">
        <f>350000+1841851</f>
        <v>2191851</v>
      </c>
      <c r="P50" s="475">
        <f>1000000-1000000</f>
        <v>0</v>
      </c>
      <c r="Q50" s="475">
        <f>121735509-9534431-1841851-33191447-2702314-8864634-558233-36263474-4615000-22387266+911000-2197500+5373648-726390-55552+519024+13077629+755546+10911298-15055017-2307500-440857-15000-200000-401078-382588-3610256-510500-7422766</f>
        <v>0</v>
      </c>
      <c r="R50" s="475">
        <v>15055017</v>
      </c>
      <c r="S50" s="475">
        <f>200000-160000</f>
        <v>40000</v>
      </c>
      <c r="T50" s="475"/>
      <c r="U50" s="475"/>
      <c r="V50" s="477"/>
      <c r="W50" s="475"/>
      <c r="X50" s="462">
        <f t="shared" si="0"/>
        <v>17286868</v>
      </c>
    </row>
    <row r="51" spans="3:24" ht="24">
      <c r="C51" s="433" t="s">
        <v>696</v>
      </c>
      <c r="D51" s="474" t="s">
        <v>746</v>
      </c>
      <c r="E51" s="479" t="s">
        <v>549</v>
      </c>
      <c r="F51" s="476"/>
      <c r="G51" s="477"/>
      <c r="H51" s="477"/>
      <c r="I51" s="477">
        <v>8285000</v>
      </c>
      <c r="J51" s="477"/>
      <c r="K51" s="477"/>
      <c r="L51" s="477"/>
      <c r="M51" s="477"/>
      <c r="N51" s="477"/>
      <c r="O51" s="477"/>
      <c r="P51" s="477"/>
      <c r="Q51" s="477"/>
      <c r="R51" s="477"/>
      <c r="S51" s="477"/>
      <c r="T51" s="477"/>
      <c r="U51" s="477"/>
      <c r="V51" s="477"/>
      <c r="W51" s="477"/>
      <c r="X51" s="462">
        <f t="shared" si="0"/>
        <v>8285000</v>
      </c>
    </row>
    <row r="52" spans="1:27" s="480" customFormat="1" ht="24" customHeight="1" thickBot="1">
      <c r="A52" s="480">
        <v>999997</v>
      </c>
      <c r="B52" s="478"/>
      <c r="D52" s="481" t="s">
        <v>896</v>
      </c>
      <c r="E52" s="482" t="s">
        <v>356</v>
      </c>
      <c r="F52" s="483">
        <f>SUM(F8:F48)</f>
        <v>0</v>
      </c>
      <c r="G52" s="484">
        <f aca="true" t="shared" si="1" ref="G52:X52">SUM(G8:G51)</f>
        <v>208688200</v>
      </c>
      <c r="H52" s="484">
        <f t="shared" si="1"/>
        <v>34682287</v>
      </c>
      <c r="I52" s="484">
        <f t="shared" si="1"/>
        <v>474726515</v>
      </c>
      <c r="J52" s="484">
        <f t="shared" si="1"/>
        <v>11104900</v>
      </c>
      <c r="K52" s="484">
        <f t="shared" si="1"/>
        <v>36263474</v>
      </c>
      <c r="L52" s="484">
        <f t="shared" si="1"/>
        <v>139809302</v>
      </c>
      <c r="M52" s="484">
        <f t="shared" si="1"/>
        <v>130000</v>
      </c>
      <c r="N52" s="484">
        <f t="shared" si="1"/>
        <v>0</v>
      </c>
      <c r="O52" s="484">
        <f t="shared" si="1"/>
        <v>2191851</v>
      </c>
      <c r="P52" s="484">
        <f t="shared" si="1"/>
        <v>0</v>
      </c>
      <c r="Q52" s="484">
        <f t="shared" si="1"/>
        <v>0</v>
      </c>
      <c r="R52" s="484">
        <f t="shared" si="1"/>
        <v>15055017</v>
      </c>
      <c r="S52" s="484">
        <f t="shared" si="1"/>
        <v>40000</v>
      </c>
      <c r="T52" s="484">
        <f t="shared" si="1"/>
        <v>748809706</v>
      </c>
      <c r="U52" s="484">
        <f t="shared" si="1"/>
        <v>195886827</v>
      </c>
      <c r="V52" s="484">
        <f t="shared" si="1"/>
        <v>5513420</v>
      </c>
      <c r="W52" s="484">
        <f t="shared" si="1"/>
        <v>19299537</v>
      </c>
      <c r="X52" s="485">
        <f t="shared" si="1"/>
        <v>1892201036</v>
      </c>
      <c r="Y52" s="486">
        <f>SUM(G52:W52)</f>
        <v>1892201036</v>
      </c>
      <c r="Z52" s="487"/>
      <c r="AA52" s="487"/>
    </row>
    <row r="53" ht="12.75">
      <c r="E53" s="488"/>
    </row>
    <row r="57" ht="12">
      <c r="F57" s="490"/>
    </row>
  </sheetData>
  <sheetProtection/>
  <mergeCells count="10">
    <mergeCell ref="D31:D34"/>
    <mergeCell ref="C1:C2"/>
    <mergeCell ref="S1:X1"/>
    <mergeCell ref="E2:X2"/>
    <mergeCell ref="D4:D7"/>
    <mergeCell ref="E4:E6"/>
    <mergeCell ref="F4:F6"/>
    <mergeCell ref="K5:S5"/>
    <mergeCell ref="G4:W4"/>
    <mergeCell ref="X4:X6"/>
  </mergeCells>
  <printOptions horizontalCentered="1"/>
  <pageMargins left="0.07874015748031496" right="0.07874015748031496" top="0.7874015748031497" bottom="0.7874015748031497" header="0.11811023622047245" footer="0.1968503937007874"/>
  <pageSetup horizontalDpi="600" verticalDpi="600" orientation="landscape" paperSize="9" scale="62" r:id="rId1"/>
  <rowBreaks count="1" manualBreakCount="1">
    <brk id="30" min="3" max="2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N41"/>
  <sheetViews>
    <sheetView zoomScalePageLayoutView="0" workbookViewId="0" topLeftCell="C28">
      <selection activeCell="L33" sqref="L33"/>
    </sheetView>
  </sheetViews>
  <sheetFormatPr defaultColWidth="8.875" defaultRowHeight="12.75"/>
  <cols>
    <col min="1" max="1" width="1.37890625" style="432" hidden="1" customWidth="1"/>
    <col min="2" max="2" width="8.00390625" style="433" hidden="1" customWidth="1"/>
    <col min="3" max="3" width="8.00390625" style="433" customWidth="1"/>
    <col min="4" max="4" width="7.625" style="434" customWidth="1"/>
    <col min="5" max="5" width="38.00390625" style="432" customWidth="1"/>
    <col min="6" max="10" width="13.125" style="432" customWidth="1"/>
    <col min="11" max="11" width="16.75390625" style="489" customWidth="1"/>
    <col min="12" max="12" width="14.375" style="432" customWidth="1"/>
    <col min="13" max="13" width="9.875" style="432" bestFit="1" customWidth="1"/>
    <col min="14" max="16384" width="8.875" style="432" customWidth="1"/>
  </cols>
  <sheetData>
    <row r="1" spans="3:11" ht="15">
      <c r="C1" s="1005"/>
      <c r="I1" s="1007"/>
      <c r="J1" s="1007"/>
      <c r="K1" s="1007"/>
    </row>
    <row r="2" spans="3:14" ht="15">
      <c r="C2" s="1005"/>
      <c r="H2" s="506"/>
      <c r="I2" s="506"/>
      <c r="J2" s="507"/>
      <c r="K2" s="506" t="s">
        <v>1129</v>
      </c>
      <c r="L2" s="507"/>
      <c r="M2" s="507"/>
      <c r="N2" s="507"/>
    </row>
    <row r="3" spans="3:14" ht="15">
      <c r="C3" s="1005"/>
      <c r="H3" s="506"/>
      <c r="I3" s="506"/>
      <c r="J3" s="507"/>
      <c r="K3" s="506"/>
      <c r="L3" s="507"/>
      <c r="M3" s="507"/>
      <c r="N3" s="507"/>
    </row>
    <row r="4" spans="1:11" s="566" customFormat="1" ht="39" customHeight="1">
      <c r="A4" s="436"/>
      <c r="B4" s="437"/>
      <c r="C4" s="1005"/>
      <c r="D4" s="1027" t="s">
        <v>784</v>
      </c>
      <c r="E4" s="1027"/>
      <c r="F4" s="1027"/>
      <c r="G4" s="1027"/>
      <c r="H4" s="1027"/>
      <c r="I4" s="1027"/>
      <c r="J4" s="1027"/>
      <c r="K4" s="1027"/>
    </row>
    <row r="5" ht="12">
      <c r="K5" s="567"/>
    </row>
    <row r="6" ht="12">
      <c r="K6" s="567"/>
    </row>
    <row r="7" ht="12.75" thickBot="1">
      <c r="K7" s="438"/>
    </row>
    <row r="8" spans="2:11" s="439" customFormat="1" ht="12.75" customHeight="1">
      <c r="B8" s="440"/>
      <c r="C8" s="440"/>
      <c r="D8" s="1009" t="s">
        <v>422</v>
      </c>
      <c r="E8" s="1012" t="s">
        <v>352</v>
      </c>
      <c r="F8" s="1021" t="s">
        <v>359</v>
      </c>
      <c r="G8" s="1022"/>
      <c r="H8" s="1022"/>
      <c r="I8" s="1022"/>
      <c r="J8" s="1022"/>
      <c r="K8" s="1024" t="s">
        <v>360</v>
      </c>
    </row>
    <row r="9" spans="2:11" s="441" customFormat="1" ht="12" customHeight="1">
      <c r="B9" s="442"/>
      <c r="C9" s="442"/>
      <c r="D9" s="1010"/>
      <c r="E9" s="1013"/>
      <c r="F9" s="443" t="s">
        <v>1</v>
      </c>
      <c r="G9" s="443" t="s">
        <v>3</v>
      </c>
      <c r="H9" s="443" t="s">
        <v>5</v>
      </c>
      <c r="I9" s="445" t="s">
        <v>110</v>
      </c>
      <c r="J9" s="445" t="s">
        <v>112</v>
      </c>
      <c r="K9" s="1025"/>
    </row>
    <row r="10" spans="2:11" s="441" customFormat="1" ht="63.75" customHeight="1">
      <c r="B10" s="442"/>
      <c r="C10" s="442"/>
      <c r="D10" s="1010"/>
      <c r="E10" s="1014"/>
      <c r="F10" s="446" t="s">
        <v>335</v>
      </c>
      <c r="G10" s="446" t="s">
        <v>572</v>
      </c>
      <c r="H10" s="446" t="s">
        <v>354</v>
      </c>
      <c r="I10" s="444" t="s">
        <v>333</v>
      </c>
      <c r="J10" s="444" t="s">
        <v>362</v>
      </c>
      <c r="K10" s="1026"/>
    </row>
    <row r="11" spans="2:11" s="515" customFormat="1" ht="12.75" thickBot="1">
      <c r="B11" s="516"/>
      <c r="C11" s="516"/>
      <c r="D11" s="1010"/>
      <c r="E11" s="517" t="s">
        <v>416</v>
      </c>
      <c r="F11" s="518" t="s">
        <v>417</v>
      </c>
      <c r="G11" s="518" t="s">
        <v>418</v>
      </c>
      <c r="H11" s="519" t="s">
        <v>419</v>
      </c>
      <c r="I11" s="519" t="s">
        <v>420</v>
      </c>
      <c r="J11" s="519" t="s">
        <v>421</v>
      </c>
      <c r="K11" s="520" t="s">
        <v>423</v>
      </c>
    </row>
    <row r="12" spans="1:11" s="463" customFormat="1" ht="36" customHeight="1">
      <c r="A12" s="432"/>
      <c r="B12" s="433"/>
      <c r="C12" s="433"/>
      <c r="D12" s="1034" t="s">
        <v>361</v>
      </c>
      <c r="E12" s="1035"/>
      <c r="F12" s="1035"/>
      <c r="G12" s="1035"/>
      <c r="H12" s="1035"/>
      <c r="I12" s="1035"/>
      <c r="J12" s="1035"/>
      <c r="K12" s="1036"/>
    </row>
    <row r="13" spans="2:11" s="524" customFormat="1" ht="34.5" customHeight="1">
      <c r="B13" s="525" t="s">
        <v>52</v>
      </c>
      <c r="C13" s="525"/>
      <c r="D13" s="526" t="s">
        <v>383</v>
      </c>
      <c r="E13" s="527" t="s">
        <v>712</v>
      </c>
      <c r="F13" s="529">
        <f>91562414+103400+1263600-340425+513114+334626+565152</f>
        <v>94001881</v>
      </c>
      <c r="G13" s="529">
        <f>16696818+18095+221130-59575-513114+87598</f>
        <v>16450952</v>
      </c>
      <c r="H13" s="529">
        <f>26913440+2000-200000-130000-81892</f>
        <v>26503548</v>
      </c>
      <c r="I13" s="529">
        <f>1934590-1204167+200000+130000+81892</f>
        <v>1142315</v>
      </c>
      <c r="J13" s="529">
        <f>1204167</f>
        <v>1204167</v>
      </c>
      <c r="K13" s="530">
        <f>SUM(F13:J13)</f>
        <v>139302863</v>
      </c>
    </row>
    <row r="14" spans="2:11" s="524" customFormat="1" ht="71.25">
      <c r="B14" s="525" t="s">
        <v>53</v>
      </c>
      <c r="C14" s="525"/>
      <c r="D14" s="526" t="s">
        <v>384</v>
      </c>
      <c r="E14" s="532" t="s">
        <v>785</v>
      </c>
      <c r="F14" s="529">
        <v>4740000</v>
      </c>
      <c r="G14" s="529">
        <v>829500</v>
      </c>
      <c r="H14" s="529">
        <v>0</v>
      </c>
      <c r="I14" s="529">
        <v>0</v>
      </c>
      <c r="J14" s="529">
        <v>0</v>
      </c>
      <c r="K14" s="530">
        <f>SUM(F14:J14)</f>
        <v>5569500</v>
      </c>
    </row>
    <row r="15" spans="2:11" s="524" customFormat="1" ht="57.75" thickBot="1">
      <c r="B15" s="525"/>
      <c r="C15" s="525"/>
      <c r="D15" s="531" t="s">
        <v>385</v>
      </c>
      <c r="E15" s="532" t="s">
        <v>1001</v>
      </c>
      <c r="F15" s="533">
        <f>2452125+416917</f>
        <v>2869042</v>
      </c>
      <c r="G15" s="533">
        <f>429122+64622</f>
        <v>493744</v>
      </c>
      <c r="H15" s="533">
        <v>0</v>
      </c>
      <c r="I15" s="533">
        <v>0</v>
      </c>
      <c r="J15" s="533">
        <v>0</v>
      </c>
      <c r="K15" s="534">
        <f>SUM(F15:J15)</f>
        <v>3362786</v>
      </c>
    </row>
    <row r="16" spans="1:14" s="535" customFormat="1" ht="24" customHeight="1" thickBot="1">
      <c r="A16" s="535">
        <v>999997</v>
      </c>
      <c r="B16" s="536"/>
      <c r="D16" s="537" t="s">
        <v>386</v>
      </c>
      <c r="E16" s="538" t="s">
        <v>356</v>
      </c>
      <c r="F16" s="539">
        <f aca="true" t="shared" si="0" ref="F16:K16">SUM(F10:F15)</f>
        <v>101610923</v>
      </c>
      <c r="G16" s="539">
        <f t="shared" si="0"/>
        <v>17774196</v>
      </c>
      <c r="H16" s="539">
        <f t="shared" si="0"/>
        <v>26503548</v>
      </c>
      <c r="I16" s="539">
        <f t="shared" si="0"/>
        <v>1142315</v>
      </c>
      <c r="J16" s="539">
        <f t="shared" si="0"/>
        <v>1204167</v>
      </c>
      <c r="K16" s="540">
        <f t="shared" si="0"/>
        <v>148235149</v>
      </c>
      <c r="L16" s="541">
        <f>SUM(F16:J16)</f>
        <v>148235149</v>
      </c>
      <c r="M16" s="542"/>
      <c r="N16" s="542"/>
    </row>
    <row r="17" spans="1:11" s="523" customFormat="1" ht="36.75" customHeight="1">
      <c r="A17" s="521"/>
      <c r="B17" s="522"/>
      <c r="C17" s="522"/>
      <c r="D17" s="1028" t="s">
        <v>676</v>
      </c>
      <c r="E17" s="1029"/>
      <c r="F17" s="1029"/>
      <c r="G17" s="1029"/>
      <c r="H17" s="1029"/>
      <c r="I17" s="1029"/>
      <c r="J17" s="1029"/>
      <c r="K17" s="1030"/>
    </row>
    <row r="18" spans="2:11" s="838" customFormat="1" ht="23.25" customHeight="1">
      <c r="B18" s="839" t="s">
        <v>52</v>
      </c>
      <c r="C18" s="839"/>
      <c r="D18" s="840" t="s">
        <v>383</v>
      </c>
      <c r="E18" s="841" t="s">
        <v>819</v>
      </c>
      <c r="F18" s="842">
        <v>0</v>
      </c>
      <c r="G18" s="842">
        <v>0</v>
      </c>
      <c r="H18" s="842">
        <f>31853858+544626</f>
        <v>32398484</v>
      </c>
      <c r="I18" s="842">
        <v>0</v>
      </c>
      <c r="J18" s="843">
        <v>0</v>
      </c>
      <c r="K18" s="844">
        <f aca="true" t="shared" si="1" ref="K18:K29">SUM(F18:J18)</f>
        <v>32398484</v>
      </c>
    </row>
    <row r="19" spans="2:11" s="838" customFormat="1" ht="23.25" customHeight="1">
      <c r="B19" s="839" t="s">
        <v>53</v>
      </c>
      <c r="C19" s="839"/>
      <c r="D19" s="840" t="s">
        <v>384</v>
      </c>
      <c r="E19" s="841" t="s">
        <v>726</v>
      </c>
      <c r="F19" s="842">
        <f>106347224+3215520-330000-1461600+216700+7803952-9</f>
        <v>115791787</v>
      </c>
      <c r="G19" s="842">
        <f>22358469+562716-57750-255780+37923+1209613-3</f>
        <v>23855188</v>
      </c>
      <c r="H19" s="842">
        <v>0</v>
      </c>
      <c r="I19" s="842">
        <v>0</v>
      </c>
      <c r="J19" s="843">
        <v>0</v>
      </c>
      <c r="K19" s="844">
        <f t="shared" si="1"/>
        <v>139646975</v>
      </c>
    </row>
    <row r="20" spans="2:11" s="838" customFormat="1" ht="23.25" customHeight="1">
      <c r="B20" s="839"/>
      <c r="C20" s="839"/>
      <c r="D20" s="840" t="s">
        <v>385</v>
      </c>
      <c r="E20" s="841" t="s">
        <v>786</v>
      </c>
      <c r="F20" s="842">
        <v>0</v>
      </c>
      <c r="G20" s="842">
        <v>0</v>
      </c>
      <c r="H20" s="842">
        <f>10508378+550024-14000</f>
        <v>11044402</v>
      </c>
      <c r="I20" s="842">
        <f>309245+1130000</f>
        <v>1439245</v>
      </c>
      <c r="J20" s="843">
        <f>508000+507849</f>
        <v>1015849</v>
      </c>
      <c r="K20" s="844">
        <f t="shared" si="1"/>
        <v>13499496</v>
      </c>
    </row>
    <row r="21" spans="2:11" s="838" customFormat="1" ht="23.25" customHeight="1">
      <c r="B21" s="839"/>
      <c r="C21" s="839"/>
      <c r="D21" s="840" t="s">
        <v>386</v>
      </c>
      <c r="E21" s="841" t="s">
        <v>490</v>
      </c>
      <c r="F21" s="842">
        <v>5287200</v>
      </c>
      <c r="G21" s="842">
        <v>925260</v>
      </c>
      <c r="H21" s="842">
        <f>1916238-781083-47925+348851</f>
        <v>1436081</v>
      </c>
      <c r="I21" s="842">
        <f>63500+47925</f>
        <v>111425</v>
      </c>
      <c r="J21" s="843">
        <v>0</v>
      </c>
      <c r="K21" s="844">
        <f t="shared" si="1"/>
        <v>7759966</v>
      </c>
    </row>
    <row r="22" spans="2:11" s="838" customFormat="1" ht="23.25" customHeight="1">
      <c r="B22" s="839"/>
      <c r="C22" s="839"/>
      <c r="D22" s="840" t="s">
        <v>387</v>
      </c>
      <c r="E22" s="841" t="s">
        <v>529</v>
      </c>
      <c r="F22" s="842">
        <f>24097710+1249875-1245375+1125000+1666667</f>
        <v>26893877</v>
      </c>
      <c r="G22" s="842">
        <f>4222056+218728-217940+196875+258333</f>
        <v>4678052</v>
      </c>
      <c r="H22" s="842">
        <f>4796826+91000+495000</f>
        <v>5382826</v>
      </c>
      <c r="I22" s="842">
        <v>304800</v>
      </c>
      <c r="J22" s="843">
        <v>0</v>
      </c>
      <c r="K22" s="844">
        <f t="shared" si="1"/>
        <v>37259555</v>
      </c>
    </row>
    <row r="23" spans="1:11" s="838" customFormat="1" ht="23.25" customHeight="1">
      <c r="A23" s="838">
        <v>20215</v>
      </c>
      <c r="B23" s="839" t="s">
        <v>54</v>
      </c>
      <c r="C23" s="839"/>
      <c r="D23" s="840" t="s">
        <v>388</v>
      </c>
      <c r="E23" s="841" t="s">
        <v>641</v>
      </c>
      <c r="F23" s="842">
        <f>11177496+981000-976500+1035000+304762</f>
        <v>12521758</v>
      </c>
      <c r="G23" s="842">
        <f>1927326+171675-170887+181125+47238</f>
        <v>2156477</v>
      </c>
      <c r="H23" s="842">
        <f>2955612+91000+355000</f>
        <v>3401612</v>
      </c>
      <c r="I23" s="842">
        <v>401320</v>
      </c>
      <c r="J23" s="843">
        <v>0</v>
      </c>
      <c r="K23" s="844">
        <f t="shared" si="1"/>
        <v>18481167</v>
      </c>
    </row>
    <row r="24" spans="2:11" s="838" customFormat="1" ht="23.25" customHeight="1">
      <c r="B24" s="839"/>
      <c r="C24" s="839"/>
      <c r="D24" s="840" t="s">
        <v>389</v>
      </c>
      <c r="E24" s="841" t="s">
        <v>642</v>
      </c>
      <c r="F24" s="842">
        <f>10053189+639450+377922</f>
        <v>11070561</v>
      </c>
      <c r="G24" s="842">
        <f>1759308+111904+58578</f>
        <v>1929790</v>
      </c>
      <c r="H24" s="842">
        <f>1190218+300000</f>
        <v>1490218</v>
      </c>
      <c r="I24" s="842">
        <v>95250</v>
      </c>
      <c r="J24" s="843">
        <v>0</v>
      </c>
      <c r="K24" s="844">
        <f t="shared" si="1"/>
        <v>14585819</v>
      </c>
    </row>
    <row r="25" spans="2:11" s="838" customFormat="1" ht="24.75" customHeight="1">
      <c r="B25" s="839"/>
      <c r="C25" s="839"/>
      <c r="D25" s="840" t="s">
        <v>390</v>
      </c>
      <c r="E25" s="841" t="s">
        <v>818</v>
      </c>
      <c r="F25" s="842">
        <v>0</v>
      </c>
      <c r="G25" s="842">
        <v>0</v>
      </c>
      <c r="H25" s="842">
        <f>2677147+40591</f>
        <v>2717738</v>
      </c>
      <c r="I25" s="842">
        <v>0</v>
      </c>
      <c r="J25" s="843">
        <v>0</v>
      </c>
      <c r="K25" s="844">
        <f t="shared" si="1"/>
        <v>2717738</v>
      </c>
    </row>
    <row r="26" spans="2:11" s="838" customFormat="1" ht="24.75" customHeight="1">
      <c r="B26" s="839"/>
      <c r="C26" s="839"/>
      <c r="D26" s="840" t="s">
        <v>391</v>
      </c>
      <c r="E26" s="841" t="s">
        <v>978</v>
      </c>
      <c r="F26" s="842">
        <f>1690500+9</f>
        <v>1690509</v>
      </c>
      <c r="G26" s="842">
        <f>262078-54+3</f>
        <v>262027</v>
      </c>
      <c r="H26" s="842">
        <f>14000</f>
        <v>14000</v>
      </c>
      <c r="I26" s="842">
        <v>0</v>
      </c>
      <c r="J26" s="843">
        <v>0</v>
      </c>
      <c r="K26" s="844">
        <f t="shared" si="1"/>
        <v>1966536</v>
      </c>
    </row>
    <row r="27" spans="2:11" s="838" customFormat="1" ht="71.25">
      <c r="B27" s="839"/>
      <c r="C27" s="839"/>
      <c r="D27" s="840" t="s">
        <v>392</v>
      </c>
      <c r="E27" s="841" t="s">
        <v>728</v>
      </c>
      <c r="F27" s="842">
        <f>3600000+2160000</f>
        <v>5760000</v>
      </c>
      <c r="G27" s="842">
        <f>630000+334800</f>
        <v>964800</v>
      </c>
      <c r="H27" s="842">
        <v>0</v>
      </c>
      <c r="I27" s="842">
        <v>0</v>
      </c>
      <c r="J27" s="843">
        <v>0</v>
      </c>
      <c r="K27" s="844">
        <f t="shared" si="1"/>
        <v>6724800</v>
      </c>
    </row>
    <row r="28" spans="2:11" s="838" customFormat="1" ht="57">
      <c r="B28" s="839"/>
      <c r="C28" s="839"/>
      <c r="D28" s="840" t="s">
        <v>393</v>
      </c>
      <c r="E28" s="841" t="s">
        <v>727</v>
      </c>
      <c r="F28" s="842">
        <f>6562063+2756937+6060606</f>
        <v>15379606</v>
      </c>
      <c r="G28" s="842">
        <f>1148361+482464+939394</f>
        <v>2570219</v>
      </c>
      <c r="H28" s="842">
        <f>50000+2114762+10500000</f>
        <v>12664762</v>
      </c>
      <c r="I28" s="842">
        <v>0</v>
      </c>
      <c r="J28" s="843">
        <v>0</v>
      </c>
      <c r="K28" s="844">
        <f t="shared" si="1"/>
        <v>30614587</v>
      </c>
    </row>
    <row r="29" spans="2:12" s="838" customFormat="1" ht="29.25" thickBot="1">
      <c r="B29" s="839"/>
      <c r="C29" s="839"/>
      <c r="D29" s="845" t="s">
        <v>394</v>
      </c>
      <c r="E29" s="841" t="s">
        <v>977</v>
      </c>
      <c r="F29" s="846">
        <v>0</v>
      </c>
      <c r="G29" s="846">
        <v>0</v>
      </c>
      <c r="H29" s="846">
        <v>31954</v>
      </c>
      <c r="I29" s="846">
        <v>0</v>
      </c>
      <c r="J29" s="846">
        <v>0</v>
      </c>
      <c r="K29" s="844">
        <f t="shared" si="1"/>
        <v>31954</v>
      </c>
      <c r="L29" s="847"/>
    </row>
    <row r="30" spans="1:14" s="848" customFormat="1" ht="24" customHeight="1" thickBot="1">
      <c r="A30" s="848">
        <v>999997</v>
      </c>
      <c r="B30" s="849"/>
      <c r="D30" s="850" t="s">
        <v>395</v>
      </c>
      <c r="E30" s="851" t="s">
        <v>356</v>
      </c>
      <c r="F30" s="852">
        <f aca="true" t="shared" si="2" ref="F30:K30">SUM(F17:F29)</f>
        <v>194395298</v>
      </c>
      <c r="G30" s="852">
        <f t="shared" si="2"/>
        <v>37341813</v>
      </c>
      <c r="H30" s="852">
        <f t="shared" si="2"/>
        <v>70582077</v>
      </c>
      <c r="I30" s="852">
        <f t="shared" si="2"/>
        <v>2352040</v>
      </c>
      <c r="J30" s="852">
        <f t="shared" si="2"/>
        <v>1015849</v>
      </c>
      <c r="K30" s="1322">
        <f t="shared" si="2"/>
        <v>305687077</v>
      </c>
      <c r="L30" s="847">
        <f>SUM(F30:J30)</f>
        <v>305687077</v>
      </c>
      <c r="M30" s="853"/>
      <c r="N30" s="853"/>
    </row>
    <row r="31" spans="1:11" s="463" customFormat="1" ht="39" customHeight="1">
      <c r="A31" s="432"/>
      <c r="B31" s="433"/>
      <c r="C31" s="433"/>
      <c r="D31" s="1031" t="s">
        <v>713</v>
      </c>
      <c r="E31" s="1032"/>
      <c r="F31" s="1032"/>
      <c r="G31" s="1032"/>
      <c r="H31" s="1032"/>
      <c r="I31" s="1032"/>
      <c r="J31" s="1032"/>
      <c r="K31" s="1033"/>
    </row>
    <row r="32" spans="2:11" s="524" customFormat="1" ht="31.5" customHeight="1">
      <c r="B32" s="525" t="s">
        <v>52</v>
      </c>
      <c r="C32" s="525"/>
      <c r="D32" s="526" t="s">
        <v>383</v>
      </c>
      <c r="E32" s="527" t="s">
        <v>489</v>
      </c>
      <c r="F32" s="529">
        <v>0</v>
      </c>
      <c r="G32" s="529">
        <v>0</v>
      </c>
      <c r="H32" s="529">
        <f>1082115-800000</f>
        <v>282115</v>
      </c>
      <c r="I32" s="529">
        <f>800000+145000</f>
        <v>945000</v>
      </c>
      <c r="J32" s="529">
        <v>0</v>
      </c>
      <c r="K32" s="530">
        <f aca="true" t="shared" si="3" ref="K32:K37">SUM(F32:J32)</f>
        <v>1227115</v>
      </c>
    </row>
    <row r="33" spans="2:11" s="524" customFormat="1" ht="23.25" customHeight="1">
      <c r="B33" s="525" t="s">
        <v>53</v>
      </c>
      <c r="C33" s="525"/>
      <c r="D33" s="526" t="s">
        <v>384</v>
      </c>
      <c r="E33" s="527" t="s">
        <v>373</v>
      </c>
      <c r="F33" s="529">
        <f>2802000+805087</f>
        <v>3607087</v>
      </c>
      <c r="G33" s="529">
        <f>490350+124788</f>
        <v>615138</v>
      </c>
      <c r="H33" s="529">
        <v>290700</v>
      </c>
      <c r="I33" s="529">
        <v>0</v>
      </c>
      <c r="J33" s="529">
        <v>0</v>
      </c>
      <c r="K33" s="530">
        <f t="shared" si="3"/>
        <v>4512925</v>
      </c>
    </row>
    <row r="34" spans="2:11" s="524" customFormat="1" ht="33" customHeight="1">
      <c r="B34" s="525"/>
      <c r="C34" s="525"/>
      <c r="D34" s="526" t="s">
        <v>385</v>
      </c>
      <c r="E34" s="527" t="s">
        <v>699</v>
      </c>
      <c r="F34" s="529">
        <f>11931088+300000+2415261-3</f>
        <v>14646346</v>
      </c>
      <c r="G34" s="529">
        <f>2122958+367133+374364-1</f>
        <v>2864454</v>
      </c>
      <c r="H34" s="529">
        <f>14446890-317500+144779+2954117-8000-500000</f>
        <v>16720286</v>
      </c>
      <c r="I34" s="529">
        <f>304800-177800+700000+500000</f>
        <v>1327000</v>
      </c>
      <c r="J34" s="529">
        <f>578000-578000</f>
        <v>0</v>
      </c>
      <c r="K34" s="530">
        <f t="shared" si="3"/>
        <v>35558086</v>
      </c>
    </row>
    <row r="35" spans="2:11" s="524" customFormat="1" ht="33" customHeight="1">
      <c r="B35" s="525"/>
      <c r="C35" s="525"/>
      <c r="D35" s="531" t="s">
        <v>386</v>
      </c>
      <c r="E35" s="532" t="s">
        <v>787</v>
      </c>
      <c r="F35" s="533">
        <f>1980314-775591</f>
        <v>1204723</v>
      </c>
      <c r="G35" s="533">
        <f>964502-377745</f>
        <v>586757</v>
      </c>
      <c r="H35" s="533">
        <f>7003586-2575544-21844</f>
        <v>4406198</v>
      </c>
      <c r="I35" s="533">
        <v>0</v>
      </c>
      <c r="J35" s="533">
        <v>0</v>
      </c>
      <c r="K35" s="534">
        <f t="shared" si="3"/>
        <v>6197678</v>
      </c>
    </row>
    <row r="36" spans="2:11" s="524" customFormat="1" ht="24.75" customHeight="1">
      <c r="B36" s="525"/>
      <c r="C36" s="525"/>
      <c r="D36" s="526" t="s">
        <v>387</v>
      </c>
      <c r="E36" s="527" t="s">
        <v>978</v>
      </c>
      <c r="F36" s="528">
        <f>241500+3</f>
        <v>241503</v>
      </c>
      <c r="G36" s="528">
        <f>37432+1</f>
        <v>37433</v>
      </c>
      <c r="H36" s="528">
        <f>8000</f>
        <v>8000</v>
      </c>
      <c r="I36" s="528">
        <v>0</v>
      </c>
      <c r="J36" s="529">
        <v>0</v>
      </c>
      <c r="K36" s="530">
        <f t="shared" si="3"/>
        <v>286936</v>
      </c>
    </row>
    <row r="37" spans="2:11" s="524" customFormat="1" ht="33" customHeight="1" thickBot="1">
      <c r="B37" s="525"/>
      <c r="C37" s="525"/>
      <c r="D37" s="531" t="s">
        <v>388</v>
      </c>
      <c r="E37" s="532" t="s">
        <v>725</v>
      </c>
      <c r="F37" s="533">
        <f>1800000+1000000</f>
        <v>2800000</v>
      </c>
      <c r="G37" s="533">
        <f>315000+13166+175000</f>
        <v>503166</v>
      </c>
      <c r="H37" s="533">
        <f>3527681-13166-1175000</f>
        <v>2339515</v>
      </c>
      <c r="I37" s="533">
        <v>0</v>
      </c>
      <c r="J37" s="533">
        <v>0</v>
      </c>
      <c r="K37" s="534">
        <f t="shared" si="3"/>
        <v>5642681</v>
      </c>
    </row>
    <row r="38" spans="1:14" s="535" customFormat="1" ht="24" customHeight="1" thickBot="1">
      <c r="A38" s="535">
        <v>999997</v>
      </c>
      <c r="B38" s="536"/>
      <c r="D38" s="537" t="s">
        <v>389</v>
      </c>
      <c r="E38" s="538" t="s">
        <v>356</v>
      </c>
      <c r="F38" s="539">
        <f aca="true" t="shared" si="4" ref="F38:K38">SUM(F31:F37)</f>
        <v>22499659</v>
      </c>
      <c r="G38" s="539">
        <f t="shared" si="4"/>
        <v>4606948</v>
      </c>
      <c r="H38" s="539">
        <f t="shared" si="4"/>
        <v>24046814</v>
      </c>
      <c r="I38" s="539">
        <f t="shared" si="4"/>
        <v>2272000</v>
      </c>
      <c r="J38" s="539">
        <f t="shared" si="4"/>
        <v>0</v>
      </c>
      <c r="K38" s="608">
        <f t="shared" si="4"/>
        <v>53425421</v>
      </c>
      <c r="L38" s="541">
        <f>SUM(F38:J38)</f>
        <v>53425421</v>
      </c>
      <c r="M38" s="542"/>
      <c r="N38" s="542"/>
    </row>
    <row r="41" ht="12">
      <c r="L41" s="469"/>
    </row>
  </sheetData>
  <sheetProtection/>
  <mergeCells count="10">
    <mergeCell ref="D4:K4"/>
    <mergeCell ref="D17:K17"/>
    <mergeCell ref="D31:K31"/>
    <mergeCell ref="C1:C4"/>
    <mergeCell ref="I1:K1"/>
    <mergeCell ref="D8:D11"/>
    <mergeCell ref="E8:E10"/>
    <mergeCell ref="F8:J8"/>
    <mergeCell ref="K8:K10"/>
    <mergeCell ref="D12:K12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65" r:id="rId1"/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A85"/>
  <sheetViews>
    <sheetView workbookViewId="0" topLeftCell="A1">
      <selection activeCell="G2" sqref="G2"/>
    </sheetView>
  </sheetViews>
  <sheetFormatPr defaultColWidth="9.00390625" defaultRowHeight="12.75"/>
  <cols>
    <col min="1" max="1" width="7.75390625" style="123" customWidth="1"/>
    <col min="2" max="2" width="31.75390625" style="123" customWidth="1"/>
    <col min="3" max="3" width="14.375" style="123" customWidth="1"/>
    <col min="4" max="4" width="16.25390625" style="123" bestFit="1" customWidth="1"/>
    <col min="5" max="5" width="14.625" style="123" bestFit="1" customWidth="1"/>
    <col min="6" max="6" width="16.375" style="123" bestFit="1" customWidth="1"/>
    <col min="7" max="8" width="14.75390625" style="123" bestFit="1" customWidth="1"/>
    <col min="9" max="9" width="16.375" style="123" bestFit="1" customWidth="1"/>
    <col min="10" max="11" width="12.875" style="123" customWidth="1"/>
    <col min="12" max="12" width="15.00390625" style="123" customWidth="1"/>
    <col min="13" max="13" width="17.125" style="123" bestFit="1" customWidth="1"/>
    <col min="14" max="15" width="9.125" style="123" customWidth="1"/>
    <col min="16" max="16" width="13.00390625" style="123" bestFit="1" customWidth="1"/>
    <col min="17" max="16384" width="9.125" style="123" customWidth="1"/>
  </cols>
  <sheetData>
    <row r="1" spans="1:21" ht="12.75">
      <c r="A1" s="189"/>
      <c r="B1" s="190"/>
      <c r="C1" s="191"/>
      <c r="D1" s="191"/>
      <c r="E1" s="191"/>
      <c r="F1" s="191"/>
      <c r="G1" s="1062" t="s">
        <v>1130</v>
      </c>
      <c r="H1" s="1062"/>
      <c r="I1" s="1063"/>
      <c r="J1" s="1063"/>
      <c r="K1" s="1063"/>
      <c r="L1" s="1063"/>
      <c r="M1" s="1063"/>
      <c r="N1" s="190"/>
      <c r="O1" s="190"/>
      <c r="P1" s="190"/>
      <c r="Q1" s="190"/>
      <c r="R1" s="192"/>
      <c r="S1" s="192"/>
      <c r="T1" s="192"/>
      <c r="U1" s="190"/>
    </row>
    <row r="2" spans="1:21" ht="12.75">
      <c r="A2" s="189"/>
      <c r="B2" s="190"/>
      <c r="C2" s="191"/>
      <c r="D2" s="191"/>
      <c r="E2" s="191"/>
      <c r="F2" s="191"/>
      <c r="G2" s="193"/>
      <c r="H2" s="193"/>
      <c r="I2" s="194"/>
      <c r="J2" s="194"/>
      <c r="K2" s="194"/>
      <c r="L2" s="194"/>
      <c r="M2" s="194"/>
      <c r="N2" s="190"/>
      <c r="O2" s="190"/>
      <c r="P2" s="190"/>
      <c r="Q2" s="190"/>
      <c r="R2" s="192"/>
      <c r="S2" s="192"/>
      <c r="T2" s="192"/>
      <c r="U2" s="190"/>
    </row>
    <row r="3" spans="1:27" ht="15.75" customHeight="1">
      <c r="A3" s="1067" t="s">
        <v>807</v>
      </c>
      <c r="B3" s="1067"/>
      <c r="C3" s="1067"/>
      <c r="D3" s="1067"/>
      <c r="E3" s="1067"/>
      <c r="F3" s="1067"/>
      <c r="G3" s="1067"/>
      <c r="H3" s="1067"/>
      <c r="I3" s="1067"/>
      <c r="J3" s="1067"/>
      <c r="K3" s="1067"/>
      <c r="L3" s="1067"/>
      <c r="M3" s="1067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</row>
    <row r="4" spans="1:27" ht="13.5" thickBot="1">
      <c r="A4" s="1067"/>
      <c r="B4" s="1067"/>
      <c r="C4" s="1067"/>
      <c r="D4" s="1067"/>
      <c r="E4" s="1067"/>
      <c r="F4" s="1067"/>
      <c r="G4" s="1067"/>
      <c r="H4" s="1067"/>
      <c r="I4" s="1067"/>
      <c r="J4" s="1067"/>
      <c r="K4" s="1067"/>
      <c r="L4" s="1067"/>
      <c r="M4" s="1067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</row>
    <row r="5" spans="1:27" ht="16.5" thickBot="1">
      <c r="A5" s="1055" t="s">
        <v>422</v>
      </c>
      <c r="B5" s="1052" t="s">
        <v>352</v>
      </c>
      <c r="C5" s="1058" t="s">
        <v>442</v>
      </c>
      <c r="D5" s="1058"/>
      <c r="E5" s="1058"/>
      <c r="F5" s="1058"/>
      <c r="G5" s="1058"/>
      <c r="H5" s="1058"/>
      <c r="I5" s="1058"/>
      <c r="J5" s="1058"/>
      <c r="K5" s="1058"/>
      <c r="L5" s="1058"/>
      <c r="M5" s="1059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7"/>
    </row>
    <row r="6" spans="1:13" ht="12.75" customHeight="1">
      <c r="A6" s="1056"/>
      <c r="B6" s="1053"/>
      <c r="C6" s="1068" t="s">
        <v>443</v>
      </c>
      <c r="D6" s="1043" t="s">
        <v>444</v>
      </c>
      <c r="E6" s="1044"/>
      <c r="F6" s="1045"/>
      <c r="G6" s="1043" t="s">
        <v>445</v>
      </c>
      <c r="H6" s="1044"/>
      <c r="I6" s="1045"/>
      <c r="J6" s="1043" t="s">
        <v>446</v>
      </c>
      <c r="K6" s="1044"/>
      <c r="L6" s="1045"/>
      <c r="M6" s="1064" t="s">
        <v>360</v>
      </c>
    </row>
    <row r="7" spans="1:13" ht="12.75" customHeight="1">
      <c r="A7" s="1056"/>
      <c r="B7" s="1053"/>
      <c r="C7" s="1069"/>
      <c r="D7" s="1046"/>
      <c r="E7" s="1047"/>
      <c r="F7" s="1048"/>
      <c r="G7" s="1046"/>
      <c r="H7" s="1047"/>
      <c r="I7" s="1048"/>
      <c r="J7" s="1046"/>
      <c r="K7" s="1047"/>
      <c r="L7" s="1048"/>
      <c r="M7" s="1065"/>
    </row>
    <row r="8" spans="1:13" ht="24" customHeight="1" thickBot="1">
      <c r="A8" s="1057"/>
      <c r="B8" s="1054"/>
      <c r="C8" s="1070"/>
      <c r="D8" s="198" t="s">
        <v>83</v>
      </c>
      <c r="E8" s="199" t="s">
        <v>84</v>
      </c>
      <c r="F8" s="200" t="s">
        <v>88</v>
      </c>
      <c r="G8" s="201" t="s">
        <v>83</v>
      </c>
      <c r="H8" s="199" t="s">
        <v>84</v>
      </c>
      <c r="I8" s="200" t="s">
        <v>88</v>
      </c>
      <c r="J8" s="201" t="s">
        <v>83</v>
      </c>
      <c r="K8" s="199" t="s">
        <v>84</v>
      </c>
      <c r="L8" s="200" t="s">
        <v>88</v>
      </c>
      <c r="M8" s="1066"/>
    </row>
    <row r="9" spans="1:13" ht="29.25" customHeight="1">
      <c r="A9" s="202" t="s">
        <v>383</v>
      </c>
      <c r="B9" s="203" t="s">
        <v>58</v>
      </c>
      <c r="C9" s="204" t="s">
        <v>654</v>
      </c>
      <c r="D9" s="205">
        <f>80745240-70000+6600+1155+16823647+92377+6500+347826+52174+45939-45939+4615000+44564+30000+36836+710550+12040142-100000-4-2-20000+7744917</f>
        <v>123107522</v>
      </c>
      <c r="E9" s="206">
        <f>20000</f>
        <v>20000</v>
      </c>
      <c r="F9" s="207">
        <f>SUM(D9:E9)</f>
        <v>123127522</v>
      </c>
      <c r="G9" s="208"/>
      <c r="H9" s="544"/>
      <c r="I9" s="207">
        <f>SUM(G9:H9)</f>
        <v>0</v>
      </c>
      <c r="J9" s="209"/>
      <c r="K9" s="210"/>
      <c r="L9" s="207">
        <f>SUM(J9:K9)</f>
        <v>0</v>
      </c>
      <c r="M9" s="211">
        <f aca="true" t="shared" si="0" ref="M9:M52">SUM(F9+I9+L9)</f>
        <v>123127522</v>
      </c>
    </row>
    <row r="10" spans="1:13" ht="29.25" customHeight="1">
      <c r="A10" s="212" t="s">
        <v>384</v>
      </c>
      <c r="B10" s="854" t="s">
        <v>978</v>
      </c>
      <c r="C10" s="213"/>
      <c r="D10" s="205"/>
      <c r="E10" s="544"/>
      <c r="F10" s="207">
        <f>SUM(D10:E10)</f>
        <v>0</v>
      </c>
      <c r="G10" s="208">
        <f>278932+120750+18716+4+2</f>
        <v>418404</v>
      </c>
      <c r="H10" s="544"/>
      <c r="I10" s="207">
        <f>SUM(G10:H10)</f>
        <v>418404</v>
      </c>
      <c r="J10" s="209"/>
      <c r="K10" s="210"/>
      <c r="L10" s="207"/>
      <c r="M10" s="211">
        <f t="shared" si="0"/>
        <v>418404</v>
      </c>
    </row>
    <row r="11" spans="1:13" ht="29.25" customHeight="1">
      <c r="A11" s="212" t="s">
        <v>385</v>
      </c>
      <c r="B11" s="214" t="s">
        <v>55</v>
      </c>
      <c r="C11" s="213" t="s">
        <v>644</v>
      </c>
      <c r="D11" s="205">
        <f>69965834-4779000+308085+1143000+9534431+200000+1505094+306250</f>
        <v>78183694</v>
      </c>
      <c r="E11" s="206">
        <f>5000000+449520+8794813+4790554-5098639+4700000+63900+79700-79700-5000000</f>
        <v>13700148</v>
      </c>
      <c r="F11" s="207">
        <f aca="true" t="shared" si="1" ref="F11:F52">SUM(D11:E11)</f>
        <v>91883842</v>
      </c>
      <c r="G11" s="208">
        <f>12645870-54000+500000+123000</f>
        <v>13214870</v>
      </c>
      <c r="H11" s="206">
        <f>447341169-13005804+22387266+2197500</f>
        <v>458920131</v>
      </c>
      <c r="I11" s="207">
        <f aca="true" t="shared" si="2" ref="I11:I52">SUM(G11:H11)</f>
        <v>472135001</v>
      </c>
      <c r="J11" s="209"/>
      <c r="K11" s="210"/>
      <c r="L11" s="207">
        <f aca="true" t="shared" si="3" ref="L11:L52">SUM(J11:K11)</f>
        <v>0</v>
      </c>
      <c r="M11" s="211">
        <f t="shared" si="0"/>
        <v>564018843</v>
      </c>
    </row>
    <row r="12" spans="1:13" ht="29.25" customHeight="1">
      <c r="A12" s="212" t="s">
        <v>386</v>
      </c>
      <c r="B12" s="465" t="s">
        <v>367</v>
      </c>
      <c r="C12" s="213"/>
      <c r="D12" s="205"/>
      <c r="E12" s="206"/>
      <c r="F12" s="207">
        <f t="shared" si="1"/>
        <v>0</v>
      </c>
      <c r="G12" s="208">
        <f>311347+21844</f>
        <v>333191</v>
      </c>
      <c r="H12" s="206"/>
      <c r="I12" s="207">
        <f t="shared" si="2"/>
        <v>333191</v>
      </c>
      <c r="J12" s="209"/>
      <c r="K12" s="210"/>
      <c r="L12" s="207">
        <f t="shared" si="3"/>
        <v>0</v>
      </c>
      <c r="M12" s="211">
        <f t="shared" si="0"/>
        <v>333191</v>
      </c>
    </row>
    <row r="13" spans="1:13" ht="29.25" customHeight="1">
      <c r="A13" s="212" t="s">
        <v>387</v>
      </c>
      <c r="B13" s="465" t="s">
        <v>971</v>
      </c>
      <c r="C13" s="207" t="s">
        <v>700</v>
      </c>
      <c r="D13" s="205">
        <v>36263474</v>
      </c>
      <c r="E13" s="206"/>
      <c r="F13" s="207">
        <f t="shared" si="1"/>
        <v>36263474</v>
      </c>
      <c r="G13" s="208"/>
      <c r="H13" s="206"/>
      <c r="I13" s="207">
        <f t="shared" si="2"/>
        <v>0</v>
      </c>
      <c r="J13" s="209"/>
      <c r="K13" s="210"/>
      <c r="L13" s="207">
        <f t="shared" si="3"/>
        <v>0</v>
      </c>
      <c r="M13" s="211">
        <f t="shared" si="0"/>
        <v>36263474</v>
      </c>
    </row>
    <row r="14" spans="1:13" ht="21.75" customHeight="1">
      <c r="A14" s="212" t="s">
        <v>388</v>
      </c>
      <c r="B14" s="229" t="s">
        <v>571</v>
      </c>
      <c r="C14" s="207" t="s">
        <v>700</v>
      </c>
      <c r="D14" s="216">
        <f>19299537+558233+13208</f>
        <v>19870978</v>
      </c>
      <c r="E14" s="546"/>
      <c r="F14" s="207">
        <f t="shared" si="1"/>
        <v>19870978</v>
      </c>
      <c r="G14" s="550"/>
      <c r="H14" s="546"/>
      <c r="I14" s="207">
        <f t="shared" si="2"/>
        <v>0</v>
      </c>
      <c r="J14" s="219"/>
      <c r="K14" s="220"/>
      <c r="L14" s="207">
        <f t="shared" si="3"/>
        <v>0</v>
      </c>
      <c r="M14" s="211">
        <f t="shared" si="0"/>
        <v>19870978</v>
      </c>
    </row>
    <row r="15" spans="1:13" ht="21.75" customHeight="1">
      <c r="A15" s="212" t="s">
        <v>389</v>
      </c>
      <c r="B15" s="465" t="s">
        <v>975</v>
      </c>
      <c r="C15" s="207"/>
      <c r="D15" s="205">
        <f>100000</f>
        <v>100000</v>
      </c>
      <c r="E15" s="544"/>
      <c r="F15" s="207">
        <f t="shared" si="1"/>
        <v>100000</v>
      </c>
      <c r="G15" s="208">
        <f>15000+15000</f>
        <v>30000</v>
      </c>
      <c r="H15" s="544"/>
      <c r="I15" s="207">
        <f t="shared" si="2"/>
        <v>30000</v>
      </c>
      <c r="J15" s="209"/>
      <c r="K15" s="210"/>
      <c r="L15" s="207">
        <f t="shared" si="3"/>
        <v>0</v>
      </c>
      <c r="M15" s="211">
        <f t="shared" si="0"/>
        <v>130000</v>
      </c>
    </row>
    <row r="16" spans="1:13" ht="29.25" customHeight="1">
      <c r="A16" s="212" t="s">
        <v>390</v>
      </c>
      <c r="B16" s="214" t="s">
        <v>63</v>
      </c>
      <c r="C16" s="207" t="s">
        <v>820</v>
      </c>
      <c r="D16" s="543"/>
      <c r="E16" s="544"/>
      <c r="F16" s="207">
        <f t="shared" si="1"/>
        <v>0</v>
      </c>
      <c r="G16" s="549"/>
      <c r="H16" s="544"/>
      <c r="I16" s="207">
        <f t="shared" si="2"/>
        <v>0</v>
      </c>
      <c r="J16" s="209">
        <f>12311385-3606983</f>
        <v>8704402</v>
      </c>
      <c r="K16" s="210"/>
      <c r="L16" s="207">
        <f t="shared" si="3"/>
        <v>8704402</v>
      </c>
      <c r="M16" s="211">
        <f t="shared" si="0"/>
        <v>8704402</v>
      </c>
    </row>
    <row r="17" spans="1:13" ht="29.25" customHeight="1">
      <c r="A17" s="212" t="s">
        <v>391</v>
      </c>
      <c r="B17" s="214" t="s">
        <v>691</v>
      </c>
      <c r="C17" s="213" t="s">
        <v>821</v>
      </c>
      <c r="D17" s="205">
        <f>4016545+11080125+969525+4441343+3163+61586</f>
        <v>20572287</v>
      </c>
      <c r="E17" s="206">
        <f>190500</f>
        <v>190500</v>
      </c>
      <c r="F17" s="207">
        <f t="shared" si="1"/>
        <v>20762787</v>
      </c>
      <c r="G17" s="549"/>
      <c r="H17" s="544"/>
      <c r="I17" s="207">
        <f t="shared" si="2"/>
        <v>0</v>
      </c>
      <c r="J17" s="209"/>
      <c r="K17" s="210"/>
      <c r="L17" s="207">
        <f t="shared" si="3"/>
        <v>0</v>
      </c>
      <c r="M17" s="211">
        <f t="shared" si="0"/>
        <v>20762787</v>
      </c>
    </row>
    <row r="18" spans="1:13" ht="29.25" customHeight="1">
      <c r="A18" s="212" t="s">
        <v>392</v>
      </c>
      <c r="B18" s="214" t="s">
        <v>692</v>
      </c>
      <c r="C18" s="213" t="s">
        <v>821</v>
      </c>
      <c r="D18" s="205">
        <f>13227888+23197320+2029806+1310301+81181+4891800+428040+267157+57150+570710+44233+61267</f>
        <v>46166853</v>
      </c>
      <c r="E18" s="206">
        <f>74295-57150</f>
        <v>17145</v>
      </c>
      <c r="F18" s="207">
        <f t="shared" si="1"/>
        <v>46183998</v>
      </c>
      <c r="G18" s="549"/>
      <c r="H18" s="544"/>
      <c r="I18" s="207">
        <f t="shared" si="2"/>
        <v>0</v>
      </c>
      <c r="J18" s="209"/>
      <c r="K18" s="210"/>
      <c r="L18" s="207">
        <f t="shared" si="3"/>
        <v>0</v>
      </c>
      <c r="M18" s="211">
        <f t="shared" si="0"/>
        <v>46183998</v>
      </c>
    </row>
    <row r="19" spans="1:13" ht="29.25" customHeight="1">
      <c r="A19" s="215" t="s">
        <v>393</v>
      </c>
      <c r="B19" s="214" t="s">
        <v>334</v>
      </c>
      <c r="C19" s="213" t="s">
        <v>645</v>
      </c>
      <c r="D19" s="205">
        <f>15377340-436880</f>
        <v>14940460</v>
      </c>
      <c r="E19" s="206">
        <f>363120+436880+19846252</f>
        <v>20646252</v>
      </c>
      <c r="F19" s="207">
        <f t="shared" si="1"/>
        <v>35586712</v>
      </c>
      <c r="G19" s="549"/>
      <c r="H19" s="544"/>
      <c r="I19" s="207">
        <f t="shared" si="2"/>
        <v>0</v>
      </c>
      <c r="J19" s="209"/>
      <c r="K19" s="210"/>
      <c r="L19" s="207">
        <f t="shared" si="3"/>
        <v>0</v>
      </c>
      <c r="M19" s="211">
        <f t="shared" si="0"/>
        <v>35586712</v>
      </c>
    </row>
    <row r="20" spans="1:13" ht="29.25" customHeight="1">
      <c r="A20" s="212" t="s">
        <v>394</v>
      </c>
      <c r="B20" s="214" t="s">
        <v>65</v>
      </c>
      <c r="C20" s="213" t="s">
        <v>646</v>
      </c>
      <c r="D20" s="205">
        <f>5249710+366000</f>
        <v>5615710</v>
      </c>
      <c r="E20" s="206">
        <f>101682090-3817843-5373648-366000+6795254-12040142</f>
        <v>86879711</v>
      </c>
      <c r="F20" s="207">
        <f t="shared" si="1"/>
        <v>92495421</v>
      </c>
      <c r="G20" s="549"/>
      <c r="H20" s="544"/>
      <c r="I20" s="207">
        <f t="shared" si="2"/>
        <v>0</v>
      </c>
      <c r="J20" s="209"/>
      <c r="K20" s="210"/>
      <c r="L20" s="207">
        <f t="shared" si="3"/>
        <v>0</v>
      </c>
      <c r="M20" s="211">
        <f t="shared" si="0"/>
        <v>92495421</v>
      </c>
    </row>
    <row r="21" spans="1:13" ht="29.25" customHeight="1">
      <c r="A21" s="212" t="s">
        <v>395</v>
      </c>
      <c r="B21" s="214" t="s">
        <v>730</v>
      </c>
      <c r="C21" s="213"/>
      <c r="D21" s="205"/>
      <c r="E21" s="206"/>
      <c r="F21" s="207">
        <f t="shared" si="1"/>
        <v>0</v>
      </c>
      <c r="G21" s="208">
        <f>4571244+40000</f>
        <v>4611244</v>
      </c>
      <c r="H21" s="206">
        <f>187978206-911000-7744917</f>
        <v>179322289</v>
      </c>
      <c r="I21" s="207">
        <f t="shared" si="2"/>
        <v>183933533</v>
      </c>
      <c r="J21" s="209"/>
      <c r="K21" s="210"/>
      <c r="L21" s="207">
        <f t="shared" si="3"/>
        <v>0</v>
      </c>
      <c r="M21" s="211">
        <f t="shared" si="0"/>
        <v>183933533</v>
      </c>
    </row>
    <row r="22" spans="1:13" ht="30.75" customHeight="1">
      <c r="A22" s="212" t="s">
        <v>396</v>
      </c>
      <c r="B22" s="214" t="s">
        <v>50</v>
      </c>
      <c r="C22" s="213" t="s">
        <v>647</v>
      </c>
      <c r="D22" s="216">
        <v>3416864</v>
      </c>
      <c r="E22" s="546"/>
      <c r="F22" s="207">
        <f t="shared" si="1"/>
        <v>3416864</v>
      </c>
      <c r="G22" s="550"/>
      <c r="H22" s="546"/>
      <c r="I22" s="207">
        <f t="shared" si="2"/>
        <v>0</v>
      </c>
      <c r="J22" s="219"/>
      <c r="K22" s="220"/>
      <c r="L22" s="207">
        <f t="shared" si="3"/>
        <v>0</v>
      </c>
      <c r="M22" s="211">
        <f t="shared" si="0"/>
        <v>3416864</v>
      </c>
    </row>
    <row r="23" spans="1:13" ht="31.5" customHeight="1">
      <c r="A23" s="212" t="s">
        <v>397</v>
      </c>
      <c r="B23" s="214" t="s">
        <v>365</v>
      </c>
      <c r="C23" s="213" t="s">
        <v>648</v>
      </c>
      <c r="D23" s="216">
        <v>9798424</v>
      </c>
      <c r="E23" s="217">
        <v>1000000</v>
      </c>
      <c r="F23" s="207">
        <f t="shared" si="1"/>
        <v>10798424</v>
      </c>
      <c r="G23" s="550"/>
      <c r="H23" s="546"/>
      <c r="I23" s="207">
        <f t="shared" si="2"/>
        <v>0</v>
      </c>
      <c r="J23" s="219"/>
      <c r="K23" s="220"/>
      <c r="L23" s="207">
        <f t="shared" si="3"/>
        <v>0</v>
      </c>
      <c r="M23" s="211">
        <f t="shared" si="0"/>
        <v>10798424</v>
      </c>
    </row>
    <row r="24" spans="1:13" ht="31.5" customHeight="1">
      <c r="A24" s="212" t="s">
        <v>398</v>
      </c>
      <c r="B24" s="214" t="s">
        <v>731</v>
      </c>
      <c r="C24" s="213" t="s">
        <v>822</v>
      </c>
      <c r="D24" s="216">
        <f>4276480+33191447+110-3261523-27230</f>
        <v>34179284</v>
      </c>
      <c r="E24" s="217">
        <f>1940000+5000000+27230</f>
        <v>6967230</v>
      </c>
      <c r="F24" s="207">
        <f t="shared" si="1"/>
        <v>41146514</v>
      </c>
      <c r="G24" s="550"/>
      <c r="H24" s="546"/>
      <c r="I24" s="207">
        <f t="shared" si="2"/>
        <v>0</v>
      </c>
      <c r="J24" s="219"/>
      <c r="K24" s="220"/>
      <c r="L24" s="207">
        <f t="shared" si="3"/>
        <v>0</v>
      </c>
      <c r="M24" s="211">
        <f t="shared" si="0"/>
        <v>41146514</v>
      </c>
    </row>
    <row r="25" spans="1:13" ht="31.5" customHeight="1">
      <c r="A25" s="212" t="s">
        <v>399</v>
      </c>
      <c r="B25" s="214" t="s">
        <v>732</v>
      </c>
      <c r="C25" s="213" t="s">
        <v>646</v>
      </c>
      <c r="D25" s="216">
        <f>1377000+726390-726390</f>
        <v>1377000</v>
      </c>
      <c r="E25" s="217">
        <f>21830061+829010</f>
        <v>22659071</v>
      </c>
      <c r="F25" s="207">
        <f t="shared" si="1"/>
        <v>24036071</v>
      </c>
      <c r="G25" s="550"/>
      <c r="H25" s="546"/>
      <c r="I25" s="207">
        <f t="shared" si="2"/>
        <v>0</v>
      </c>
      <c r="J25" s="219"/>
      <c r="K25" s="220"/>
      <c r="L25" s="207">
        <f t="shared" si="3"/>
        <v>0</v>
      </c>
      <c r="M25" s="211">
        <f t="shared" si="0"/>
        <v>24036071</v>
      </c>
    </row>
    <row r="26" spans="1:13" ht="31.5" customHeight="1">
      <c r="A26" s="212" t="s">
        <v>400</v>
      </c>
      <c r="B26" s="214" t="s">
        <v>783</v>
      </c>
      <c r="C26" s="213"/>
      <c r="D26" s="216"/>
      <c r="E26" s="217"/>
      <c r="F26" s="207">
        <f t="shared" si="1"/>
        <v>0</v>
      </c>
      <c r="G26" s="218">
        <f>1044000+164430+640554-254000</f>
        <v>1594984</v>
      </c>
      <c r="H26" s="217">
        <f>973100-755546</f>
        <v>217554</v>
      </c>
      <c r="I26" s="207">
        <f t="shared" si="2"/>
        <v>1812538</v>
      </c>
      <c r="J26" s="219"/>
      <c r="K26" s="220"/>
      <c r="L26" s="207">
        <f t="shared" si="3"/>
        <v>0</v>
      </c>
      <c r="M26" s="211">
        <f t="shared" si="0"/>
        <v>1812538</v>
      </c>
    </row>
    <row r="27" spans="1:13" ht="31.5" customHeight="1">
      <c r="A27" s="212" t="s">
        <v>401</v>
      </c>
      <c r="B27" s="214" t="s">
        <v>733</v>
      </c>
      <c r="C27" s="224" t="s">
        <v>823</v>
      </c>
      <c r="D27" s="216">
        <f>609406+143206+4667808</f>
        <v>5420420</v>
      </c>
      <c r="E27" s="217">
        <f>19510500+91442680+863600-1730500-17780000+28000</f>
        <v>92334280</v>
      </c>
      <c r="F27" s="207">
        <f t="shared" si="1"/>
        <v>97754700</v>
      </c>
      <c r="G27" s="550"/>
      <c r="H27" s="217"/>
      <c r="I27" s="207">
        <f t="shared" si="2"/>
        <v>0</v>
      </c>
      <c r="J27" s="219"/>
      <c r="K27" s="220"/>
      <c r="L27" s="207">
        <f t="shared" si="3"/>
        <v>0</v>
      </c>
      <c r="M27" s="211">
        <f t="shared" si="0"/>
        <v>97754700</v>
      </c>
    </row>
    <row r="28" spans="1:13" ht="21.75" customHeight="1">
      <c r="A28" s="212" t="s">
        <v>402</v>
      </c>
      <c r="B28" s="229" t="s">
        <v>694</v>
      </c>
      <c r="C28" s="224" t="s">
        <v>824</v>
      </c>
      <c r="D28" s="216">
        <v>416194</v>
      </c>
      <c r="E28" s="217">
        <v>6759599</v>
      </c>
      <c r="F28" s="207">
        <f t="shared" si="1"/>
        <v>7175793</v>
      </c>
      <c r="G28" s="550"/>
      <c r="H28" s="546"/>
      <c r="I28" s="207">
        <f t="shared" si="2"/>
        <v>0</v>
      </c>
      <c r="J28" s="219"/>
      <c r="K28" s="220"/>
      <c r="L28" s="207">
        <f t="shared" si="3"/>
        <v>0</v>
      </c>
      <c r="M28" s="211">
        <f t="shared" si="0"/>
        <v>7175793</v>
      </c>
    </row>
    <row r="29" spans="1:13" ht="21.75" customHeight="1">
      <c r="A29" s="212" t="s">
        <v>403</v>
      </c>
      <c r="B29" s="229" t="s">
        <v>368</v>
      </c>
      <c r="C29" s="224" t="s">
        <v>645</v>
      </c>
      <c r="D29" s="216">
        <f>24094440+414268</f>
        <v>24508708</v>
      </c>
      <c r="E29" s="217">
        <v>2794000</v>
      </c>
      <c r="F29" s="207">
        <f t="shared" si="1"/>
        <v>27302708</v>
      </c>
      <c r="G29" s="550"/>
      <c r="H29" s="546"/>
      <c r="I29" s="207">
        <f t="shared" si="2"/>
        <v>0</v>
      </c>
      <c r="J29" s="219"/>
      <c r="K29" s="220"/>
      <c r="L29" s="207">
        <f t="shared" si="3"/>
        <v>0</v>
      </c>
      <c r="M29" s="211">
        <f t="shared" si="0"/>
        <v>27302708</v>
      </c>
    </row>
    <row r="30" spans="1:13" ht="21.75" customHeight="1">
      <c r="A30" s="212" t="s">
        <v>404</v>
      </c>
      <c r="B30" s="229" t="s">
        <v>366</v>
      </c>
      <c r="C30" s="224" t="s">
        <v>645</v>
      </c>
      <c r="D30" s="216">
        <f>34917000-1444000</f>
        <v>33473000</v>
      </c>
      <c r="E30" s="217"/>
      <c r="F30" s="207">
        <f t="shared" si="1"/>
        <v>33473000</v>
      </c>
      <c r="G30" s="550"/>
      <c r="H30" s="546"/>
      <c r="I30" s="207">
        <f t="shared" si="2"/>
        <v>0</v>
      </c>
      <c r="J30" s="219"/>
      <c r="K30" s="220"/>
      <c r="L30" s="207">
        <f t="shared" si="3"/>
        <v>0</v>
      </c>
      <c r="M30" s="211">
        <f t="shared" si="0"/>
        <v>33473000</v>
      </c>
    </row>
    <row r="31" spans="1:13" ht="22.5" customHeight="1">
      <c r="A31" s="212" t="s">
        <v>447</v>
      </c>
      <c r="B31" s="229" t="s">
        <v>81</v>
      </c>
      <c r="C31" s="642" t="s">
        <v>825</v>
      </c>
      <c r="D31" s="216">
        <f>25000+3938+14028933-1454446+14018000-6364000-3280000+38197+401078+382588+349267-3000+998220</f>
        <v>19143775</v>
      </c>
      <c r="E31" s="217">
        <f>3348220+2000000-998220+3261523</f>
        <v>7611523</v>
      </c>
      <c r="F31" s="207">
        <f t="shared" si="1"/>
        <v>26755298</v>
      </c>
      <c r="G31" s="218">
        <v>1454446</v>
      </c>
      <c r="H31" s="546"/>
      <c r="I31" s="207">
        <f t="shared" si="2"/>
        <v>1454446</v>
      </c>
      <c r="J31" s="219"/>
      <c r="K31" s="220"/>
      <c r="L31" s="207">
        <f t="shared" si="3"/>
        <v>0</v>
      </c>
      <c r="M31" s="211">
        <f t="shared" si="0"/>
        <v>28209744</v>
      </c>
    </row>
    <row r="32" spans="1:13" ht="23.25" customHeight="1">
      <c r="A32" s="212" t="s">
        <v>448</v>
      </c>
      <c r="B32" s="229" t="s">
        <v>370</v>
      </c>
      <c r="C32" s="224" t="s">
        <v>826</v>
      </c>
      <c r="D32" s="216">
        <v>360000</v>
      </c>
      <c r="E32" s="546"/>
      <c r="F32" s="207">
        <f t="shared" si="1"/>
        <v>360000</v>
      </c>
      <c r="G32" s="550"/>
      <c r="H32" s="546"/>
      <c r="I32" s="207">
        <f t="shared" si="2"/>
        <v>0</v>
      </c>
      <c r="J32" s="219"/>
      <c r="K32" s="220"/>
      <c r="L32" s="207">
        <f t="shared" si="3"/>
        <v>0</v>
      </c>
      <c r="M32" s="211">
        <f t="shared" si="0"/>
        <v>360000</v>
      </c>
    </row>
    <row r="33" spans="1:13" ht="22.5" customHeight="1">
      <c r="A33" s="212" t="s">
        <v>449</v>
      </c>
      <c r="B33" s="229" t="s">
        <v>371</v>
      </c>
      <c r="C33" s="224" t="s">
        <v>826</v>
      </c>
      <c r="D33" s="216">
        <f>27644450+492+2513</f>
        <v>27647455</v>
      </c>
      <c r="E33" s="217"/>
      <c r="F33" s="207">
        <f t="shared" si="1"/>
        <v>27647455</v>
      </c>
      <c r="G33" s="550"/>
      <c r="H33" s="546"/>
      <c r="I33" s="207">
        <f t="shared" si="2"/>
        <v>0</v>
      </c>
      <c r="J33" s="219"/>
      <c r="K33" s="220"/>
      <c r="L33" s="207">
        <f t="shared" si="3"/>
        <v>0</v>
      </c>
      <c r="M33" s="211">
        <f t="shared" si="0"/>
        <v>27647455</v>
      </c>
    </row>
    <row r="34" spans="1:13" ht="22.5" customHeight="1">
      <c r="A34" s="212" t="s">
        <v>438</v>
      </c>
      <c r="B34" s="229" t="s">
        <v>372</v>
      </c>
      <c r="C34" s="224" t="s">
        <v>649</v>
      </c>
      <c r="D34" s="216">
        <f>120000+2626200+2307500+2324200</f>
        <v>7377900</v>
      </c>
      <c r="E34" s="546"/>
      <c r="F34" s="207">
        <f t="shared" si="1"/>
        <v>7377900</v>
      </c>
      <c r="G34" s="550"/>
      <c r="H34" s="546"/>
      <c r="I34" s="207">
        <f t="shared" si="2"/>
        <v>0</v>
      </c>
      <c r="J34" s="219"/>
      <c r="K34" s="220"/>
      <c r="L34" s="207">
        <f t="shared" si="3"/>
        <v>0</v>
      </c>
      <c r="M34" s="211">
        <f t="shared" si="0"/>
        <v>7377900</v>
      </c>
    </row>
    <row r="35" spans="1:13" ht="29.25" customHeight="1">
      <c r="A35" s="212" t="s">
        <v>450</v>
      </c>
      <c r="B35" s="214" t="s">
        <v>656</v>
      </c>
      <c r="C35" s="213" t="s">
        <v>826</v>
      </c>
      <c r="D35" s="216">
        <f>27396716+4793101+2949420+2500000+387500+50000</f>
        <v>38076737</v>
      </c>
      <c r="E35" s="217">
        <v>190500</v>
      </c>
      <c r="F35" s="207">
        <f t="shared" si="1"/>
        <v>38267237</v>
      </c>
      <c r="G35" s="550"/>
      <c r="H35" s="546"/>
      <c r="I35" s="207">
        <f t="shared" si="2"/>
        <v>0</v>
      </c>
      <c r="J35" s="219"/>
      <c r="K35" s="220"/>
      <c r="L35" s="207">
        <f t="shared" si="3"/>
        <v>0</v>
      </c>
      <c r="M35" s="211">
        <f t="shared" si="0"/>
        <v>38267237</v>
      </c>
    </row>
    <row r="36" spans="1:13" ht="29.25" customHeight="1">
      <c r="A36" s="212" t="s">
        <v>405</v>
      </c>
      <c r="B36" s="465" t="s">
        <v>895</v>
      </c>
      <c r="C36" s="207" t="s">
        <v>897</v>
      </c>
      <c r="D36" s="216">
        <f>600000+1275000+17500</f>
        <v>1892500</v>
      </c>
      <c r="E36" s="217">
        <f>400000+100000</f>
        <v>500000</v>
      </c>
      <c r="F36" s="207">
        <f t="shared" si="1"/>
        <v>2392500</v>
      </c>
      <c r="G36" s="550"/>
      <c r="H36" s="546"/>
      <c r="I36" s="207">
        <f t="shared" si="2"/>
        <v>0</v>
      </c>
      <c r="J36" s="219"/>
      <c r="K36" s="220"/>
      <c r="L36" s="207">
        <f t="shared" si="3"/>
        <v>0</v>
      </c>
      <c r="M36" s="211">
        <f t="shared" si="0"/>
        <v>2392500</v>
      </c>
    </row>
    <row r="37" spans="1:13" ht="29.25" customHeight="1">
      <c r="A37" s="212" t="s">
        <v>406</v>
      </c>
      <c r="B37" s="221" t="s">
        <v>80</v>
      </c>
      <c r="C37" s="207" t="s">
        <v>650</v>
      </c>
      <c r="D37" s="216">
        <f>16949000+1500000-1500000</f>
        <v>16949000</v>
      </c>
      <c r="E37" s="546"/>
      <c r="F37" s="207">
        <f t="shared" si="1"/>
        <v>16949000</v>
      </c>
      <c r="G37" s="551"/>
      <c r="H37" s="217"/>
      <c r="I37" s="207">
        <f t="shared" si="2"/>
        <v>0</v>
      </c>
      <c r="J37" s="219"/>
      <c r="K37" s="220"/>
      <c r="L37" s="207">
        <f t="shared" si="3"/>
        <v>0</v>
      </c>
      <c r="M37" s="211">
        <f t="shared" si="0"/>
        <v>16949000</v>
      </c>
    </row>
    <row r="38" spans="1:13" ht="30.75" customHeight="1">
      <c r="A38" s="212" t="s">
        <v>407</v>
      </c>
      <c r="B38" s="236" t="s">
        <v>551</v>
      </c>
      <c r="C38" s="207"/>
      <c r="D38" s="545"/>
      <c r="E38" s="546"/>
      <c r="F38" s="207">
        <f t="shared" si="1"/>
        <v>0</v>
      </c>
      <c r="G38" s="223">
        <f>80000+38963+1830220+31383</f>
        <v>1980566</v>
      </c>
      <c r="H38" s="217">
        <v>730250</v>
      </c>
      <c r="I38" s="207">
        <f t="shared" si="2"/>
        <v>2710816</v>
      </c>
      <c r="J38" s="219"/>
      <c r="K38" s="220"/>
      <c r="L38" s="207">
        <f t="shared" si="3"/>
        <v>0</v>
      </c>
      <c r="M38" s="211">
        <f t="shared" si="0"/>
        <v>2710816</v>
      </c>
    </row>
    <row r="39" spans="1:13" ht="23.25" customHeight="1">
      <c r="A39" s="212" t="s">
        <v>451</v>
      </c>
      <c r="B39" s="214" t="s">
        <v>82</v>
      </c>
      <c r="C39" s="228"/>
      <c r="D39" s="547"/>
      <c r="E39" s="548"/>
      <c r="F39" s="207">
        <f t="shared" si="1"/>
        <v>0</v>
      </c>
      <c r="G39" s="227">
        <v>73660</v>
      </c>
      <c r="H39" s="548"/>
      <c r="I39" s="207">
        <f t="shared" si="2"/>
        <v>73660</v>
      </c>
      <c r="J39" s="219"/>
      <c r="K39" s="220"/>
      <c r="L39" s="207">
        <f t="shared" si="3"/>
        <v>0</v>
      </c>
      <c r="M39" s="211">
        <f t="shared" si="0"/>
        <v>73660</v>
      </c>
    </row>
    <row r="40" spans="1:13" ht="23.25" customHeight="1">
      <c r="A40" s="212" t="s">
        <v>408</v>
      </c>
      <c r="B40" s="214" t="s">
        <v>761</v>
      </c>
      <c r="C40" s="228"/>
      <c r="D40" s="547"/>
      <c r="E40" s="548"/>
      <c r="F40" s="207">
        <f t="shared" si="1"/>
        <v>0</v>
      </c>
      <c r="G40" s="227">
        <f>12229669+55552</f>
        <v>12285221</v>
      </c>
      <c r="H40" s="226"/>
      <c r="I40" s="207">
        <f t="shared" si="2"/>
        <v>12285221</v>
      </c>
      <c r="J40" s="219"/>
      <c r="K40" s="220"/>
      <c r="L40" s="207">
        <f t="shared" si="3"/>
        <v>0</v>
      </c>
      <c r="M40" s="211">
        <f t="shared" si="0"/>
        <v>12285221</v>
      </c>
    </row>
    <row r="41" spans="1:13" ht="23.25" customHeight="1">
      <c r="A41" s="212" t="s">
        <v>425</v>
      </c>
      <c r="B41" s="214" t="s">
        <v>735</v>
      </c>
      <c r="C41" s="207" t="s">
        <v>655</v>
      </c>
      <c r="D41" s="547"/>
      <c r="E41" s="226">
        <v>31599998</v>
      </c>
      <c r="F41" s="207">
        <f t="shared" si="1"/>
        <v>31599998</v>
      </c>
      <c r="G41" s="227"/>
      <c r="H41" s="548"/>
      <c r="I41" s="207">
        <f t="shared" si="2"/>
        <v>0</v>
      </c>
      <c r="J41" s="219"/>
      <c r="K41" s="220"/>
      <c r="L41" s="207">
        <f t="shared" si="3"/>
        <v>0</v>
      </c>
      <c r="M41" s="211">
        <f t="shared" si="0"/>
        <v>31599998</v>
      </c>
    </row>
    <row r="42" spans="1:13" ht="23.25" customHeight="1">
      <c r="A42" s="212" t="s">
        <v>452</v>
      </c>
      <c r="B42" s="214" t="s">
        <v>736</v>
      </c>
      <c r="C42" s="228"/>
      <c r="D42" s="547"/>
      <c r="E42" s="226"/>
      <c r="F42" s="207">
        <f t="shared" si="1"/>
        <v>0</v>
      </c>
      <c r="G42" s="227">
        <f>12302209+5000000+875000+18063936-10911298</f>
        <v>25329847</v>
      </c>
      <c r="H42" s="548"/>
      <c r="I42" s="207">
        <f t="shared" si="2"/>
        <v>25329847</v>
      </c>
      <c r="J42" s="219"/>
      <c r="K42" s="220"/>
      <c r="L42" s="207">
        <f t="shared" si="3"/>
        <v>0</v>
      </c>
      <c r="M42" s="211">
        <f t="shared" si="0"/>
        <v>25329847</v>
      </c>
    </row>
    <row r="43" spans="1:13" ht="24" customHeight="1">
      <c r="A43" s="212" t="s">
        <v>453</v>
      </c>
      <c r="B43" s="214" t="s">
        <v>577</v>
      </c>
      <c r="C43" s="222" t="s">
        <v>827</v>
      </c>
      <c r="D43" s="225">
        <f>2543600+445130+57876511+1012863</f>
        <v>61878104</v>
      </c>
      <c r="E43" s="226">
        <v>74930</v>
      </c>
      <c r="F43" s="207">
        <f t="shared" si="1"/>
        <v>61953034</v>
      </c>
      <c r="G43" s="552"/>
      <c r="H43" s="548"/>
      <c r="I43" s="207">
        <f t="shared" si="2"/>
        <v>0</v>
      </c>
      <c r="J43" s="219"/>
      <c r="K43" s="220"/>
      <c r="L43" s="207">
        <f t="shared" si="3"/>
        <v>0</v>
      </c>
      <c r="M43" s="211">
        <f t="shared" si="0"/>
        <v>61953034</v>
      </c>
    </row>
    <row r="44" spans="1:13" ht="21.75" customHeight="1">
      <c r="A44" s="212" t="s">
        <v>741</v>
      </c>
      <c r="B44" s="229" t="s">
        <v>639</v>
      </c>
      <c r="C44" s="224"/>
      <c r="D44" s="545"/>
      <c r="E44" s="546"/>
      <c r="F44" s="207">
        <f t="shared" si="1"/>
        <v>0</v>
      </c>
      <c r="G44" s="218">
        <f>21650000+951095</f>
        <v>22601095</v>
      </c>
      <c r="H44" s="546"/>
      <c r="I44" s="207">
        <f t="shared" si="2"/>
        <v>22601095</v>
      </c>
      <c r="J44" s="219"/>
      <c r="K44" s="220"/>
      <c r="L44" s="207">
        <f t="shared" si="3"/>
        <v>0</v>
      </c>
      <c r="M44" s="211">
        <f t="shared" si="0"/>
        <v>22601095</v>
      </c>
    </row>
    <row r="45" spans="1:13" ht="24" customHeight="1">
      <c r="A45" s="212" t="s">
        <v>742</v>
      </c>
      <c r="B45" s="214" t="s">
        <v>579</v>
      </c>
      <c r="C45" s="222" t="s">
        <v>664</v>
      </c>
      <c r="D45" s="225">
        <f>1812600+73560+229808</f>
        <v>2115968</v>
      </c>
      <c r="E45" s="548"/>
      <c r="F45" s="207">
        <f t="shared" si="1"/>
        <v>2115968</v>
      </c>
      <c r="G45" s="552"/>
      <c r="H45" s="548"/>
      <c r="I45" s="207">
        <f t="shared" si="2"/>
        <v>0</v>
      </c>
      <c r="J45" s="219"/>
      <c r="K45" s="220"/>
      <c r="L45" s="207">
        <f t="shared" si="3"/>
        <v>0</v>
      </c>
      <c r="M45" s="211">
        <f>SUM(F45+I45+L45)</f>
        <v>2115968</v>
      </c>
    </row>
    <row r="46" spans="1:13" ht="29.25" customHeight="1">
      <c r="A46" s="212" t="s">
        <v>743</v>
      </c>
      <c r="B46" s="229" t="s">
        <v>695</v>
      </c>
      <c r="C46" s="224"/>
      <c r="D46" s="545"/>
      <c r="E46" s="546"/>
      <c r="F46" s="207">
        <f t="shared" si="1"/>
        <v>0</v>
      </c>
      <c r="G46" s="218">
        <f>46804899+13881090-519024</f>
        <v>60166965</v>
      </c>
      <c r="H46" s="217">
        <f>6000000</f>
        <v>6000000</v>
      </c>
      <c r="I46" s="207">
        <f t="shared" si="2"/>
        <v>66166965</v>
      </c>
      <c r="J46" s="219"/>
      <c r="K46" s="220"/>
      <c r="L46" s="207">
        <f t="shared" si="3"/>
        <v>0</v>
      </c>
      <c r="M46" s="211">
        <f t="shared" si="0"/>
        <v>66166965</v>
      </c>
    </row>
    <row r="47" spans="1:13" ht="21.75" customHeight="1">
      <c r="A47" s="212" t="s">
        <v>744</v>
      </c>
      <c r="B47" s="229" t="s">
        <v>434</v>
      </c>
      <c r="C47" s="224" t="s">
        <v>653</v>
      </c>
      <c r="D47" s="216">
        <f>4632000-1016000+1344830+208449+17596440+265050+328388+1500000</f>
        <v>24859157</v>
      </c>
      <c r="E47" s="217">
        <f>560000+225760</f>
        <v>785760</v>
      </c>
      <c r="F47" s="207">
        <f t="shared" si="1"/>
        <v>25644917</v>
      </c>
      <c r="G47" s="550"/>
      <c r="H47" s="546"/>
      <c r="I47" s="207">
        <f t="shared" si="2"/>
        <v>0</v>
      </c>
      <c r="J47" s="219"/>
      <c r="K47" s="220"/>
      <c r="L47" s="207">
        <f t="shared" si="3"/>
        <v>0</v>
      </c>
      <c r="M47" s="211">
        <f t="shared" si="0"/>
        <v>25644917</v>
      </c>
    </row>
    <row r="48" spans="1:13" ht="21.75" customHeight="1">
      <c r="A48" s="212" t="s">
        <v>745</v>
      </c>
      <c r="B48" s="229" t="s">
        <v>738</v>
      </c>
      <c r="C48" s="224" t="s">
        <v>762</v>
      </c>
      <c r="D48" s="216">
        <f>2286000-1143000+3459090+536159+175000+31750+4600000</f>
        <v>9944999</v>
      </c>
      <c r="E48" s="217">
        <f>250000-237338</f>
        <v>12662</v>
      </c>
      <c r="F48" s="207">
        <f t="shared" si="1"/>
        <v>9957661</v>
      </c>
      <c r="G48" s="550"/>
      <c r="H48" s="546"/>
      <c r="I48" s="207">
        <f t="shared" si="2"/>
        <v>0</v>
      </c>
      <c r="J48" s="219"/>
      <c r="K48" s="220"/>
      <c r="L48" s="207">
        <f t="shared" si="3"/>
        <v>0</v>
      </c>
      <c r="M48" s="211">
        <f t="shared" si="0"/>
        <v>9957661</v>
      </c>
    </row>
    <row r="49" spans="1:13" ht="26.25" customHeight="1">
      <c r="A49" s="212" t="s">
        <v>746</v>
      </c>
      <c r="B49" s="214" t="s">
        <v>552</v>
      </c>
      <c r="C49" s="207" t="s">
        <v>660</v>
      </c>
      <c r="D49" s="216">
        <f>3804900+7300000</f>
        <v>11104900</v>
      </c>
      <c r="E49" s="546"/>
      <c r="F49" s="207">
        <f t="shared" si="1"/>
        <v>11104900</v>
      </c>
      <c r="G49" s="550"/>
      <c r="H49" s="546"/>
      <c r="I49" s="207">
        <f t="shared" si="2"/>
        <v>0</v>
      </c>
      <c r="J49" s="219"/>
      <c r="K49" s="220"/>
      <c r="L49" s="207">
        <f t="shared" si="3"/>
        <v>0</v>
      </c>
      <c r="M49" s="211">
        <f t="shared" si="0"/>
        <v>11104900</v>
      </c>
    </row>
    <row r="50" spans="1:13" ht="26.25" customHeight="1">
      <c r="A50" s="212" t="s">
        <v>896</v>
      </c>
      <c r="B50" s="214" t="s">
        <v>740</v>
      </c>
      <c r="C50" s="213"/>
      <c r="D50" s="216"/>
      <c r="E50" s="546"/>
      <c r="F50" s="207">
        <f t="shared" si="1"/>
        <v>0</v>
      </c>
      <c r="G50" s="218">
        <f>18342800+3773040+22523810+1586250+1321875+60657486-13077629+16410600+2543643-18954243-416917-64622-2160000-334800-7292340</f>
        <v>84858953</v>
      </c>
      <c r="H50" s="217">
        <f>2460790+523290+7292340</f>
        <v>10276420</v>
      </c>
      <c r="I50" s="207">
        <f t="shared" si="2"/>
        <v>95135373</v>
      </c>
      <c r="J50" s="219"/>
      <c r="K50" s="219"/>
      <c r="L50" s="207">
        <f t="shared" si="3"/>
        <v>0</v>
      </c>
      <c r="M50" s="211">
        <f t="shared" si="0"/>
        <v>95135373</v>
      </c>
    </row>
    <row r="51" spans="1:13" s="183" customFormat="1" ht="27.75" customHeight="1">
      <c r="A51" s="212" t="s">
        <v>976</v>
      </c>
      <c r="B51" s="214" t="s">
        <v>369</v>
      </c>
      <c r="C51" s="213" t="s">
        <v>654</v>
      </c>
      <c r="D51" s="216">
        <f>2350000-1000000+121735509-9534431-33191447-2702314-8864634-558233-36263474-4615000-22387266+911000-2197500+5373648-726390-55552+519024+13077629+755546+10911298-15055017-2307500-440857-15000-200000-401078-382588-3610256-510500-7422766-160000-1000000</f>
        <v>2031851</v>
      </c>
      <c r="E51" s="217">
        <v>15055017</v>
      </c>
      <c r="F51" s="207">
        <f t="shared" si="1"/>
        <v>17086868</v>
      </c>
      <c r="G51" s="216">
        <v>200000</v>
      </c>
      <c r="H51" s="546"/>
      <c r="I51" s="207">
        <f t="shared" si="2"/>
        <v>200000</v>
      </c>
      <c r="J51" s="231"/>
      <c r="K51" s="231"/>
      <c r="L51" s="207">
        <f t="shared" si="3"/>
        <v>0</v>
      </c>
      <c r="M51" s="211">
        <f t="shared" si="0"/>
        <v>17286868</v>
      </c>
    </row>
    <row r="52" spans="1:13" ht="24.75" customHeight="1" thickBot="1">
      <c r="A52" s="212" t="s">
        <v>979</v>
      </c>
      <c r="B52" s="214" t="s">
        <v>549</v>
      </c>
      <c r="C52" s="233"/>
      <c r="D52" s="556"/>
      <c r="E52" s="557"/>
      <c r="F52" s="207">
        <f t="shared" si="1"/>
        <v>0</v>
      </c>
      <c r="G52" s="558">
        <v>8285000</v>
      </c>
      <c r="H52" s="557"/>
      <c r="I52" s="207">
        <f t="shared" si="2"/>
        <v>8285000</v>
      </c>
      <c r="J52" s="559"/>
      <c r="K52" s="559"/>
      <c r="L52" s="207">
        <f t="shared" si="3"/>
        <v>0</v>
      </c>
      <c r="M52" s="560">
        <f t="shared" si="0"/>
        <v>8285000</v>
      </c>
    </row>
    <row r="53" spans="1:16" s="647" customFormat="1" ht="23.25" customHeight="1" thickBot="1">
      <c r="A53" s="1040" t="s">
        <v>640</v>
      </c>
      <c r="B53" s="1041"/>
      <c r="C53" s="1042"/>
      <c r="D53" s="644">
        <f aca="true" t="shared" si="4" ref="D53:M53">SUM(D9:D52)</f>
        <v>680793218</v>
      </c>
      <c r="E53" s="645">
        <f t="shared" si="4"/>
        <v>309798326</v>
      </c>
      <c r="F53" s="646">
        <f t="shared" si="4"/>
        <v>990591544</v>
      </c>
      <c r="G53" s="645">
        <f t="shared" si="4"/>
        <v>237438446</v>
      </c>
      <c r="H53" s="645">
        <f t="shared" si="4"/>
        <v>655466644</v>
      </c>
      <c r="I53" s="646">
        <f t="shared" si="4"/>
        <v>892905090</v>
      </c>
      <c r="J53" s="645">
        <f t="shared" si="4"/>
        <v>8704402</v>
      </c>
      <c r="K53" s="645">
        <f t="shared" si="4"/>
        <v>0</v>
      </c>
      <c r="L53" s="646">
        <f t="shared" si="4"/>
        <v>8704402</v>
      </c>
      <c r="M53" s="646">
        <f t="shared" si="4"/>
        <v>1892201036</v>
      </c>
      <c r="P53" s="654">
        <f>SUM(L53,I53,F53)</f>
        <v>1892201036</v>
      </c>
    </row>
    <row r="54" spans="1:16" ht="30.75" customHeight="1">
      <c r="A54" s="215" t="s">
        <v>383</v>
      </c>
      <c r="B54" s="214" t="s">
        <v>58</v>
      </c>
      <c r="C54" s="204" t="s">
        <v>654</v>
      </c>
      <c r="D54" s="234">
        <f>91562414+16696818+26913440+103400+18095+1263600+221130-340425-59575-513114+513114+334626+2000+565152+87598-200000-130000-81892</f>
        <v>136956381</v>
      </c>
      <c r="E54" s="235">
        <f>1934590+1204167-1204167+200000+130000+81892</f>
        <v>2346482</v>
      </c>
      <c r="F54" s="207">
        <f>SUM(D54:E54)</f>
        <v>139302863</v>
      </c>
      <c r="G54" s="234"/>
      <c r="H54" s="235"/>
      <c r="I54" s="204">
        <f>SUM(G54:H54)</f>
        <v>0</v>
      </c>
      <c r="J54" s="234"/>
      <c r="K54" s="235"/>
      <c r="L54" s="204">
        <f>SUM(J54:K54)</f>
        <v>0</v>
      </c>
      <c r="M54" s="211">
        <f>SUM(L54,I54,F54)</f>
        <v>139302863</v>
      </c>
      <c r="P54" s="648"/>
    </row>
    <row r="55" spans="1:16" ht="30.75" customHeight="1">
      <c r="A55" s="215" t="s">
        <v>384</v>
      </c>
      <c r="B55" s="214" t="s">
        <v>828</v>
      </c>
      <c r="C55" s="213"/>
      <c r="D55" s="205"/>
      <c r="E55" s="206"/>
      <c r="F55" s="207">
        <f>SUM(D55:E55)</f>
        <v>0</v>
      </c>
      <c r="G55" s="205">
        <v>5569500</v>
      </c>
      <c r="H55" s="206"/>
      <c r="I55" s="207">
        <f>SUM(G55:H55)</f>
        <v>5569500</v>
      </c>
      <c r="J55" s="205"/>
      <c r="K55" s="206"/>
      <c r="L55" s="207">
        <f>SUM(J55:K55)</f>
        <v>0</v>
      </c>
      <c r="M55" s="211">
        <f>SUM(L55,I55,F55)</f>
        <v>5569500</v>
      </c>
      <c r="P55" s="648"/>
    </row>
    <row r="56" spans="1:16" ht="36.75" thickBot="1">
      <c r="A56" s="215" t="s">
        <v>385</v>
      </c>
      <c r="B56" s="643" t="s">
        <v>829</v>
      </c>
      <c r="C56" s="237"/>
      <c r="D56" s="216"/>
      <c r="E56" s="217"/>
      <c r="F56" s="207">
        <f>SUM(D56:E56)</f>
        <v>0</v>
      </c>
      <c r="G56" s="216">
        <f>2881247+416917+64622</f>
        <v>3362786</v>
      </c>
      <c r="H56" s="217"/>
      <c r="I56" s="207">
        <f>SUM(G56:H56)</f>
        <v>3362786</v>
      </c>
      <c r="J56" s="216"/>
      <c r="K56" s="217"/>
      <c r="L56" s="207">
        <f>SUM(J56:K56)</f>
        <v>0</v>
      </c>
      <c r="M56" s="211">
        <f>SUM(L56,I56,F56)</f>
        <v>3362786</v>
      </c>
      <c r="P56" s="648"/>
    </row>
    <row r="57" spans="1:16" s="647" customFormat="1" ht="23.25" customHeight="1" thickBot="1">
      <c r="A57" s="1040" t="s">
        <v>454</v>
      </c>
      <c r="B57" s="1041"/>
      <c r="C57" s="1042"/>
      <c r="D57" s="644">
        <f aca="true" t="shared" si="5" ref="D57:M57">SUM(D54:D56)</f>
        <v>136956381</v>
      </c>
      <c r="E57" s="645">
        <f t="shared" si="5"/>
        <v>2346482</v>
      </c>
      <c r="F57" s="646">
        <f t="shared" si="5"/>
        <v>139302863</v>
      </c>
      <c r="G57" s="645">
        <f t="shared" si="5"/>
        <v>8932286</v>
      </c>
      <c r="H57" s="645">
        <f t="shared" si="5"/>
        <v>0</v>
      </c>
      <c r="I57" s="646">
        <f t="shared" si="5"/>
        <v>8932286</v>
      </c>
      <c r="J57" s="645">
        <f t="shared" si="5"/>
        <v>0</v>
      </c>
      <c r="K57" s="645">
        <f t="shared" si="5"/>
        <v>0</v>
      </c>
      <c r="L57" s="646">
        <f t="shared" si="5"/>
        <v>0</v>
      </c>
      <c r="M57" s="646">
        <f t="shared" si="5"/>
        <v>148235149</v>
      </c>
      <c r="P57" s="654">
        <f>SUM(L57,I57,F57)</f>
        <v>148235149</v>
      </c>
    </row>
    <row r="58" spans="1:16" ht="23.25" customHeight="1">
      <c r="A58" s="202" t="s">
        <v>383</v>
      </c>
      <c r="B58" s="239" t="s">
        <v>455</v>
      </c>
      <c r="C58" s="222" t="s">
        <v>659</v>
      </c>
      <c r="D58" s="240">
        <f>31853858+544626</f>
        <v>32398484</v>
      </c>
      <c r="E58" s="241"/>
      <c r="F58" s="238">
        <f aca="true" t="shared" si="6" ref="F58:F69">SUM(D58:E58)</f>
        <v>32398484</v>
      </c>
      <c r="G58" s="240"/>
      <c r="H58" s="241"/>
      <c r="I58" s="238">
        <f aca="true" t="shared" si="7" ref="I58:I69">SUM(G58:H58)</f>
        <v>0</v>
      </c>
      <c r="J58" s="240"/>
      <c r="K58" s="241"/>
      <c r="L58" s="238">
        <f aca="true" t="shared" si="8" ref="L58:L69">SUM(J58:K58)</f>
        <v>0</v>
      </c>
      <c r="M58" s="211">
        <f aca="true" t="shared" si="9" ref="M58:M69">SUM(L58,I58,F58)</f>
        <v>32398484</v>
      </c>
      <c r="P58" s="648"/>
    </row>
    <row r="59" spans="1:16" ht="23.25" customHeight="1">
      <c r="A59" s="215" t="s">
        <v>384</v>
      </c>
      <c r="B59" s="214" t="s">
        <v>763</v>
      </c>
      <c r="C59" s="1060" t="s">
        <v>655</v>
      </c>
      <c r="D59" s="225">
        <f>128705693+3215520+562716-330000-57750-1461600-255780+216700+37923+7803952+1209613-9-3</f>
        <v>139646975</v>
      </c>
      <c r="E59" s="226"/>
      <c r="F59" s="207">
        <f t="shared" si="6"/>
        <v>139646975</v>
      </c>
      <c r="G59" s="232"/>
      <c r="H59" s="230"/>
      <c r="I59" s="207">
        <f t="shared" si="7"/>
        <v>0</v>
      </c>
      <c r="J59" s="219"/>
      <c r="K59" s="219"/>
      <c r="L59" s="207">
        <f t="shared" si="8"/>
        <v>0</v>
      </c>
      <c r="M59" s="211">
        <f t="shared" si="9"/>
        <v>139646975</v>
      </c>
      <c r="P59" s="648"/>
    </row>
    <row r="60" spans="1:16" ht="23.25" customHeight="1">
      <c r="A60" s="212" t="s">
        <v>385</v>
      </c>
      <c r="B60" s="214" t="s">
        <v>786</v>
      </c>
      <c r="C60" s="1061"/>
      <c r="D60" s="225">
        <f>10508378+550024-14000</f>
        <v>11044402</v>
      </c>
      <c r="E60" s="226">
        <f>309245+508000+1130000+507849</f>
        <v>2455094</v>
      </c>
      <c r="F60" s="207">
        <f t="shared" si="6"/>
        <v>13499496</v>
      </c>
      <c r="G60" s="232"/>
      <c r="H60" s="230"/>
      <c r="I60" s="207">
        <f t="shared" si="7"/>
        <v>0</v>
      </c>
      <c r="J60" s="219"/>
      <c r="K60" s="219"/>
      <c r="L60" s="207">
        <f t="shared" si="8"/>
        <v>0</v>
      </c>
      <c r="M60" s="211">
        <f t="shared" si="9"/>
        <v>13499496</v>
      </c>
      <c r="P60" s="648"/>
    </row>
    <row r="61" spans="1:16" ht="23.25" customHeight="1">
      <c r="A61" s="212" t="s">
        <v>386</v>
      </c>
      <c r="B61" s="214" t="s">
        <v>529</v>
      </c>
      <c r="C61" s="252" t="s">
        <v>555</v>
      </c>
      <c r="D61" s="225">
        <f>24097710+1249875+4222056+218728+4796826+91000+1125000-1245375+196875-217940+1666667+258333+495000</f>
        <v>36954755</v>
      </c>
      <c r="E61" s="226">
        <v>304800</v>
      </c>
      <c r="F61" s="207">
        <f t="shared" si="6"/>
        <v>37259555</v>
      </c>
      <c r="G61" s="232"/>
      <c r="H61" s="230"/>
      <c r="I61" s="207">
        <f t="shared" si="7"/>
        <v>0</v>
      </c>
      <c r="J61" s="219"/>
      <c r="K61" s="219"/>
      <c r="L61" s="207">
        <f t="shared" si="8"/>
        <v>0</v>
      </c>
      <c r="M61" s="211">
        <f t="shared" si="9"/>
        <v>37259555</v>
      </c>
      <c r="P61" s="648"/>
    </row>
    <row r="62" spans="1:16" ht="23.25" customHeight="1">
      <c r="A62" s="212" t="s">
        <v>387</v>
      </c>
      <c r="B62" s="214" t="s">
        <v>641</v>
      </c>
      <c r="C62" s="252" t="s">
        <v>661</v>
      </c>
      <c r="D62" s="225">
        <f>11177496+981000+1927326+171675+2955612+91000+1035000-976500+181125-170887+304762+47238+355000</f>
        <v>18079847</v>
      </c>
      <c r="E62" s="226">
        <v>401320</v>
      </c>
      <c r="F62" s="207">
        <f t="shared" si="6"/>
        <v>18481167</v>
      </c>
      <c r="G62" s="232"/>
      <c r="H62" s="230"/>
      <c r="I62" s="207">
        <f t="shared" si="7"/>
        <v>0</v>
      </c>
      <c r="J62" s="219"/>
      <c r="K62" s="219"/>
      <c r="L62" s="207">
        <f t="shared" si="8"/>
        <v>0</v>
      </c>
      <c r="M62" s="211">
        <f t="shared" si="9"/>
        <v>18481167</v>
      </c>
      <c r="P62" s="648"/>
    </row>
    <row r="63" spans="1:16" ht="23.25" customHeight="1">
      <c r="A63" s="212" t="s">
        <v>388</v>
      </c>
      <c r="B63" s="214" t="s">
        <v>642</v>
      </c>
      <c r="C63" s="252" t="s">
        <v>662</v>
      </c>
      <c r="D63" s="227">
        <f>10053189+1759308+1190218+639450+111904+377922+58578+300000</f>
        <v>14490569</v>
      </c>
      <c r="E63" s="226">
        <v>95250</v>
      </c>
      <c r="F63" s="207">
        <f t="shared" si="6"/>
        <v>14585819</v>
      </c>
      <c r="G63" s="227"/>
      <c r="H63" s="226"/>
      <c r="I63" s="207">
        <f t="shared" si="7"/>
        <v>0</v>
      </c>
      <c r="J63" s="219"/>
      <c r="K63" s="219"/>
      <c r="L63" s="207">
        <f t="shared" si="8"/>
        <v>0</v>
      </c>
      <c r="M63" s="211">
        <f t="shared" si="9"/>
        <v>14585819</v>
      </c>
      <c r="P63" s="648"/>
    </row>
    <row r="64" spans="1:16" ht="23.25" customHeight="1">
      <c r="A64" s="212" t="s">
        <v>389</v>
      </c>
      <c r="B64" s="214" t="s">
        <v>643</v>
      </c>
      <c r="C64" s="222" t="s">
        <v>659</v>
      </c>
      <c r="D64" s="227">
        <f>2677147+40591</f>
        <v>2717738</v>
      </c>
      <c r="E64" s="226"/>
      <c r="F64" s="207">
        <f t="shared" si="6"/>
        <v>2717738</v>
      </c>
      <c r="G64" s="227"/>
      <c r="H64" s="226"/>
      <c r="I64" s="207">
        <f t="shared" si="7"/>
        <v>0</v>
      </c>
      <c r="J64" s="219"/>
      <c r="K64" s="219"/>
      <c r="L64" s="207">
        <f t="shared" si="8"/>
        <v>0</v>
      </c>
      <c r="M64" s="211">
        <f t="shared" si="9"/>
        <v>2717738</v>
      </c>
      <c r="P64" s="648"/>
    </row>
    <row r="65" spans="1:16" ht="23.25" customHeight="1">
      <c r="A65" s="215" t="s">
        <v>390</v>
      </c>
      <c r="B65" s="239" t="s">
        <v>490</v>
      </c>
      <c r="C65" s="222" t="s">
        <v>663</v>
      </c>
      <c r="D65" s="610"/>
      <c r="E65" s="611"/>
      <c r="F65" s="207">
        <f t="shared" si="6"/>
        <v>0</v>
      </c>
      <c r="G65" s="558">
        <f>5287200+925260+1916238-781083-47925+348851</f>
        <v>7648541</v>
      </c>
      <c r="H65" s="611">
        <f>63500+47925</f>
        <v>111425</v>
      </c>
      <c r="I65" s="207">
        <f t="shared" si="7"/>
        <v>7759966</v>
      </c>
      <c r="J65" s="559"/>
      <c r="K65" s="559"/>
      <c r="L65" s="207">
        <f t="shared" si="8"/>
        <v>0</v>
      </c>
      <c r="M65" s="211">
        <f t="shared" si="9"/>
        <v>7759966</v>
      </c>
      <c r="P65" s="648"/>
    </row>
    <row r="66" spans="1:16" ht="23.25" customHeight="1">
      <c r="A66" s="215" t="s">
        <v>391</v>
      </c>
      <c r="B66" s="214" t="s">
        <v>978</v>
      </c>
      <c r="C66" s="222"/>
      <c r="D66" s="610"/>
      <c r="E66" s="611"/>
      <c r="F66" s="207">
        <f t="shared" si="6"/>
        <v>0</v>
      </c>
      <c r="G66" s="558">
        <f>1952578-54+9+3+14000</f>
        <v>1966536</v>
      </c>
      <c r="H66" s="611"/>
      <c r="I66" s="207">
        <f t="shared" si="7"/>
        <v>1966536</v>
      </c>
      <c r="J66" s="559"/>
      <c r="K66" s="559"/>
      <c r="L66" s="207"/>
      <c r="M66" s="211">
        <f t="shared" si="9"/>
        <v>1966536</v>
      </c>
      <c r="P66" s="648"/>
    </row>
    <row r="67" spans="1:16" ht="23.25" customHeight="1">
      <c r="A67" s="215" t="s">
        <v>392</v>
      </c>
      <c r="B67" s="214" t="s">
        <v>977</v>
      </c>
      <c r="C67" s="222"/>
      <c r="D67" s="610"/>
      <c r="E67" s="611"/>
      <c r="F67" s="207">
        <f t="shared" si="6"/>
        <v>0</v>
      </c>
      <c r="G67" s="558">
        <v>31954</v>
      </c>
      <c r="H67" s="611"/>
      <c r="I67" s="207">
        <f t="shared" si="7"/>
        <v>31954</v>
      </c>
      <c r="J67" s="559"/>
      <c r="K67" s="559"/>
      <c r="L67" s="207"/>
      <c r="M67" s="211">
        <f t="shared" si="9"/>
        <v>31954</v>
      </c>
      <c r="P67" s="648"/>
    </row>
    <row r="68" spans="1:16" ht="38.25" customHeight="1">
      <c r="A68" s="215" t="s">
        <v>393</v>
      </c>
      <c r="B68" s="214" t="s">
        <v>830</v>
      </c>
      <c r="C68" s="222"/>
      <c r="D68" s="610"/>
      <c r="E68" s="611"/>
      <c r="F68" s="207">
        <f t="shared" si="6"/>
        <v>0</v>
      </c>
      <c r="G68" s="558">
        <f>3600000+630000+2160000+334800</f>
        <v>6724800</v>
      </c>
      <c r="H68" s="611"/>
      <c r="I68" s="207">
        <f t="shared" si="7"/>
        <v>6724800</v>
      </c>
      <c r="J68" s="559"/>
      <c r="K68" s="559"/>
      <c r="L68" s="207">
        <f t="shared" si="8"/>
        <v>0</v>
      </c>
      <c r="M68" s="211">
        <f t="shared" si="9"/>
        <v>6724800</v>
      </c>
      <c r="P68" s="648"/>
    </row>
    <row r="69" spans="1:16" ht="27" customHeight="1" thickBot="1">
      <c r="A69" s="612" t="s">
        <v>394</v>
      </c>
      <c r="B69" s="214" t="s">
        <v>831</v>
      </c>
      <c r="C69" s="222"/>
      <c r="D69" s="240"/>
      <c r="E69" s="241"/>
      <c r="F69" s="238">
        <f t="shared" si="6"/>
        <v>0</v>
      </c>
      <c r="G69" s="240">
        <f>6562063+1148361+50000+2756937+482464+2114762+10500000+6060606+939394</f>
        <v>30614587</v>
      </c>
      <c r="H69" s="241"/>
      <c r="I69" s="238">
        <f t="shared" si="7"/>
        <v>30614587</v>
      </c>
      <c r="J69" s="240"/>
      <c r="K69" s="241"/>
      <c r="L69" s="238">
        <f t="shared" si="8"/>
        <v>0</v>
      </c>
      <c r="M69" s="211">
        <f t="shared" si="9"/>
        <v>30614587</v>
      </c>
      <c r="P69" s="648"/>
    </row>
    <row r="70" spans="1:16" s="653" customFormat="1" ht="27.75" customHeight="1" thickBot="1">
      <c r="A70" s="1049" t="s">
        <v>703</v>
      </c>
      <c r="B70" s="1050"/>
      <c r="C70" s="1051"/>
      <c r="D70" s="649">
        <f aca="true" t="shared" si="10" ref="D70:M70">SUM(D58:D69)</f>
        <v>255332770</v>
      </c>
      <c r="E70" s="650">
        <f t="shared" si="10"/>
        <v>3256464</v>
      </c>
      <c r="F70" s="651">
        <f t="shared" si="10"/>
        <v>258589234</v>
      </c>
      <c r="G70" s="649">
        <f t="shared" si="10"/>
        <v>46986418</v>
      </c>
      <c r="H70" s="650">
        <f t="shared" si="10"/>
        <v>111425</v>
      </c>
      <c r="I70" s="651">
        <f t="shared" si="10"/>
        <v>47097843</v>
      </c>
      <c r="J70" s="649">
        <f t="shared" si="10"/>
        <v>0</v>
      </c>
      <c r="K70" s="650">
        <f t="shared" si="10"/>
        <v>0</v>
      </c>
      <c r="L70" s="651">
        <f t="shared" si="10"/>
        <v>0</v>
      </c>
      <c r="M70" s="652">
        <f t="shared" si="10"/>
        <v>305687077</v>
      </c>
      <c r="P70" s="654">
        <f>SUM(L70,I70,F70)</f>
        <v>305687077</v>
      </c>
    </row>
    <row r="71" spans="1:16" ht="32.25" customHeight="1">
      <c r="A71" s="212" t="s">
        <v>383</v>
      </c>
      <c r="B71" s="221" t="s">
        <v>489</v>
      </c>
      <c r="C71" s="213" t="s">
        <v>651</v>
      </c>
      <c r="D71" s="216">
        <f>1082115-800000</f>
        <v>282115</v>
      </c>
      <c r="E71" s="217">
        <f>800000+145000</f>
        <v>945000</v>
      </c>
      <c r="F71" s="207">
        <f aca="true" t="shared" si="11" ref="F71:F76">SUM(D71:E71)</f>
        <v>1227115</v>
      </c>
      <c r="G71" s="218"/>
      <c r="H71" s="217"/>
      <c r="I71" s="207">
        <f aca="true" t="shared" si="12" ref="I71:I76">SUM(G71:H71)</f>
        <v>0</v>
      </c>
      <c r="J71" s="219"/>
      <c r="K71" s="220"/>
      <c r="L71" s="207">
        <f>SUM(J71:K71)</f>
        <v>0</v>
      </c>
      <c r="M71" s="211">
        <f>SUM(F71+I71+L71)</f>
        <v>1227115</v>
      </c>
      <c r="P71" s="648"/>
    </row>
    <row r="72" spans="1:16" ht="22.5" customHeight="1">
      <c r="A72" s="212" t="s">
        <v>384</v>
      </c>
      <c r="B72" s="229" t="s">
        <v>373</v>
      </c>
      <c r="C72" s="224" t="s">
        <v>651</v>
      </c>
      <c r="D72" s="216">
        <f>3583050+805087+124788</f>
        <v>4512925</v>
      </c>
      <c r="E72" s="217"/>
      <c r="F72" s="207">
        <f t="shared" si="11"/>
        <v>4512925</v>
      </c>
      <c r="G72" s="218"/>
      <c r="H72" s="217"/>
      <c r="I72" s="207">
        <f t="shared" si="12"/>
        <v>0</v>
      </c>
      <c r="J72" s="219"/>
      <c r="K72" s="220"/>
      <c r="L72" s="207">
        <f>SUM(J72:K72)</f>
        <v>0</v>
      </c>
      <c r="M72" s="211">
        <f>SUM(F72+I72+L72)</f>
        <v>4512925</v>
      </c>
      <c r="P72" s="648"/>
    </row>
    <row r="73" spans="1:16" ht="33.75" customHeight="1">
      <c r="A73" s="212" t="s">
        <v>385</v>
      </c>
      <c r="B73" s="214" t="s">
        <v>78</v>
      </c>
      <c r="C73" s="228" t="s">
        <v>652</v>
      </c>
      <c r="D73" s="225">
        <f>11931088+2122958+14446890-317500+144779+300000+367133+2954117+2415261+374364-3-1-8000-500000</f>
        <v>34231086</v>
      </c>
      <c r="E73" s="226">
        <f>304800-177800+578000+700000-578000+500000</f>
        <v>1327000</v>
      </c>
      <c r="F73" s="207">
        <f t="shared" si="11"/>
        <v>35558086</v>
      </c>
      <c r="G73" s="227"/>
      <c r="H73" s="226"/>
      <c r="I73" s="207">
        <f t="shared" si="12"/>
        <v>0</v>
      </c>
      <c r="J73" s="219"/>
      <c r="K73" s="220"/>
      <c r="L73" s="207">
        <f>SUM(J73:K73)</f>
        <v>0</v>
      </c>
      <c r="M73" s="211">
        <f>SUM(F73+I73+L73)</f>
        <v>35558086</v>
      </c>
      <c r="P73" s="648"/>
    </row>
    <row r="74" spans="1:16" ht="33.75" customHeight="1">
      <c r="A74" s="212" t="s">
        <v>386</v>
      </c>
      <c r="B74" s="214" t="s">
        <v>367</v>
      </c>
      <c r="C74" s="228"/>
      <c r="D74" s="225"/>
      <c r="E74" s="226"/>
      <c r="F74" s="207">
        <f t="shared" si="11"/>
        <v>0</v>
      </c>
      <c r="G74" s="227">
        <f>1980314+964502+7003586-775591-377745-2575544-21844</f>
        <v>6197678</v>
      </c>
      <c r="H74" s="226"/>
      <c r="I74" s="207">
        <f t="shared" si="12"/>
        <v>6197678</v>
      </c>
      <c r="J74" s="219"/>
      <c r="K74" s="220"/>
      <c r="L74" s="207">
        <f>SUM(J74:K74)</f>
        <v>0</v>
      </c>
      <c r="M74" s="211">
        <f>SUM(F74+I74+L74)</f>
        <v>6197678</v>
      </c>
      <c r="P74" s="648"/>
    </row>
    <row r="75" spans="1:16" ht="23.25" customHeight="1">
      <c r="A75" s="215" t="s">
        <v>387</v>
      </c>
      <c r="B75" s="214" t="s">
        <v>978</v>
      </c>
      <c r="C75" s="222"/>
      <c r="D75" s="610"/>
      <c r="E75" s="611"/>
      <c r="F75" s="207">
        <f t="shared" si="11"/>
        <v>0</v>
      </c>
      <c r="G75" s="558">
        <f>278932+3+1+8000</f>
        <v>286936</v>
      </c>
      <c r="H75" s="611"/>
      <c r="I75" s="207">
        <f t="shared" si="12"/>
        <v>286936</v>
      </c>
      <c r="J75" s="559"/>
      <c r="K75" s="559"/>
      <c r="L75" s="207"/>
      <c r="M75" s="211">
        <f>SUM(L75,I75,F75)</f>
        <v>286936</v>
      </c>
      <c r="P75" s="648"/>
    </row>
    <row r="76" spans="1:16" ht="33.75" customHeight="1" thickBot="1">
      <c r="A76" s="212" t="s">
        <v>388</v>
      </c>
      <c r="B76" s="214" t="s">
        <v>808</v>
      </c>
      <c r="C76" s="228"/>
      <c r="D76" s="225"/>
      <c r="E76" s="226"/>
      <c r="F76" s="207">
        <f t="shared" si="11"/>
        <v>0</v>
      </c>
      <c r="G76" s="227">
        <f>1800000+315000+3527681+13166-13166+1000000+175000-1175000</f>
        <v>5642681</v>
      </c>
      <c r="H76" s="226"/>
      <c r="I76" s="207">
        <f t="shared" si="12"/>
        <v>5642681</v>
      </c>
      <c r="J76" s="219"/>
      <c r="K76" s="220"/>
      <c r="L76" s="207">
        <f>SUM(J76:K76)</f>
        <v>0</v>
      </c>
      <c r="M76" s="211">
        <f>SUM(F76+I76+L76)</f>
        <v>5642681</v>
      </c>
      <c r="P76" s="648"/>
    </row>
    <row r="77" spans="1:16" s="653" customFormat="1" ht="27.75" customHeight="1" thickBot="1">
      <c r="A77" s="1049" t="s">
        <v>714</v>
      </c>
      <c r="B77" s="1050"/>
      <c r="C77" s="1051"/>
      <c r="D77" s="649">
        <f>SUM(D71:D76)</f>
        <v>39026126</v>
      </c>
      <c r="E77" s="650">
        <f aca="true" t="shared" si="13" ref="E77:K77">SUM(E71:E76)</f>
        <v>2272000</v>
      </c>
      <c r="F77" s="651">
        <f t="shared" si="13"/>
        <v>41298126</v>
      </c>
      <c r="G77" s="649">
        <f t="shared" si="13"/>
        <v>12127295</v>
      </c>
      <c r="H77" s="650">
        <f t="shared" si="13"/>
        <v>0</v>
      </c>
      <c r="I77" s="651">
        <f t="shared" si="13"/>
        <v>12127295</v>
      </c>
      <c r="J77" s="649">
        <f t="shared" si="13"/>
        <v>0</v>
      </c>
      <c r="K77" s="650">
        <f t="shared" si="13"/>
        <v>0</v>
      </c>
      <c r="L77" s="651">
        <f>SUM(L71:L76)</f>
        <v>0</v>
      </c>
      <c r="M77" s="652">
        <f>SUM(M71:M76)</f>
        <v>53425421</v>
      </c>
      <c r="P77" s="654">
        <f>SUM(L77,I77,F77)</f>
        <v>53425421</v>
      </c>
    </row>
    <row r="78" spans="1:16" s="187" customFormat="1" ht="16.5" thickBot="1">
      <c r="A78" s="1037" t="s">
        <v>456</v>
      </c>
      <c r="B78" s="1038"/>
      <c r="C78" s="1039"/>
      <c r="D78" s="242">
        <f aca="true" t="shared" si="14" ref="D78:M78">D53+D57+D70+D77</f>
        <v>1112108495</v>
      </c>
      <c r="E78" s="242">
        <f t="shared" si="14"/>
        <v>317673272</v>
      </c>
      <c r="F78" s="553">
        <f t="shared" si="14"/>
        <v>1429781767</v>
      </c>
      <c r="G78" s="242">
        <f t="shared" si="14"/>
        <v>305484445</v>
      </c>
      <c r="H78" s="242">
        <f t="shared" si="14"/>
        <v>655578069</v>
      </c>
      <c r="I78" s="243">
        <f t="shared" si="14"/>
        <v>961062514</v>
      </c>
      <c r="J78" s="431">
        <f t="shared" si="14"/>
        <v>8704402</v>
      </c>
      <c r="K78" s="554">
        <f t="shared" si="14"/>
        <v>0</v>
      </c>
      <c r="L78" s="555">
        <f t="shared" si="14"/>
        <v>8704402</v>
      </c>
      <c r="M78" s="244">
        <f t="shared" si="14"/>
        <v>2399548683</v>
      </c>
      <c r="P78" s="648">
        <f>SUM(L78,I78,F78)</f>
        <v>2399548683</v>
      </c>
    </row>
    <row r="80" spans="1:2" ht="12.75">
      <c r="A80" s="123" t="s">
        <v>457</v>
      </c>
      <c r="B80" s="123" t="s">
        <v>458</v>
      </c>
    </row>
    <row r="81" spans="1:2" ht="12.75">
      <c r="A81" s="123" t="s">
        <v>459</v>
      </c>
      <c r="B81" s="123" t="s">
        <v>460</v>
      </c>
    </row>
    <row r="82" spans="1:2" ht="12.75">
      <c r="A82" s="123" t="s">
        <v>461</v>
      </c>
      <c r="B82" s="123" t="s">
        <v>462</v>
      </c>
    </row>
    <row r="83" spans="1:2" ht="12.75">
      <c r="A83" s="123" t="s">
        <v>463</v>
      </c>
      <c r="B83" s="123" t="s">
        <v>464</v>
      </c>
    </row>
    <row r="84" spans="1:2" ht="12.75">
      <c r="A84" s="123" t="s">
        <v>701</v>
      </c>
      <c r="B84" s="123" t="s">
        <v>702</v>
      </c>
    </row>
    <row r="85" spans="1:2" ht="12.75">
      <c r="A85" s="123" t="s">
        <v>554</v>
      </c>
      <c r="B85" s="123" t="s">
        <v>553</v>
      </c>
    </row>
  </sheetData>
  <sheetProtection/>
  <mergeCells count="16">
    <mergeCell ref="G1:M1"/>
    <mergeCell ref="M6:M8"/>
    <mergeCell ref="A3:M4"/>
    <mergeCell ref="C6:C8"/>
    <mergeCell ref="G6:I7"/>
    <mergeCell ref="J6:L7"/>
    <mergeCell ref="A78:C78"/>
    <mergeCell ref="A57:C57"/>
    <mergeCell ref="D6:F7"/>
    <mergeCell ref="A70:C70"/>
    <mergeCell ref="B5:B8"/>
    <mergeCell ref="A5:A8"/>
    <mergeCell ref="C5:M5"/>
    <mergeCell ref="A53:C53"/>
    <mergeCell ref="A77:C77"/>
    <mergeCell ref="C59:C60"/>
  </mergeCells>
  <printOptions horizontalCentered="1"/>
  <pageMargins left="0.3937007874015748" right="0.3937007874015748" top="0.9055118110236221" bottom="0.7874015748031497" header="0.5118110236220472" footer="0.5118110236220472"/>
  <pageSetup horizontalDpi="600" verticalDpi="600" orientation="landscape" paperSize="9" scale="59" r:id="rId1"/>
  <rowBreaks count="2" manualBreakCount="2">
    <brk id="32" max="12" man="1"/>
    <brk id="53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O94"/>
  <sheetViews>
    <sheetView zoomScalePageLayoutView="0" workbookViewId="0" topLeftCell="T1">
      <pane ySplit="7" topLeftCell="A8" activePane="bottomLeft" state="frozen"/>
      <selection pane="topLeft" activeCell="A1" sqref="A1"/>
      <selection pane="bottomLeft" activeCell="T2" sqref="T2"/>
    </sheetView>
  </sheetViews>
  <sheetFormatPr defaultColWidth="9.00390625" defaultRowHeight="12.75"/>
  <cols>
    <col min="1" max="2" width="9.125" style="123" customWidth="1"/>
    <col min="3" max="3" width="19.125" style="123" customWidth="1"/>
    <col min="4" max="6" width="18.00390625" style="123" bestFit="1" customWidth="1"/>
    <col min="7" max="7" width="12.625" style="123" customWidth="1"/>
    <col min="8" max="8" width="18.875" style="123" customWidth="1"/>
    <col min="9" max="9" width="9.25390625" style="123" bestFit="1" customWidth="1"/>
    <col min="10" max="10" width="11.375" style="123" bestFit="1" customWidth="1"/>
    <col min="11" max="11" width="19.25390625" style="123" customWidth="1"/>
    <col min="12" max="12" width="9.75390625" style="123" customWidth="1"/>
    <col min="13" max="13" width="9.125" style="123" customWidth="1"/>
    <col min="14" max="14" width="12.625" style="123" customWidth="1"/>
    <col min="15" max="15" width="8.125" style="123" customWidth="1"/>
    <col min="16" max="16" width="10.375" style="123" bestFit="1" customWidth="1"/>
    <col min="17" max="17" width="14.00390625" style="123" bestFit="1" customWidth="1"/>
    <col min="18" max="20" width="9.125" style="123" customWidth="1"/>
    <col min="21" max="21" width="9.875" style="123" customWidth="1"/>
    <col min="22" max="22" width="13.125" style="123" customWidth="1"/>
    <col min="23" max="23" width="16.625" style="123" bestFit="1" customWidth="1"/>
    <col min="24" max="24" width="18.00390625" style="253" bestFit="1" customWidth="1"/>
    <col min="25" max="25" width="18.25390625" style="253" customWidth="1"/>
    <col min="26" max="26" width="18.75390625" style="253" customWidth="1"/>
    <col min="27" max="27" width="19.75390625" style="253" bestFit="1" customWidth="1"/>
    <col min="28" max="28" width="17.375" style="253" bestFit="1" customWidth="1"/>
    <col min="29" max="29" width="19.75390625" style="253" bestFit="1" customWidth="1"/>
    <col min="30" max="223" width="9.125" style="253" customWidth="1"/>
    <col min="224" max="16384" width="9.125" style="123" customWidth="1"/>
  </cols>
  <sheetData>
    <row r="1" spans="1:28" ht="15">
      <c r="A1" s="189"/>
      <c r="B1" s="190"/>
      <c r="C1" s="191"/>
      <c r="H1" s="190"/>
      <c r="I1" s="190"/>
      <c r="J1" s="190"/>
      <c r="K1" s="192"/>
      <c r="L1" s="192"/>
      <c r="M1" s="192"/>
      <c r="N1" s="190"/>
      <c r="T1" s="1113" t="s">
        <v>1131</v>
      </c>
      <c r="U1" s="1114"/>
      <c r="V1" s="1114"/>
      <c r="W1" s="1114"/>
      <c r="X1" s="1115"/>
      <c r="Y1" s="1115"/>
      <c r="Z1" s="1115"/>
      <c r="AA1" s="1115"/>
      <c r="AB1" s="1115"/>
    </row>
    <row r="2" spans="1:14" ht="12.75">
      <c r="A2" s="189"/>
      <c r="B2" s="190"/>
      <c r="C2" s="191"/>
      <c r="D2" s="193"/>
      <c r="E2" s="194"/>
      <c r="F2" s="194"/>
      <c r="G2" s="194"/>
      <c r="H2" s="190"/>
      <c r="I2" s="190"/>
      <c r="J2" s="190"/>
      <c r="K2" s="192"/>
      <c r="L2" s="192"/>
      <c r="M2" s="192"/>
      <c r="N2" s="190"/>
    </row>
    <row r="3" spans="1:29" ht="15.75" customHeight="1">
      <c r="A3" s="1121" t="s">
        <v>809</v>
      </c>
      <c r="B3" s="1121"/>
      <c r="C3" s="1121"/>
      <c r="D3" s="1121"/>
      <c r="E3" s="1121"/>
      <c r="F3" s="1121"/>
      <c r="G3" s="1121"/>
      <c r="H3" s="1121"/>
      <c r="I3" s="1121"/>
      <c r="J3" s="1121"/>
      <c r="K3" s="1121"/>
      <c r="L3" s="1121"/>
      <c r="M3" s="1121"/>
      <c r="N3" s="1121"/>
      <c r="O3" s="1121"/>
      <c r="P3" s="1121"/>
      <c r="Q3" s="1121"/>
      <c r="R3" s="1121"/>
      <c r="S3" s="1121"/>
      <c r="T3" s="1121"/>
      <c r="U3" s="1121"/>
      <c r="V3" s="1121"/>
      <c r="W3" s="1121"/>
      <c r="X3" s="1121"/>
      <c r="Y3" s="1121"/>
      <c r="Z3" s="1121"/>
      <c r="AA3" s="1121"/>
      <c r="AB3" s="1121"/>
      <c r="AC3" s="1121"/>
    </row>
    <row r="4" spans="1:29" ht="15.75" customHeight="1">
      <c r="A4" s="427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427"/>
      <c r="W4" s="427"/>
      <c r="X4" s="427"/>
      <c r="Y4" s="427"/>
      <c r="Z4" s="427"/>
      <c r="AA4" s="427"/>
      <c r="AB4" s="427"/>
      <c r="AC4" s="427"/>
    </row>
    <row r="5" spans="1:29" ht="13.5" customHeight="1" thickBot="1">
      <c r="A5" s="428"/>
      <c r="B5" s="428"/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8"/>
      <c r="P5" s="428"/>
      <c r="Q5" s="428"/>
      <c r="R5" s="428"/>
      <c r="S5" s="428"/>
      <c r="T5" s="428"/>
      <c r="U5" s="428"/>
      <c r="V5" s="428"/>
      <c r="W5" s="428"/>
      <c r="X5" s="428"/>
      <c r="Y5" s="428"/>
      <c r="Z5" s="428"/>
      <c r="AA5" s="428"/>
      <c r="AB5" s="428"/>
      <c r="AC5" s="428"/>
    </row>
    <row r="6" spans="1:223" s="254" customFormat="1" ht="15" customHeight="1" thickBot="1" thickTop="1">
      <c r="A6" s="1109" t="s">
        <v>85</v>
      </c>
      <c r="B6" s="1110"/>
      <c r="C6" s="1110"/>
      <c r="D6" s="1127" t="s">
        <v>353</v>
      </c>
      <c r="E6" s="1087"/>
      <c r="F6" s="1088"/>
      <c r="G6" s="1128" t="s">
        <v>465</v>
      </c>
      <c r="H6" s="1129"/>
      <c r="I6" s="1129"/>
      <c r="J6" s="1129"/>
      <c r="K6" s="1130"/>
      <c r="L6" s="1086" t="s">
        <v>466</v>
      </c>
      <c r="M6" s="1141"/>
      <c r="N6" s="1141"/>
      <c r="O6" s="1141"/>
      <c r="P6" s="1141"/>
      <c r="Q6" s="1142"/>
      <c r="R6" s="1086" t="s">
        <v>467</v>
      </c>
      <c r="S6" s="1141"/>
      <c r="T6" s="1141"/>
      <c r="U6" s="1141"/>
      <c r="V6" s="1141"/>
      <c r="W6" s="1141"/>
      <c r="X6" s="1116" t="s">
        <v>468</v>
      </c>
      <c r="Y6" s="1117"/>
      <c r="Z6" s="1117"/>
      <c r="AA6" s="1118" t="s">
        <v>86</v>
      </c>
      <c r="AB6" s="1119"/>
      <c r="AC6" s="1120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253"/>
      <c r="AP6" s="253"/>
      <c r="AQ6" s="253"/>
      <c r="AR6" s="253"/>
      <c r="AS6" s="253"/>
      <c r="AT6" s="253"/>
      <c r="AU6" s="253"/>
      <c r="AV6" s="253"/>
      <c r="AW6" s="253"/>
      <c r="AX6" s="253"/>
      <c r="AY6" s="253"/>
      <c r="AZ6" s="253"/>
      <c r="BA6" s="253"/>
      <c r="BB6" s="253"/>
      <c r="BC6" s="253"/>
      <c r="BD6" s="253"/>
      <c r="BE6" s="253"/>
      <c r="BF6" s="253"/>
      <c r="BG6" s="253"/>
      <c r="BH6" s="253"/>
      <c r="BI6" s="253"/>
      <c r="BJ6" s="253"/>
      <c r="BK6" s="253"/>
      <c r="BL6" s="253"/>
      <c r="BM6" s="253"/>
      <c r="BN6" s="253"/>
      <c r="BO6" s="253"/>
      <c r="BP6" s="253"/>
      <c r="BQ6" s="253"/>
      <c r="BR6" s="253"/>
      <c r="BS6" s="253"/>
      <c r="BT6" s="253"/>
      <c r="BU6" s="253"/>
      <c r="BV6" s="253"/>
      <c r="BW6" s="253"/>
      <c r="BX6" s="253"/>
      <c r="BY6" s="253"/>
      <c r="BZ6" s="253"/>
      <c r="CA6" s="253"/>
      <c r="CB6" s="253"/>
      <c r="CC6" s="253"/>
      <c r="CD6" s="253"/>
      <c r="CE6" s="253"/>
      <c r="CF6" s="253"/>
      <c r="CG6" s="253"/>
      <c r="CH6" s="253"/>
      <c r="CI6" s="253"/>
      <c r="CJ6" s="253"/>
      <c r="CK6" s="253"/>
      <c r="CL6" s="253"/>
      <c r="CM6" s="253"/>
      <c r="CN6" s="253"/>
      <c r="CO6" s="253"/>
      <c r="CP6" s="253"/>
      <c r="CQ6" s="253"/>
      <c r="CR6" s="253"/>
      <c r="CS6" s="253"/>
      <c r="CT6" s="253"/>
      <c r="CU6" s="253"/>
      <c r="CV6" s="253"/>
      <c r="CW6" s="253"/>
      <c r="CX6" s="253"/>
      <c r="CY6" s="253"/>
      <c r="CZ6" s="253"/>
      <c r="DA6" s="253"/>
      <c r="DB6" s="253"/>
      <c r="DC6" s="253"/>
      <c r="DD6" s="253"/>
      <c r="DE6" s="253"/>
      <c r="DF6" s="253"/>
      <c r="DG6" s="253"/>
      <c r="DH6" s="253"/>
      <c r="DI6" s="253"/>
      <c r="DJ6" s="253"/>
      <c r="DK6" s="253"/>
      <c r="DL6" s="253"/>
      <c r="DM6" s="253"/>
      <c r="DN6" s="253"/>
      <c r="DO6" s="253"/>
      <c r="DP6" s="253"/>
      <c r="DQ6" s="253"/>
      <c r="DR6" s="253"/>
      <c r="DS6" s="253"/>
      <c r="DT6" s="253"/>
      <c r="DU6" s="253"/>
      <c r="DV6" s="253"/>
      <c r="DW6" s="253"/>
      <c r="DX6" s="253"/>
      <c r="DY6" s="253"/>
      <c r="DZ6" s="253"/>
      <c r="EA6" s="253"/>
      <c r="EB6" s="253"/>
      <c r="EC6" s="253"/>
      <c r="ED6" s="253"/>
      <c r="EE6" s="253"/>
      <c r="EF6" s="253"/>
      <c r="EG6" s="253"/>
      <c r="EH6" s="253"/>
      <c r="EI6" s="253"/>
      <c r="EJ6" s="253"/>
      <c r="EK6" s="253"/>
      <c r="EL6" s="253"/>
      <c r="EM6" s="253"/>
      <c r="EN6" s="253"/>
      <c r="EO6" s="253"/>
      <c r="EP6" s="253"/>
      <c r="EQ6" s="253"/>
      <c r="ER6" s="253"/>
      <c r="ES6" s="253"/>
      <c r="ET6" s="253"/>
      <c r="EU6" s="253"/>
      <c r="EV6" s="253"/>
      <c r="EW6" s="253"/>
      <c r="EX6" s="253"/>
      <c r="EY6" s="253"/>
      <c r="EZ6" s="253"/>
      <c r="FA6" s="253"/>
      <c r="FB6" s="253"/>
      <c r="FC6" s="253"/>
      <c r="FD6" s="253"/>
      <c r="FE6" s="253"/>
      <c r="FF6" s="253"/>
      <c r="FG6" s="253"/>
      <c r="FH6" s="253"/>
      <c r="FI6" s="253"/>
      <c r="FJ6" s="253"/>
      <c r="FK6" s="253"/>
      <c r="FL6" s="253"/>
      <c r="FM6" s="253"/>
      <c r="FN6" s="253"/>
      <c r="FO6" s="253"/>
      <c r="FP6" s="253"/>
      <c r="FQ6" s="253"/>
      <c r="FR6" s="253"/>
      <c r="FS6" s="253"/>
      <c r="FT6" s="253"/>
      <c r="FU6" s="253"/>
      <c r="FV6" s="253"/>
      <c r="FW6" s="253"/>
      <c r="FX6" s="253"/>
      <c r="FY6" s="253"/>
      <c r="FZ6" s="253"/>
      <c r="GA6" s="253"/>
      <c r="GB6" s="253"/>
      <c r="GC6" s="253"/>
      <c r="GD6" s="253"/>
      <c r="GE6" s="253"/>
      <c r="GF6" s="253"/>
      <c r="GG6" s="253"/>
      <c r="GH6" s="253"/>
      <c r="GI6" s="253"/>
      <c r="GJ6" s="253"/>
      <c r="GK6" s="253"/>
      <c r="GL6" s="253"/>
      <c r="GM6" s="253"/>
      <c r="GN6" s="253"/>
      <c r="GO6" s="253"/>
      <c r="GP6" s="253"/>
      <c r="GQ6" s="253"/>
      <c r="GR6" s="253"/>
      <c r="GS6" s="253"/>
      <c r="GT6" s="253"/>
      <c r="GU6" s="253"/>
      <c r="GV6" s="253"/>
      <c r="GW6" s="253"/>
      <c r="GX6" s="253"/>
      <c r="GY6" s="253"/>
      <c r="GZ6" s="253"/>
      <c r="HA6" s="253"/>
      <c r="HB6" s="253"/>
      <c r="HC6" s="253"/>
      <c r="HD6" s="253"/>
      <c r="HE6" s="253"/>
      <c r="HF6" s="253"/>
      <c r="HG6" s="253"/>
      <c r="HH6" s="253"/>
      <c r="HI6" s="253"/>
      <c r="HJ6" s="253"/>
      <c r="HK6" s="253"/>
      <c r="HL6" s="253"/>
      <c r="HM6" s="253"/>
      <c r="HN6" s="253"/>
      <c r="HO6" s="253"/>
    </row>
    <row r="7" spans="1:29" s="253" customFormat="1" ht="16.5" customHeight="1" thickBot="1">
      <c r="A7" s="1111"/>
      <c r="B7" s="1112"/>
      <c r="C7" s="1112"/>
      <c r="D7" s="398" t="s">
        <v>87</v>
      </c>
      <c r="E7" s="604" t="s">
        <v>84</v>
      </c>
      <c r="F7" s="256" t="s">
        <v>88</v>
      </c>
      <c r="G7" s="1131"/>
      <c r="H7" s="1132"/>
      <c r="I7" s="1132"/>
      <c r="J7" s="1132"/>
      <c r="K7" s="1133"/>
      <c r="L7" s="1143"/>
      <c r="M7" s="1144"/>
      <c r="N7" s="1144"/>
      <c r="O7" s="1144"/>
      <c r="P7" s="1144"/>
      <c r="Q7" s="1145"/>
      <c r="R7" s="1143"/>
      <c r="S7" s="1144"/>
      <c r="T7" s="1144"/>
      <c r="U7" s="1144"/>
      <c r="V7" s="1144"/>
      <c r="W7" s="1144"/>
      <c r="X7" s="255" t="s">
        <v>87</v>
      </c>
      <c r="Y7" s="398" t="s">
        <v>84</v>
      </c>
      <c r="Z7" s="591" t="s">
        <v>88</v>
      </c>
      <c r="AA7" s="255" t="s">
        <v>87</v>
      </c>
      <c r="AB7" s="398" t="s">
        <v>84</v>
      </c>
      <c r="AC7" s="256" t="s">
        <v>88</v>
      </c>
    </row>
    <row r="8" spans="1:29" s="271" customFormat="1" ht="26.25" customHeight="1">
      <c r="A8" s="257"/>
      <c r="B8" s="258"/>
      <c r="C8" s="259"/>
      <c r="D8" s="260"/>
      <c r="E8" s="258"/>
      <c r="F8" s="261"/>
      <c r="G8" s="1136" t="s">
        <v>469</v>
      </c>
      <c r="H8" s="1092"/>
      <c r="I8" s="1092"/>
      <c r="J8" s="425">
        <f>186857281-119812800+1038000+426173+10068391+848820-11343384+652750</f>
        <v>68735231</v>
      </c>
      <c r="K8" s="1079">
        <f>SUM(J8:J18)</f>
        <v>169430648</v>
      </c>
      <c r="L8" s="1137"/>
      <c r="M8" s="1138"/>
      <c r="N8" s="1138"/>
      <c r="O8" s="1138"/>
      <c r="P8" s="263"/>
      <c r="Q8" s="1134">
        <f>SUM(P8:P18)</f>
        <v>97952404</v>
      </c>
      <c r="R8" s="1075" t="s">
        <v>223</v>
      </c>
      <c r="S8" s="1076"/>
      <c r="T8" s="1076"/>
      <c r="U8" s="1076"/>
      <c r="V8" s="425">
        <f>261700000-10269500-11730500</f>
        <v>239700000</v>
      </c>
      <c r="W8" s="1094">
        <f>SUM(V8:V18)</f>
        <v>417072127</v>
      </c>
      <c r="X8" s="265"/>
      <c r="Y8" s="266"/>
      <c r="Z8" s="267"/>
      <c r="AA8" s="268"/>
      <c r="AB8" s="269"/>
      <c r="AC8" s="270"/>
    </row>
    <row r="9" spans="1:29" s="271" customFormat="1" ht="27" customHeight="1">
      <c r="A9" s="257"/>
      <c r="B9" s="258"/>
      <c r="C9" s="260"/>
      <c r="D9" s="260"/>
      <c r="E9" s="258"/>
      <c r="F9" s="261"/>
      <c r="G9" s="1102" t="s">
        <v>557</v>
      </c>
      <c r="H9" s="1085"/>
      <c r="I9" s="1085"/>
      <c r="J9" s="425">
        <v>1723560</v>
      </c>
      <c r="K9" s="1080"/>
      <c r="L9" s="1073" t="s">
        <v>470</v>
      </c>
      <c r="M9" s="1074"/>
      <c r="N9" s="1074"/>
      <c r="O9" s="1074"/>
      <c r="P9" s="425">
        <v>4572392</v>
      </c>
      <c r="Q9" s="1135"/>
      <c r="R9" s="1075" t="s">
        <v>106</v>
      </c>
      <c r="S9" s="1076"/>
      <c r="T9" s="1076"/>
      <c r="U9" s="1076"/>
      <c r="V9" s="425">
        <f>10142978+129870</f>
        <v>10272848</v>
      </c>
      <c r="W9" s="1095"/>
      <c r="X9" s="272"/>
      <c r="Y9" s="266"/>
      <c r="Z9" s="273"/>
      <c r="AA9" s="257"/>
      <c r="AB9" s="274"/>
      <c r="AC9" s="275"/>
    </row>
    <row r="10" spans="1:29" s="271" customFormat="1" ht="24.75" customHeight="1">
      <c r="A10" s="276"/>
      <c r="B10" s="277"/>
      <c r="C10" s="278" t="s">
        <v>444</v>
      </c>
      <c r="D10" s="279">
        <f>SUM('6. kiadások megbontása'!D53)</f>
        <v>680793218</v>
      </c>
      <c r="E10" s="280">
        <f>SUM('6. kiadások megbontása'!E53)</f>
        <v>309798326</v>
      </c>
      <c r="F10" s="281">
        <f>SUM(D10:E10)</f>
        <v>990591544</v>
      </c>
      <c r="G10" s="1102" t="s">
        <v>672</v>
      </c>
      <c r="H10" s="1085"/>
      <c r="I10" s="1085"/>
      <c r="J10" s="631">
        <f>49781200+1012863-8750116</f>
        <v>42043947</v>
      </c>
      <c r="K10" s="1080"/>
      <c r="L10" s="1073" t="s">
        <v>813</v>
      </c>
      <c r="M10" s="1074"/>
      <c r="N10" s="1074"/>
      <c r="O10" s="1074"/>
      <c r="P10" s="425">
        <v>29559000</v>
      </c>
      <c r="Q10" s="1135"/>
      <c r="R10" s="606" t="s">
        <v>706</v>
      </c>
      <c r="S10" s="609"/>
      <c r="T10" s="609"/>
      <c r="U10" s="609"/>
      <c r="V10" s="425">
        <v>80000</v>
      </c>
      <c r="W10" s="1095"/>
      <c r="X10" s="282"/>
      <c r="Y10" s="283"/>
      <c r="Z10" s="273"/>
      <c r="AA10" s="284"/>
      <c r="AB10" s="285"/>
      <c r="AC10" s="286"/>
    </row>
    <row r="11" spans="1:29" s="271" customFormat="1" ht="16.5" customHeight="1">
      <c r="A11" s="287"/>
      <c r="B11" s="288"/>
      <c r="C11" s="289"/>
      <c r="D11" s="289"/>
      <c r="E11" s="258"/>
      <c r="F11" s="261"/>
      <c r="G11" s="1108" t="s">
        <v>491</v>
      </c>
      <c r="H11" s="1108"/>
      <c r="I11" s="1108"/>
      <c r="J11" s="425">
        <v>48822917</v>
      </c>
      <c r="K11" s="1080"/>
      <c r="L11" s="606" t="s">
        <v>765</v>
      </c>
      <c r="M11" s="607"/>
      <c r="N11" s="607"/>
      <c r="O11" s="607"/>
      <c r="P11" s="425">
        <f>4016545+16490993-2702314</f>
        <v>17805224</v>
      </c>
      <c r="Q11" s="1135"/>
      <c r="R11" s="606" t="s">
        <v>264</v>
      </c>
      <c r="S11" s="609"/>
      <c r="T11" s="609"/>
      <c r="U11" s="609"/>
      <c r="V11" s="425">
        <f>731000+15000</f>
        <v>746000</v>
      </c>
      <c r="W11" s="1095"/>
      <c r="X11" s="282"/>
      <c r="Y11" s="283"/>
      <c r="Z11" s="273"/>
      <c r="AA11" s="284"/>
      <c r="AB11" s="285"/>
      <c r="AC11" s="286"/>
    </row>
    <row r="12" spans="1:29" s="271" customFormat="1" ht="24.75" customHeight="1">
      <c r="A12" s="287"/>
      <c r="B12" s="288"/>
      <c r="C12" s="289"/>
      <c r="D12" s="289"/>
      <c r="E12" s="258"/>
      <c r="F12" s="261"/>
      <c r="G12" s="1102" t="s">
        <v>883</v>
      </c>
      <c r="H12" s="1085"/>
      <c r="I12" s="1085"/>
      <c r="J12" s="262">
        <f>2232+6600+1155</f>
        <v>9987</v>
      </c>
      <c r="K12" s="1080"/>
      <c r="L12" s="1075" t="s">
        <v>766</v>
      </c>
      <c r="M12" s="1076"/>
      <c r="N12" s="1076"/>
      <c r="O12" s="1076"/>
      <c r="P12" s="422">
        <f>13227888+26537427-8864634+5586997+676210</f>
        <v>37163888</v>
      </c>
      <c r="Q12" s="1135"/>
      <c r="R12" s="606" t="s">
        <v>669</v>
      </c>
      <c r="S12" s="609"/>
      <c r="T12" s="609"/>
      <c r="U12" s="609"/>
      <c r="V12" s="425">
        <f>2666578+556176+599440</f>
        <v>3822194</v>
      </c>
      <c r="W12" s="1095"/>
      <c r="X12" s="282"/>
      <c r="Y12" s="283"/>
      <c r="Z12" s="273"/>
      <c r="AA12" s="284"/>
      <c r="AB12" s="285"/>
      <c r="AC12" s="286"/>
    </row>
    <row r="13" spans="1:29" s="271" customFormat="1" ht="15.75" customHeight="1">
      <c r="A13" s="287"/>
      <c r="B13" s="288"/>
      <c r="C13" s="289"/>
      <c r="D13" s="289"/>
      <c r="E13" s="258"/>
      <c r="F13" s="261"/>
      <c r="G13" s="1108" t="s">
        <v>961</v>
      </c>
      <c r="H13" s="1108"/>
      <c r="I13" s="1108"/>
      <c r="J13" s="262">
        <v>8095006</v>
      </c>
      <c r="K13" s="1080"/>
      <c r="L13" s="1073" t="s">
        <v>902</v>
      </c>
      <c r="M13" s="1074"/>
      <c r="N13" s="1074"/>
      <c r="O13" s="1074"/>
      <c r="P13" s="1078">
        <f>2626200+2324200</f>
        <v>4950400</v>
      </c>
      <c r="Q13" s="1135"/>
      <c r="R13" s="606" t="s">
        <v>960</v>
      </c>
      <c r="S13" s="607"/>
      <c r="T13" s="607"/>
      <c r="U13" s="607"/>
      <c r="V13" s="571">
        <f>7524890+12898200+635625</f>
        <v>21058715</v>
      </c>
      <c r="W13" s="1095"/>
      <c r="X13" s="282"/>
      <c r="Y13" s="283"/>
      <c r="Z13" s="273"/>
      <c r="AA13" s="284"/>
      <c r="AB13" s="285"/>
      <c r="AC13" s="286"/>
    </row>
    <row r="14" spans="1:29" s="271" customFormat="1" ht="15.75" customHeight="1">
      <c r="A14" s="287"/>
      <c r="B14" s="288"/>
      <c r="C14" s="289"/>
      <c r="D14" s="289"/>
      <c r="E14" s="258"/>
      <c r="F14" s="261"/>
      <c r="G14" s="264"/>
      <c r="H14" s="264"/>
      <c r="I14" s="264"/>
      <c r="J14" s="262"/>
      <c r="K14" s="1080"/>
      <c r="L14" s="1073"/>
      <c r="M14" s="1074"/>
      <c r="N14" s="1074"/>
      <c r="O14" s="1074"/>
      <c r="P14" s="1078"/>
      <c r="Q14" s="1135"/>
      <c r="R14" s="1075" t="s">
        <v>812</v>
      </c>
      <c r="S14" s="1076"/>
      <c r="T14" s="1076"/>
      <c r="U14" s="1076"/>
      <c r="V14" s="571">
        <v>635000</v>
      </c>
      <c r="W14" s="1095"/>
      <c r="X14" s="282"/>
      <c r="Y14" s="283"/>
      <c r="Z14" s="273"/>
      <c r="AA14" s="284"/>
      <c r="AB14" s="285"/>
      <c r="AC14" s="286"/>
    </row>
    <row r="15" spans="1:29" s="271" customFormat="1" ht="16.5" customHeight="1">
      <c r="A15" s="287"/>
      <c r="B15" s="288"/>
      <c r="C15" s="289"/>
      <c r="D15" s="289"/>
      <c r="E15" s="258"/>
      <c r="F15" s="290"/>
      <c r="G15" s="1108"/>
      <c r="H15" s="1108"/>
      <c r="I15" s="1108"/>
      <c r="J15" s="262"/>
      <c r="K15" s="1080"/>
      <c r="L15" s="1107" t="s">
        <v>963</v>
      </c>
      <c r="M15" s="1108"/>
      <c r="N15" s="1108"/>
      <c r="O15" s="1108"/>
      <c r="P15" s="425">
        <v>571500</v>
      </c>
      <c r="Q15" s="1135"/>
      <c r="R15" s="1075" t="s">
        <v>670</v>
      </c>
      <c r="S15" s="1076"/>
      <c r="T15" s="1076"/>
      <c r="U15" s="1076"/>
      <c r="V15" s="571">
        <v>500</v>
      </c>
      <c r="W15" s="1095"/>
      <c r="X15" s="292">
        <f>SUM(W8,Q8,K8)</f>
        <v>684455179</v>
      </c>
      <c r="Y15" s="293">
        <f>SUM(W19+Q19+K19)</f>
        <v>361877002</v>
      </c>
      <c r="Z15" s="294">
        <f>SUM(Y15,X15)</f>
        <v>1046332181</v>
      </c>
      <c r="AA15" s="292">
        <f>X15-D10</f>
        <v>3661961</v>
      </c>
      <c r="AB15" s="293">
        <f>Y15-E10</f>
        <v>52078676</v>
      </c>
      <c r="AC15" s="295">
        <f>SUM(AA15:AB15)</f>
        <v>55740637</v>
      </c>
    </row>
    <row r="16" spans="1:29" s="271" customFormat="1" ht="16.5" customHeight="1">
      <c r="A16" s="287"/>
      <c r="B16" s="288"/>
      <c r="C16" s="289"/>
      <c r="D16" s="289"/>
      <c r="E16" s="258"/>
      <c r="F16" s="290"/>
      <c r="G16" s="264"/>
      <c r="H16" s="264"/>
      <c r="I16" s="264"/>
      <c r="J16" s="262"/>
      <c r="K16" s="1080"/>
      <c r="L16" s="837"/>
      <c r="M16" s="264"/>
      <c r="N16" s="264"/>
      <c r="O16" s="264"/>
      <c r="P16" s="425"/>
      <c r="Q16" s="1135"/>
      <c r="R16" s="1075" t="s">
        <v>1002</v>
      </c>
      <c r="S16" s="1076"/>
      <c r="T16" s="1076"/>
      <c r="U16" s="1076"/>
      <c r="V16" s="571">
        <f>73560+212129+102620+28000+13208+63900+550901</f>
        <v>1044318</v>
      </c>
      <c r="W16" s="1095"/>
      <c r="X16" s="292"/>
      <c r="Y16" s="293"/>
      <c r="Z16" s="294"/>
      <c r="AA16" s="292"/>
      <c r="AB16" s="293"/>
      <c r="AC16" s="295"/>
    </row>
    <row r="17" spans="1:29" s="253" customFormat="1" ht="17.25" customHeight="1">
      <c r="A17" s="296"/>
      <c r="B17" s="297"/>
      <c r="C17" s="298"/>
      <c r="D17" s="298"/>
      <c r="E17" s="299"/>
      <c r="F17" s="300"/>
      <c r="G17" s="1102"/>
      <c r="H17" s="1085"/>
      <c r="I17" s="1085"/>
      <c r="J17" s="262"/>
      <c r="K17" s="1080"/>
      <c r="L17" s="1107" t="s">
        <v>964</v>
      </c>
      <c r="M17" s="1108"/>
      <c r="N17" s="1108"/>
      <c r="O17" s="1108"/>
      <c r="P17" s="425">
        <f>2887500+50000</f>
        <v>2937500</v>
      </c>
      <c r="Q17" s="1135"/>
      <c r="R17" s="1075" t="s">
        <v>671</v>
      </c>
      <c r="S17" s="1076"/>
      <c r="T17" s="1076"/>
      <c r="U17" s="1076"/>
      <c r="V17" s="571">
        <f>39431147+100281405</f>
        <v>139712552</v>
      </c>
      <c r="W17" s="1095"/>
      <c r="X17" s="282"/>
      <c r="Y17" s="283"/>
      <c r="Z17" s="273"/>
      <c r="AA17" s="284"/>
      <c r="AB17" s="285"/>
      <c r="AC17" s="286"/>
    </row>
    <row r="18" spans="1:29" s="253" customFormat="1" ht="16.5" customHeight="1" thickBot="1">
      <c r="A18" s="296"/>
      <c r="B18" s="297"/>
      <c r="C18" s="298"/>
      <c r="D18" s="298"/>
      <c r="E18" s="299"/>
      <c r="F18" s="300"/>
      <c r="G18" s="1102"/>
      <c r="H18" s="1085"/>
      <c r="I18" s="1085"/>
      <c r="J18" s="262"/>
      <c r="K18" s="1080"/>
      <c r="L18" s="1075" t="s">
        <v>898</v>
      </c>
      <c r="M18" s="1076"/>
      <c r="N18" s="1076"/>
      <c r="O18" s="1076"/>
      <c r="P18" s="631">
        <f>375000+17500</f>
        <v>392500</v>
      </c>
      <c r="Q18" s="1135"/>
      <c r="W18" s="1095"/>
      <c r="X18" s="282"/>
      <c r="Y18" s="283"/>
      <c r="Z18" s="273"/>
      <c r="AA18" s="284"/>
      <c r="AB18" s="285"/>
      <c r="AC18" s="286"/>
    </row>
    <row r="19" spans="1:29" s="253" customFormat="1" ht="24" customHeight="1">
      <c r="A19" s="296"/>
      <c r="B19" s="297"/>
      <c r="C19" s="298"/>
      <c r="D19" s="298"/>
      <c r="E19" s="299"/>
      <c r="F19" s="300"/>
      <c r="G19" s="1136" t="s">
        <v>1113</v>
      </c>
      <c r="H19" s="1092"/>
      <c r="I19" s="1092"/>
      <c r="J19" s="304">
        <v>19846252</v>
      </c>
      <c r="K19" s="1079">
        <f>SUM(J19:J22)</f>
        <v>19846252</v>
      </c>
      <c r="L19" s="1100" t="s">
        <v>881</v>
      </c>
      <c r="M19" s="1101"/>
      <c r="N19" s="1101"/>
      <c r="O19" s="1101"/>
      <c r="P19" s="568">
        <v>74295</v>
      </c>
      <c r="Q19" s="1126">
        <f>SUM(P19:P22)</f>
        <v>7327509</v>
      </c>
      <c r="R19" s="1100" t="s">
        <v>89</v>
      </c>
      <c r="S19" s="1101"/>
      <c r="T19" s="1101"/>
      <c r="U19" s="1101"/>
      <c r="V19" s="426">
        <f>44406964+1500000+1000000+11730500-1038000-510500-7422766-3606983+8314422</f>
        <v>54373637</v>
      </c>
      <c r="W19" s="1094">
        <f>SUM(V19:V22)</f>
        <v>334703241</v>
      </c>
      <c r="X19" s="282"/>
      <c r="Y19" s="283"/>
      <c r="Z19" s="273"/>
      <c r="AA19" s="284"/>
      <c r="AB19" s="285"/>
      <c r="AC19" s="286"/>
    </row>
    <row r="20" spans="1:29" s="253" customFormat="1" ht="16.5" customHeight="1">
      <c r="A20" s="296"/>
      <c r="B20" s="297"/>
      <c r="C20" s="298"/>
      <c r="D20" s="298"/>
      <c r="E20" s="299"/>
      <c r="F20" s="300"/>
      <c r="G20" s="302"/>
      <c r="H20" s="303"/>
      <c r="I20" s="303"/>
      <c r="J20" s="305"/>
      <c r="K20" s="1080"/>
      <c r="L20" s="606" t="s">
        <v>882</v>
      </c>
      <c r="M20" s="607"/>
      <c r="N20" s="607"/>
      <c r="O20" s="607"/>
      <c r="P20" s="422">
        <v>190500</v>
      </c>
      <c r="Q20" s="1093"/>
      <c r="R20" s="606"/>
      <c r="S20" s="607"/>
      <c r="T20" s="607"/>
      <c r="U20" s="607"/>
      <c r="V20" s="424"/>
      <c r="W20" s="1095"/>
      <c r="X20" s="282"/>
      <c r="Y20" s="283"/>
      <c r="Z20" s="273"/>
      <c r="AA20" s="284"/>
      <c r="AB20" s="285"/>
      <c r="AC20" s="286"/>
    </row>
    <row r="21" spans="1:29" s="253" customFormat="1" ht="24" customHeight="1">
      <c r="A21" s="296"/>
      <c r="B21" s="297"/>
      <c r="C21" s="298"/>
      <c r="D21" s="298"/>
      <c r="E21" s="299"/>
      <c r="F21" s="300"/>
      <c r="G21" s="302"/>
      <c r="H21" s="303"/>
      <c r="I21" s="303"/>
      <c r="J21" s="305"/>
      <c r="K21" s="1080"/>
      <c r="L21" s="1084" t="s">
        <v>1004</v>
      </c>
      <c r="M21" s="1085"/>
      <c r="N21" s="1085"/>
      <c r="O21" s="1085"/>
      <c r="P21" s="422">
        <v>6795254</v>
      </c>
      <c r="Q21" s="1093"/>
      <c r="R21" s="606"/>
      <c r="S21" s="607"/>
      <c r="T21" s="607"/>
      <c r="U21" s="607"/>
      <c r="V21" s="424"/>
      <c r="W21" s="1095"/>
      <c r="X21" s="282"/>
      <c r="Y21" s="283"/>
      <c r="Z21" s="273"/>
      <c r="AA21" s="284"/>
      <c r="AB21" s="285"/>
      <c r="AC21" s="286"/>
    </row>
    <row r="22" spans="1:29" s="253" customFormat="1" ht="18.75" customHeight="1" thickBot="1">
      <c r="A22" s="296"/>
      <c r="B22" s="297"/>
      <c r="C22" s="298"/>
      <c r="D22" s="298"/>
      <c r="E22" s="299"/>
      <c r="F22" s="300"/>
      <c r="G22" s="302"/>
      <c r="H22" s="303"/>
      <c r="I22" s="303"/>
      <c r="J22" s="305"/>
      <c r="K22" s="1080"/>
      <c r="L22" s="1107" t="s">
        <v>810</v>
      </c>
      <c r="M22" s="1108"/>
      <c r="N22" s="1108"/>
      <c r="O22" s="1108"/>
      <c r="P22" s="291">
        <v>267460</v>
      </c>
      <c r="Q22" s="1093"/>
      <c r="R22" s="1073" t="s">
        <v>666</v>
      </c>
      <c r="S22" s="1074"/>
      <c r="T22" s="1074"/>
      <c r="U22" s="1074"/>
      <c r="V22" s="424">
        <f>257341321+22988283</f>
        <v>280329604</v>
      </c>
      <c r="W22" s="1095"/>
      <c r="X22" s="282"/>
      <c r="Y22" s="283"/>
      <c r="Z22" s="273"/>
      <c r="AA22" s="284"/>
      <c r="AB22" s="285"/>
      <c r="AC22" s="286"/>
    </row>
    <row r="23" spans="1:29" s="253" customFormat="1" ht="18" customHeight="1" thickTop="1">
      <c r="A23" s="429"/>
      <c r="B23" s="306"/>
      <c r="C23" s="307"/>
      <c r="D23" s="307"/>
      <c r="E23" s="308"/>
      <c r="F23" s="309"/>
      <c r="G23" s="1154"/>
      <c r="H23" s="1155"/>
      <c r="I23" s="1155"/>
      <c r="J23" s="430"/>
      <c r="K23" s="1098">
        <f>SUM(J23:J24)</f>
        <v>0</v>
      </c>
      <c r="L23" s="1139" t="s">
        <v>471</v>
      </c>
      <c r="M23" s="1140"/>
      <c r="N23" s="1140"/>
      <c r="O23" s="1140"/>
      <c r="P23" s="569"/>
      <c r="Q23" s="1098">
        <f>SUM(P23:P24)</f>
        <v>0</v>
      </c>
      <c r="R23" s="311"/>
      <c r="S23" s="312"/>
      <c r="T23" s="312"/>
      <c r="U23" s="312"/>
      <c r="V23" s="313"/>
      <c r="W23" s="314"/>
      <c r="X23" s="315"/>
      <c r="Y23" s="316"/>
      <c r="Z23" s="317"/>
      <c r="AA23" s="318"/>
      <c r="AB23" s="319"/>
      <c r="AC23" s="320"/>
    </row>
    <row r="24" spans="1:223" s="404" customFormat="1" ht="19.5" customHeight="1" thickBot="1">
      <c r="A24" s="594"/>
      <c r="B24" s="1159" t="s">
        <v>90</v>
      </c>
      <c r="C24" s="1160"/>
      <c r="D24" s="595">
        <f>SUM('6. kiadások megbontása'!J53)</f>
        <v>8704402</v>
      </c>
      <c r="E24" s="596">
        <f>SUM('6. kiadások megbontása'!K53)</f>
        <v>0</v>
      </c>
      <c r="F24" s="597">
        <f>SUM(D24:E24)</f>
        <v>8704402</v>
      </c>
      <c r="G24" s="1156"/>
      <c r="H24" s="1157"/>
      <c r="I24" s="1157"/>
      <c r="J24" s="598"/>
      <c r="K24" s="1158"/>
      <c r="L24" s="1122" t="s">
        <v>558</v>
      </c>
      <c r="M24" s="1123"/>
      <c r="N24" s="1123"/>
      <c r="O24" s="1123"/>
      <c r="P24" s="570"/>
      <c r="Q24" s="1158"/>
      <c r="R24" s="1122"/>
      <c r="S24" s="1123"/>
      <c r="T24" s="1123"/>
      <c r="U24" s="1123"/>
      <c r="V24" s="599"/>
      <c r="W24" s="600">
        <f>SUM(V24)</f>
        <v>0</v>
      </c>
      <c r="X24" s="601">
        <f>SUM(W24,Q23,K23)</f>
        <v>0</v>
      </c>
      <c r="Y24" s="602">
        <v>0</v>
      </c>
      <c r="Z24" s="603">
        <f>SUM(X24:Y24)</f>
        <v>0</v>
      </c>
      <c r="AA24" s="601">
        <f>X24-D24</f>
        <v>-8704402</v>
      </c>
      <c r="AB24" s="602">
        <f>Y24-E24</f>
        <v>0</v>
      </c>
      <c r="AC24" s="321">
        <f>SUM(AA24:AB24)</f>
        <v>-8704402</v>
      </c>
      <c r="AD24" s="419"/>
      <c r="AE24" s="419"/>
      <c r="AF24" s="419"/>
      <c r="AG24" s="419"/>
      <c r="AH24" s="419"/>
      <c r="AI24" s="419"/>
      <c r="AJ24" s="419"/>
      <c r="AK24" s="419"/>
      <c r="AL24" s="419"/>
      <c r="AM24" s="419"/>
      <c r="AN24" s="419"/>
      <c r="AO24" s="419"/>
      <c r="AP24" s="419"/>
      <c r="AQ24" s="419"/>
      <c r="AR24" s="419"/>
      <c r="AS24" s="419"/>
      <c r="AT24" s="419"/>
      <c r="AU24" s="419"/>
      <c r="AV24" s="419"/>
      <c r="AW24" s="419"/>
      <c r="AX24" s="419"/>
      <c r="AY24" s="419"/>
      <c r="AZ24" s="419"/>
      <c r="BA24" s="419"/>
      <c r="BB24" s="419"/>
      <c r="BC24" s="419"/>
      <c r="BD24" s="419"/>
      <c r="BE24" s="419"/>
      <c r="BF24" s="419"/>
      <c r="BG24" s="419"/>
      <c r="BH24" s="419"/>
      <c r="BI24" s="419"/>
      <c r="BJ24" s="419"/>
      <c r="BK24" s="419"/>
      <c r="BL24" s="419"/>
      <c r="BM24" s="419"/>
      <c r="BN24" s="419"/>
      <c r="BO24" s="419"/>
      <c r="BP24" s="419"/>
      <c r="BQ24" s="419"/>
      <c r="BR24" s="419"/>
      <c r="BS24" s="419"/>
      <c r="BT24" s="419"/>
      <c r="BU24" s="419"/>
      <c r="BV24" s="419"/>
      <c r="BW24" s="419"/>
      <c r="BX24" s="419"/>
      <c r="BY24" s="419"/>
      <c r="BZ24" s="419"/>
      <c r="CA24" s="419"/>
      <c r="CB24" s="419"/>
      <c r="CC24" s="419"/>
      <c r="CD24" s="419"/>
      <c r="CE24" s="419"/>
      <c r="CF24" s="419"/>
      <c r="CG24" s="419"/>
      <c r="CH24" s="419"/>
      <c r="CI24" s="419"/>
      <c r="CJ24" s="419"/>
      <c r="CK24" s="419"/>
      <c r="CL24" s="419"/>
      <c r="CM24" s="419"/>
      <c r="CN24" s="419"/>
      <c r="CO24" s="419"/>
      <c r="CP24" s="419"/>
      <c r="CQ24" s="419"/>
      <c r="CR24" s="419"/>
      <c r="CS24" s="419"/>
      <c r="CT24" s="419"/>
      <c r="CU24" s="419"/>
      <c r="CV24" s="419"/>
      <c r="CW24" s="419"/>
      <c r="CX24" s="419"/>
      <c r="CY24" s="419"/>
      <c r="CZ24" s="419"/>
      <c r="DA24" s="419"/>
      <c r="DB24" s="419"/>
      <c r="DC24" s="419"/>
      <c r="DD24" s="419"/>
      <c r="DE24" s="419"/>
      <c r="DF24" s="419"/>
      <c r="DG24" s="419"/>
      <c r="DH24" s="419"/>
      <c r="DI24" s="419"/>
      <c r="DJ24" s="419"/>
      <c r="DK24" s="419"/>
      <c r="DL24" s="419"/>
      <c r="DM24" s="419"/>
      <c r="DN24" s="419"/>
      <c r="DO24" s="419"/>
      <c r="DP24" s="419"/>
      <c r="DQ24" s="419"/>
      <c r="DR24" s="419"/>
      <c r="DS24" s="419"/>
      <c r="DT24" s="419"/>
      <c r="DU24" s="419"/>
      <c r="DV24" s="419"/>
      <c r="DW24" s="419"/>
      <c r="DX24" s="419"/>
      <c r="DY24" s="419"/>
      <c r="DZ24" s="419"/>
      <c r="EA24" s="419"/>
      <c r="EB24" s="419"/>
      <c r="EC24" s="419"/>
      <c r="ED24" s="419"/>
      <c r="EE24" s="419"/>
      <c r="EF24" s="419"/>
      <c r="EG24" s="419"/>
      <c r="EH24" s="419"/>
      <c r="EI24" s="419"/>
      <c r="EJ24" s="419"/>
      <c r="EK24" s="419"/>
      <c r="EL24" s="419"/>
      <c r="EM24" s="419"/>
      <c r="EN24" s="419"/>
      <c r="EO24" s="419"/>
      <c r="EP24" s="419"/>
      <c r="EQ24" s="419"/>
      <c r="ER24" s="419"/>
      <c r="ES24" s="419"/>
      <c r="ET24" s="419"/>
      <c r="EU24" s="419"/>
      <c r="EV24" s="419"/>
      <c r="EW24" s="419"/>
      <c r="EX24" s="419"/>
      <c r="EY24" s="419"/>
      <c r="EZ24" s="419"/>
      <c r="FA24" s="419"/>
      <c r="FB24" s="419"/>
      <c r="FC24" s="419"/>
      <c r="FD24" s="419"/>
      <c r="FE24" s="419"/>
      <c r="FF24" s="419"/>
      <c r="FG24" s="419"/>
      <c r="FH24" s="419"/>
      <c r="FI24" s="419"/>
      <c r="FJ24" s="419"/>
      <c r="FK24" s="419"/>
      <c r="FL24" s="419"/>
      <c r="FM24" s="419"/>
      <c r="FN24" s="419"/>
      <c r="FO24" s="419"/>
      <c r="FP24" s="419"/>
      <c r="FQ24" s="419"/>
      <c r="FR24" s="419"/>
      <c r="FS24" s="419"/>
      <c r="FT24" s="419"/>
      <c r="FU24" s="419"/>
      <c r="FV24" s="419"/>
      <c r="FW24" s="419"/>
      <c r="FX24" s="419"/>
      <c r="FY24" s="419"/>
      <c r="FZ24" s="419"/>
      <c r="GA24" s="419"/>
      <c r="GB24" s="419"/>
      <c r="GC24" s="419"/>
      <c r="GD24" s="419"/>
      <c r="GE24" s="419"/>
      <c r="GF24" s="419"/>
      <c r="GG24" s="419"/>
      <c r="GH24" s="419"/>
      <c r="GI24" s="419"/>
      <c r="GJ24" s="419"/>
      <c r="GK24" s="419"/>
      <c r="GL24" s="419"/>
      <c r="GM24" s="419"/>
      <c r="GN24" s="419"/>
      <c r="GO24" s="419"/>
      <c r="GP24" s="419"/>
      <c r="GQ24" s="419"/>
      <c r="GR24" s="419"/>
      <c r="GS24" s="419"/>
      <c r="GT24" s="419"/>
      <c r="GU24" s="419"/>
      <c r="GV24" s="419"/>
      <c r="GW24" s="419"/>
      <c r="GX24" s="419"/>
      <c r="GY24" s="419"/>
      <c r="GZ24" s="419"/>
      <c r="HA24" s="419"/>
      <c r="HB24" s="419"/>
      <c r="HC24" s="419"/>
      <c r="HD24" s="419"/>
      <c r="HE24" s="419"/>
      <c r="HF24" s="419"/>
      <c r="HG24" s="419"/>
      <c r="HH24" s="419"/>
      <c r="HI24" s="419"/>
      <c r="HJ24" s="419"/>
      <c r="HK24" s="419"/>
      <c r="HL24" s="419"/>
      <c r="HM24" s="419"/>
      <c r="HN24" s="419"/>
      <c r="HO24" s="419"/>
    </row>
    <row r="25" spans="1:29" ht="24.75" customHeight="1" thickTop="1">
      <c r="A25" s="337"/>
      <c r="B25" s="299"/>
      <c r="C25" s="323"/>
      <c r="D25" s="324"/>
      <c r="E25" s="324"/>
      <c r="F25" s="300"/>
      <c r="G25" s="302"/>
      <c r="H25" s="303"/>
      <c r="I25" s="303"/>
      <c r="J25" s="325"/>
      <c r="K25" s="1098">
        <f>SUM(J25:J30)</f>
        <v>0</v>
      </c>
      <c r="L25" s="1075" t="s">
        <v>105</v>
      </c>
      <c r="M25" s="1076"/>
      <c r="N25" s="1076"/>
      <c r="O25" s="1076"/>
      <c r="P25" s="262">
        <v>2100000</v>
      </c>
      <c r="Q25" s="1098">
        <f>SUM(P25:P30)</f>
        <v>147996259</v>
      </c>
      <c r="R25" s="1073" t="s">
        <v>667</v>
      </c>
      <c r="S25" s="1074"/>
      <c r="T25" s="1074"/>
      <c r="U25" s="1074"/>
      <c r="V25" s="424">
        <f>9000000+1370149-1370149</f>
        <v>9000000</v>
      </c>
      <c r="W25" s="1161">
        <f>SUM(V25:V30)</f>
        <v>96024523</v>
      </c>
      <c r="X25" s="326"/>
      <c r="Y25" s="327"/>
      <c r="Z25" s="328"/>
      <c r="AA25" s="326"/>
      <c r="AB25" s="327"/>
      <c r="AC25" s="309"/>
    </row>
    <row r="26" spans="1:29" ht="24.75" customHeight="1">
      <c r="A26" s="337"/>
      <c r="B26" s="299"/>
      <c r="C26" s="323"/>
      <c r="D26" s="324"/>
      <c r="E26" s="299"/>
      <c r="F26" s="300"/>
      <c r="G26" s="302"/>
      <c r="H26" s="303"/>
      <c r="I26" s="303"/>
      <c r="J26" s="325"/>
      <c r="K26" s="1080"/>
      <c r="L26" s="1084" t="s">
        <v>899</v>
      </c>
      <c r="M26" s="1085"/>
      <c r="N26" s="1085"/>
      <c r="O26" s="1085"/>
      <c r="P26" s="262">
        <f>40118910+13881090</f>
        <v>54000000</v>
      </c>
      <c r="Q26" s="1080"/>
      <c r="R26" s="1073" t="s">
        <v>669</v>
      </c>
      <c r="S26" s="1074"/>
      <c r="T26" s="1074"/>
      <c r="U26" s="1074"/>
      <c r="V26" s="424"/>
      <c r="W26" s="1093"/>
      <c r="X26" s="613"/>
      <c r="Y26" s="324"/>
      <c r="Z26" s="299"/>
      <c r="AA26" s="337"/>
      <c r="AB26" s="324"/>
      <c r="AC26" s="300"/>
    </row>
    <row r="27" spans="1:29" ht="24.75" customHeight="1">
      <c r="A27" s="337"/>
      <c r="B27" s="299"/>
      <c r="C27" s="323"/>
      <c r="D27" s="324"/>
      <c r="E27" s="299"/>
      <c r="F27" s="300"/>
      <c r="G27" s="302"/>
      <c r="H27" s="303"/>
      <c r="I27" s="303"/>
      <c r="J27" s="325"/>
      <c r="K27" s="1080"/>
      <c r="L27" s="1084" t="s">
        <v>901</v>
      </c>
      <c r="M27" s="1085"/>
      <c r="N27" s="1085"/>
      <c r="O27" s="1085"/>
      <c r="P27" s="262">
        <v>60657486</v>
      </c>
      <c r="Q27" s="1080"/>
      <c r="R27" s="1073" t="s">
        <v>962</v>
      </c>
      <c r="S27" s="1074"/>
      <c r="T27" s="1074"/>
      <c r="U27" s="1074"/>
      <c r="V27" s="424">
        <f>434514+136431+36836+2631668+710550</f>
        <v>3949999</v>
      </c>
      <c r="W27" s="1093"/>
      <c r="X27" s="613"/>
      <c r="Y27" s="324"/>
      <c r="Z27" s="299"/>
      <c r="AA27" s="337"/>
      <c r="AB27" s="324"/>
      <c r="AC27" s="300"/>
    </row>
    <row r="28" spans="1:29" ht="24.75" customHeight="1">
      <c r="A28" s="337"/>
      <c r="B28" s="299"/>
      <c r="C28" s="323"/>
      <c r="D28" s="324"/>
      <c r="E28" s="299"/>
      <c r="F28" s="300"/>
      <c r="G28" s="302"/>
      <c r="H28" s="303"/>
      <c r="I28" s="303"/>
      <c r="J28" s="325"/>
      <c r="K28" s="1080"/>
      <c r="L28" s="1084" t="s">
        <v>811</v>
      </c>
      <c r="M28" s="1085"/>
      <c r="N28" s="1085"/>
      <c r="O28" s="1085"/>
      <c r="P28" s="262">
        <v>1092680</v>
      </c>
      <c r="Q28" s="1080"/>
      <c r="R28" s="1075" t="s">
        <v>671</v>
      </c>
      <c r="S28" s="1076"/>
      <c r="T28" s="1076"/>
      <c r="U28" s="1076"/>
      <c r="V28" s="627">
        <f>92795675+2881248+4230000-24452399</f>
        <v>75454524</v>
      </c>
      <c r="W28" s="1093"/>
      <c r="X28" s="613"/>
      <c r="Y28" s="324"/>
      <c r="Z28" s="299"/>
      <c r="AA28" s="337"/>
      <c r="AB28" s="324"/>
      <c r="AC28" s="300"/>
    </row>
    <row r="29" spans="1:29" ht="24.75" customHeight="1">
      <c r="A29" s="337"/>
      <c r="B29" s="299"/>
      <c r="C29" s="323"/>
      <c r="D29" s="324"/>
      <c r="E29" s="299"/>
      <c r="F29" s="300"/>
      <c r="G29" s="302"/>
      <c r="H29" s="303"/>
      <c r="I29" s="303"/>
      <c r="J29" s="325"/>
      <c r="K29" s="1080"/>
      <c r="L29" s="1084" t="s">
        <v>814</v>
      </c>
      <c r="M29" s="1085"/>
      <c r="N29" s="1085"/>
      <c r="O29" s="1085"/>
      <c r="P29" s="262">
        <f>5788759+23938936</f>
        <v>29727695</v>
      </c>
      <c r="Q29" s="1080"/>
      <c r="R29" s="1075" t="s">
        <v>980</v>
      </c>
      <c r="S29" s="1076"/>
      <c r="T29" s="1076"/>
      <c r="U29" s="1076"/>
      <c r="V29" s="627">
        <f>-1370149+1370149</f>
        <v>0</v>
      </c>
      <c r="W29" s="1093"/>
      <c r="X29" s="613"/>
      <c r="Y29" s="324"/>
      <c r="Z29" s="299"/>
      <c r="AA29" s="337"/>
      <c r="AB29" s="324"/>
      <c r="AC29" s="300"/>
    </row>
    <row r="30" spans="1:29" ht="29.25" customHeight="1" thickBot="1">
      <c r="A30" s="1163" t="s">
        <v>445</v>
      </c>
      <c r="B30" s="1164"/>
      <c r="C30" s="1165"/>
      <c r="D30" s="329">
        <f>SUM('6. kiadások megbontása'!G53)</f>
        <v>237438446</v>
      </c>
      <c r="E30" s="280">
        <f>SUM('6. kiadások megbontása'!H53)</f>
        <v>655466644</v>
      </c>
      <c r="F30" s="281">
        <f>SUM(D30:E30)</f>
        <v>892905090</v>
      </c>
      <c r="G30" s="330"/>
      <c r="H30" s="264"/>
      <c r="I30" s="264"/>
      <c r="J30" s="291"/>
      <c r="K30" s="1099"/>
      <c r="L30" s="1084" t="s">
        <v>981</v>
      </c>
      <c r="M30" s="1085"/>
      <c r="N30" s="1085"/>
      <c r="O30" s="1085"/>
      <c r="P30" s="262">
        <f>278932+139466</f>
        <v>418398</v>
      </c>
      <c r="Q30" s="1099"/>
      <c r="R30" s="1124" t="s">
        <v>668</v>
      </c>
      <c r="S30" s="1125"/>
      <c r="T30" s="1125"/>
      <c r="U30" s="1125"/>
      <c r="V30" s="423">
        <v>7620000</v>
      </c>
      <c r="W30" s="1162"/>
      <c r="X30" s="331">
        <f>SUM(W25,Q25,K25)</f>
        <v>244020782</v>
      </c>
      <c r="Y30" s="293">
        <f>SUM(Q31,W31,K31)</f>
        <v>671557956</v>
      </c>
      <c r="Z30" s="294">
        <f>SUM(X30:Y30)</f>
        <v>915578738</v>
      </c>
      <c r="AA30" s="292">
        <f>X30-D30</f>
        <v>6582336</v>
      </c>
      <c r="AB30" s="293">
        <f>Y30-E30</f>
        <v>16091312</v>
      </c>
      <c r="AC30" s="295">
        <f>SUM(AA30:AB30)</f>
        <v>22673648</v>
      </c>
    </row>
    <row r="31" spans="1:29" ht="29.25" customHeight="1">
      <c r="A31" s="276"/>
      <c r="B31" s="277"/>
      <c r="C31" s="278"/>
      <c r="D31" s="329"/>
      <c r="E31" s="280"/>
      <c r="F31" s="281"/>
      <c r="G31" s="509"/>
      <c r="H31" s="510"/>
      <c r="I31" s="510"/>
      <c r="J31" s="304"/>
      <c r="K31" s="1079">
        <f>SUM(J31)</f>
        <v>0</v>
      </c>
      <c r="L31" s="1091" t="s">
        <v>1114</v>
      </c>
      <c r="M31" s="1092"/>
      <c r="N31" s="1092"/>
      <c r="O31" s="1092"/>
      <c r="P31" s="568">
        <f>349099+1150000</f>
        <v>1499099</v>
      </c>
      <c r="Q31" s="1079">
        <f>SUM(P31:P33)</f>
        <v>9873681</v>
      </c>
      <c r="R31" s="1073" t="s">
        <v>666</v>
      </c>
      <c r="S31" s="1074"/>
      <c r="T31" s="1074"/>
      <c r="U31" s="1074"/>
      <c r="V31" s="628">
        <f>639276554+1-510500+22918220</f>
        <v>661684275</v>
      </c>
      <c r="W31" s="1071">
        <f>SUM(V31:V33)</f>
        <v>661684275</v>
      </c>
      <c r="X31" s="332"/>
      <c r="Y31" s="293"/>
      <c r="Z31" s="294"/>
      <c r="AA31" s="292"/>
      <c r="AB31" s="293"/>
      <c r="AC31" s="295"/>
    </row>
    <row r="32" spans="1:29" ht="29.25" customHeight="1">
      <c r="A32" s="276"/>
      <c r="B32" s="277"/>
      <c r="C32" s="278"/>
      <c r="D32" s="329"/>
      <c r="E32" s="280"/>
      <c r="F32" s="281"/>
      <c r="G32" s="330"/>
      <c r="H32" s="264"/>
      <c r="I32" s="264"/>
      <c r="J32" s="291"/>
      <c r="K32" s="1080"/>
      <c r="L32" s="1073" t="s">
        <v>1003</v>
      </c>
      <c r="M32" s="1074"/>
      <c r="N32" s="1074"/>
      <c r="O32" s="1074"/>
      <c r="P32" s="424">
        <v>2374582</v>
      </c>
      <c r="Q32" s="1080"/>
      <c r="R32" s="666"/>
      <c r="S32" s="609"/>
      <c r="T32" s="609"/>
      <c r="U32" s="609"/>
      <c r="V32" s="628"/>
      <c r="W32" s="1072"/>
      <c r="X32" s="332"/>
      <c r="Y32" s="293"/>
      <c r="Z32" s="294"/>
      <c r="AA32" s="292"/>
      <c r="AB32" s="293"/>
      <c r="AC32" s="295"/>
    </row>
    <row r="33" spans="1:29" ht="27.75" customHeight="1" thickBot="1">
      <c r="A33" s="276"/>
      <c r="B33" s="277"/>
      <c r="C33" s="278"/>
      <c r="D33" s="329"/>
      <c r="E33" s="280"/>
      <c r="F33" s="281"/>
      <c r="G33" s="330"/>
      <c r="H33" s="264"/>
      <c r="I33" s="264"/>
      <c r="J33" s="291"/>
      <c r="K33" s="1080"/>
      <c r="L33" s="1084" t="s">
        <v>900</v>
      </c>
      <c r="M33" s="1085"/>
      <c r="N33" s="1085"/>
      <c r="O33" s="1085"/>
      <c r="P33" s="561">
        <v>6000000</v>
      </c>
      <c r="Q33" s="1080"/>
      <c r="R33" s="1073"/>
      <c r="S33" s="1074"/>
      <c r="T33" s="1074"/>
      <c r="U33" s="1074"/>
      <c r="V33" s="424"/>
      <c r="W33" s="1072"/>
      <c r="X33" s="332"/>
      <c r="Y33" s="293"/>
      <c r="Z33" s="294"/>
      <c r="AA33" s="292"/>
      <c r="AB33" s="293"/>
      <c r="AC33" s="295"/>
    </row>
    <row r="34" spans="1:223" s="404" customFormat="1" ht="33.75" customHeight="1" thickBot="1">
      <c r="A34" s="1148" t="s">
        <v>835</v>
      </c>
      <c r="B34" s="1149"/>
      <c r="C34" s="1150"/>
      <c r="D34" s="573">
        <f>SUM(D9:D33)</f>
        <v>926936066</v>
      </c>
      <c r="E34" s="574">
        <f>SUM(E8:E33)</f>
        <v>965264970</v>
      </c>
      <c r="F34" s="575">
        <f>SUM(F8:F33)</f>
        <v>1892201036</v>
      </c>
      <c r="G34" s="576"/>
      <c r="H34" s="1151" t="s">
        <v>91</v>
      </c>
      <c r="I34" s="1152"/>
      <c r="J34" s="1153"/>
      <c r="K34" s="577">
        <f>SUM(K8:K33)</f>
        <v>189276900</v>
      </c>
      <c r="L34" s="412"/>
      <c r="M34" s="1081" t="s">
        <v>92</v>
      </c>
      <c r="N34" s="1081"/>
      <c r="O34" s="1081"/>
      <c r="P34" s="1082"/>
      <c r="Q34" s="577">
        <f>SUM(Q8:Q33)</f>
        <v>263149853</v>
      </c>
      <c r="R34" s="414"/>
      <c r="S34" s="1081" t="s">
        <v>93</v>
      </c>
      <c r="T34" s="1081"/>
      <c r="U34" s="1081"/>
      <c r="V34" s="1082"/>
      <c r="W34" s="578">
        <f>SUM(W8:W33)</f>
        <v>1509484166</v>
      </c>
      <c r="X34" s="579">
        <f>SUM(X8:X33)</f>
        <v>928475961</v>
      </c>
      <c r="Y34" s="580">
        <f>SUM(Y8:Y33)</f>
        <v>1033434958</v>
      </c>
      <c r="Z34" s="581">
        <f>SUM(X34:Y34)</f>
        <v>1961910919</v>
      </c>
      <c r="AA34" s="582">
        <f>SUM(AA11:AA33)</f>
        <v>1539895</v>
      </c>
      <c r="AB34" s="583">
        <f>SUM(AB10:AB33)</f>
        <v>68169988</v>
      </c>
      <c r="AC34" s="410">
        <f>SUM(AA34:AB34)</f>
        <v>69709883</v>
      </c>
      <c r="AD34" s="419"/>
      <c r="AE34" s="419"/>
      <c r="AF34" s="419"/>
      <c r="AG34" s="419"/>
      <c r="AH34" s="419"/>
      <c r="AI34" s="419"/>
      <c r="AJ34" s="419"/>
      <c r="AK34" s="419"/>
      <c r="AL34" s="419"/>
      <c r="AM34" s="419"/>
      <c r="AN34" s="419"/>
      <c r="AO34" s="419"/>
      <c r="AP34" s="419"/>
      <c r="AQ34" s="419"/>
      <c r="AR34" s="419"/>
      <c r="AS34" s="419"/>
      <c r="AT34" s="419"/>
      <c r="AU34" s="419"/>
      <c r="AV34" s="419"/>
      <c r="AW34" s="419"/>
      <c r="AX34" s="419"/>
      <c r="AY34" s="419"/>
      <c r="AZ34" s="419"/>
      <c r="BA34" s="419"/>
      <c r="BB34" s="419"/>
      <c r="BC34" s="419"/>
      <c r="BD34" s="419"/>
      <c r="BE34" s="419"/>
      <c r="BF34" s="419"/>
      <c r="BG34" s="419"/>
      <c r="BH34" s="419"/>
      <c r="BI34" s="419"/>
      <c r="BJ34" s="419"/>
      <c r="BK34" s="419"/>
      <c r="BL34" s="419"/>
      <c r="BM34" s="419"/>
      <c r="BN34" s="419"/>
      <c r="BO34" s="419"/>
      <c r="BP34" s="419"/>
      <c r="BQ34" s="419"/>
      <c r="BR34" s="419"/>
      <c r="BS34" s="419"/>
      <c r="BT34" s="419"/>
      <c r="BU34" s="419"/>
      <c r="BV34" s="419"/>
      <c r="BW34" s="419"/>
      <c r="BX34" s="419"/>
      <c r="BY34" s="419"/>
      <c r="BZ34" s="419"/>
      <c r="CA34" s="419"/>
      <c r="CB34" s="419"/>
      <c r="CC34" s="419"/>
      <c r="CD34" s="419"/>
      <c r="CE34" s="419"/>
      <c r="CF34" s="419"/>
      <c r="CG34" s="419"/>
      <c r="CH34" s="419"/>
      <c r="CI34" s="419"/>
      <c r="CJ34" s="419"/>
      <c r="CK34" s="419"/>
      <c r="CL34" s="419"/>
      <c r="CM34" s="419"/>
      <c r="CN34" s="419"/>
      <c r="CO34" s="419"/>
      <c r="CP34" s="419"/>
      <c r="CQ34" s="419"/>
      <c r="CR34" s="419"/>
      <c r="CS34" s="419"/>
      <c r="CT34" s="419"/>
      <c r="CU34" s="419"/>
      <c r="CV34" s="419"/>
      <c r="CW34" s="419"/>
      <c r="CX34" s="419"/>
      <c r="CY34" s="419"/>
      <c r="CZ34" s="419"/>
      <c r="DA34" s="419"/>
      <c r="DB34" s="419"/>
      <c r="DC34" s="419"/>
      <c r="DD34" s="419"/>
      <c r="DE34" s="419"/>
      <c r="DF34" s="419"/>
      <c r="DG34" s="419"/>
      <c r="DH34" s="419"/>
      <c r="DI34" s="419"/>
      <c r="DJ34" s="419"/>
      <c r="DK34" s="419"/>
      <c r="DL34" s="419"/>
      <c r="DM34" s="419"/>
      <c r="DN34" s="419"/>
      <c r="DO34" s="419"/>
      <c r="DP34" s="419"/>
      <c r="DQ34" s="419"/>
      <c r="DR34" s="419"/>
      <c r="DS34" s="419"/>
      <c r="DT34" s="419"/>
      <c r="DU34" s="419"/>
      <c r="DV34" s="419"/>
      <c r="DW34" s="419"/>
      <c r="DX34" s="419"/>
      <c r="DY34" s="419"/>
      <c r="DZ34" s="419"/>
      <c r="EA34" s="419"/>
      <c r="EB34" s="419"/>
      <c r="EC34" s="419"/>
      <c r="ED34" s="419"/>
      <c r="EE34" s="419"/>
      <c r="EF34" s="419"/>
      <c r="EG34" s="419"/>
      <c r="EH34" s="419"/>
      <c r="EI34" s="419"/>
      <c r="EJ34" s="419"/>
      <c r="EK34" s="419"/>
      <c r="EL34" s="419"/>
      <c r="EM34" s="419"/>
      <c r="EN34" s="419"/>
      <c r="EO34" s="419"/>
      <c r="EP34" s="419"/>
      <c r="EQ34" s="419"/>
      <c r="ER34" s="419"/>
      <c r="ES34" s="419"/>
      <c r="ET34" s="419"/>
      <c r="EU34" s="419"/>
      <c r="EV34" s="419"/>
      <c r="EW34" s="419"/>
      <c r="EX34" s="419"/>
      <c r="EY34" s="419"/>
      <c r="EZ34" s="419"/>
      <c r="FA34" s="419"/>
      <c r="FB34" s="419"/>
      <c r="FC34" s="419"/>
      <c r="FD34" s="419"/>
      <c r="FE34" s="419"/>
      <c r="FF34" s="419"/>
      <c r="FG34" s="419"/>
      <c r="FH34" s="419"/>
      <c r="FI34" s="419"/>
      <c r="FJ34" s="419"/>
      <c r="FK34" s="419"/>
      <c r="FL34" s="419"/>
      <c r="FM34" s="419"/>
      <c r="FN34" s="419"/>
      <c r="FO34" s="419"/>
      <c r="FP34" s="419"/>
      <c r="FQ34" s="419"/>
      <c r="FR34" s="419"/>
      <c r="FS34" s="419"/>
      <c r="FT34" s="419"/>
      <c r="FU34" s="419"/>
      <c r="FV34" s="419"/>
      <c r="FW34" s="419"/>
      <c r="FX34" s="419"/>
      <c r="FY34" s="419"/>
      <c r="FZ34" s="419"/>
      <c r="GA34" s="419"/>
      <c r="GB34" s="419"/>
      <c r="GC34" s="419"/>
      <c r="GD34" s="419"/>
      <c r="GE34" s="419"/>
      <c r="GF34" s="419"/>
      <c r="GG34" s="419"/>
      <c r="GH34" s="419"/>
      <c r="GI34" s="419"/>
      <c r="GJ34" s="419"/>
      <c r="GK34" s="419"/>
      <c r="GL34" s="419"/>
      <c r="GM34" s="419"/>
      <c r="GN34" s="419"/>
      <c r="GO34" s="419"/>
      <c r="GP34" s="419"/>
      <c r="GQ34" s="419"/>
      <c r="GR34" s="419"/>
      <c r="GS34" s="419"/>
      <c r="GT34" s="419"/>
      <c r="GU34" s="419"/>
      <c r="GV34" s="419"/>
      <c r="GW34" s="419"/>
      <c r="GX34" s="419"/>
      <c r="GY34" s="419"/>
      <c r="GZ34" s="419"/>
      <c r="HA34" s="419"/>
      <c r="HB34" s="419"/>
      <c r="HC34" s="419"/>
      <c r="HD34" s="419"/>
      <c r="HE34" s="419"/>
      <c r="HF34" s="419"/>
      <c r="HG34" s="419"/>
      <c r="HH34" s="419"/>
      <c r="HI34" s="419"/>
      <c r="HJ34" s="419"/>
      <c r="HK34" s="419"/>
      <c r="HL34" s="419"/>
      <c r="HM34" s="419"/>
      <c r="HN34" s="419"/>
      <c r="HO34" s="419"/>
    </row>
    <row r="35" spans="1:29" ht="27.75" customHeight="1" thickBot="1" thickTop="1">
      <c r="A35" s="1166" t="s">
        <v>832</v>
      </c>
      <c r="B35" s="1167"/>
      <c r="C35" s="1168"/>
      <c r="D35" s="1127" t="s">
        <v>353</v>
      </c>
      <c r="E35" s="1087"/>
      <c r="F35" s="1088"/>
      <c r="G35" s="1128" t="s">
        <v>465</v>
      </c>
      <c r="H35" s="1087"/>
      <c r="I35" s="1087"/>
      <c r="J35" s="1087"/>
      <c r="K35" s="1105"/>
      <c r="L35" s="1086" t="s">
        <v>466</v>
      </c>
      <c r="M35" s="1087"/>
      <c r="N35" s="1087"/>
      <c r="O35" s="1087"/>
      <c r="P35" s="1087"/>
      <c r="Q35" s="1105"/>
      <c r="R35" s="1086" t="s">
        <v>467</v>
      </c>
      <c r="S35" s="1087"/>
      <c r="T35" s="1087"/>
      <c r="U35" s="1087"/>
      <c r="V35" s="1087"/>
      <c r="W35" s="1088"/>
      <c r="X35" s="1147" t="s">
        <v>468</v>
      </c>
      <c r="Y35" s="1117"/>
      <c r="Z35" s="1117"/>
      <c r="AA35" s="1118" t="s">
        <v>86</v>
      </c>
      <c r="AB35" s="1119"/>
      <c r="AC35" s="1120"/>
    </row>
    <row r="36" spans="1:223" s="333" customFormat="1" ht="18.75" customHeight="1" thickBot="1" thickTop="1">
      <c r="A36" s="1169"/>
      <c r="B36" s="1170"/>
      <c r="C36" s="1171"/>
      <c r="D36" s="400" t="s">
        <v>87</v>
      </c>
      <c r="E36" s="605" t="s">
        <v>84</v>
      </c>
      <c r="F36" s="256" t="s">
        <v>88</v>
      </c>
      <c r="G36" s="1172"/>
      <c r="H36" s="1090"/>
      <c r="I36" s="1090"/>
      <c r="J36" s="1173"/>
      <c r="K36" s="1106"/>
      <c r="L36" s="1089"/>
      <c r="M36" s="1090"/>
      <c r="N36" s="1090"/>
      <c r="O36" s="1090"/>
      <c r="P36" s="1090"/>
      <c r="Q36" s="1106"/>
      <c r="R36" s="1089"/>
      <c r="S36" s="1090"/>
      <c r="T36" s="1090"/>
      <c r="U36" s="1090"/>
      <c r="V36" s="1090"/>
      <c r="W36" s="1146"/>
      <c r="X36" s="590" t="s">
        <v>87</v>
      </c>
      <c r="Y36" s="593" t="s">
        <v>84</v>
      </c>
      <c r="Z36" s="256" t="s">
        <v>88</v>
      </c>
      <c r="AA36" s="585" t="s">
        <v>87</v>
      </c>
      <c r="AB36" s="400" t="s">
        <v>84</v>
      </c>
      <c r="AC36" s="256" t="s">
        <v>88</v>
      </c>
      <c r="AD36" s="253"/>
      <c r="AE36" s="253"/>
      <c r="AF36" s="253"/>
      <c r="AG36" s="253"/>
      <c r="AH36" s="253"/>
      <c r="AI36" s="253"/>
      <c r="AJ36" s="253"/>
      <c r="AK36" s="253"/>
      <c r="AL36" s="253"/>
      <c r="AM36" s="253"/>
      <c r="AN36" s="253"/>
      <c r="AO36" s="253"/>
      <c r="AP36" s="253"/>
      <c r="AQ36" s="253"/>
      <c r="AR36" s="253"/>
      <c r="AS36" s="253"/>
      <c r="AT36" s="253"/>
      <c r="AU36" s="253"/>
      <c r="AV36" s="253"/>
      <c r="AW36" s="253"/>
      <c r="AX36" s="253"/>
      <c r="AY36" s="253"/>
      <c r="AZ36" s="253"/>
      <c r="BA36" s="253"/>
      <c r="BB36" s="253"/>
      <c r="BC36" s="253"/>
      <c r="BD36" s="253"/>
      <c r="BE36" s="253"/>
      <c r="BF36" s="253"/>
      <c r="BG36" s="253"/>
      <c r="BH36" s="253"/>
      <c r="BI36" s="253"/>
      <c r="BJ36" s="253"/>
      <c r="BK36" s="253"/>
      <c r="BL36" s="253"/>
      <c r="BM36" s="253"/>
      <c r="BN36" s="253"/>
      <c r="BO36" s="253"/>
      <c r="BP36" s="253"/>
      <c r="BQ36" s="253"/>
      <c r="BR36" s="253"/>
      <c r="BS36" s="253"/>
      <c r="BT36" s="253"/>
      <c r="BU36" s="253"/>
      <c r="BV36" s="253"/>
      <c r="BW36" s="253"/>
      <c r="BX36" s="253"/>
      <c r="BY36" s="253"/>
      <c r="BZ36" s="253"/>
      <c r="CA36" s="253"/>
      <c r="CB36" s="253"/>
      <c r="CC36" s="253"/>
      <c r="CD36" s="253"/>
      <c r="CE36" s="253"/>
      <c r="CF36" s="253"/>
      <c r="CG36" s="253"/>
      <c r="CH36" s="253"/>
      <c r="CI36" s="253"/>
      <c r="CJ36" s="253"/>
      <c r="CK36" s="253"/>
      <c r="CL36" s="253"/>
      <c r="CM36" s="253"/>
      <c r="CN36" s="253"/>
      <c r="CO36" s="253"/>
      <c r="CP36" s="253"/>
      <c r="CQ36" s="253"/>
      <c r="CR36" s="253"/>
      <c r="CS36" s="253"/>
      <c r="CT36" s="253"/>
      <c r="CU36" s="253"/>
      <c r="CV36" s="253"/>
      <c r="CW36" s="253"/>
      <c r="CX36" s="253"/>
      <c r="CY36" s="253"/>
      <c r="CZ36" s="253"/>
      <c r="DA36" s="253"/>
      <c r="DB36" s="253"/>
      <c r="DC36" s="253"/>
      <c r="DD36" s="253"/>
      <c r="DE36" s="253"/>
      <c r="DF36" s="253"/>
      <c r="DG36" s="253"/>
      <c r="DH36" s="253"/>
      <c r="DI36" s="253"/>
      <c r="DJ36" s="253"/>
      <c r="DK36" s="253"/>
      <c r="DL36" s="253"/>
      <c r="DM36" s="253"/>
      <c r="DN36" s="253"/>
      <c r="DO36" s="253"/>
      <c r="DP36" s="253"/>
      <c r="DQ36" s="253"/>
      <c r="DR36" s="253"/>
      <c r="DS36" s="253"/>
      <c r="DT36" s="253"/>
      <c r="DU36" s="253"/>
      <c r="DV36" s="253"/>
      <c r="DW36" s="253"/>
      <c r="DX36" s="253"/>
      <c r="DY36" s="253"/>
      <c r="DZ36" s="253"/>
      <c r="EA36" s="253"/>
      <c r="EB36" s="253"/>
      <c r="EC36" s="253"/>
      <c r="ED36" s="253"/>
      <c r="EE36" s="253"/>
      <c r="EF36" s="253"/>
      <c r="EG36" s="253"/>
      <c r="EH36" s="253"/>
      <c r="EI36" s="253"/>
      <c r="EJ36" s="253"/>
      <c r="EK36" s="253"/>
      <c r="EL36" s="253"/>
      <c r="EM36" s="253"/>
      <c r="EN36" s="253"/>
      <c r="EO36" s="253"/>
      <c r="EP36" s="253"/>
      <c r="EQ36" s="253"/>
      <c r="ER36" s="253"/>
      <c r="ES36" s="253"/>
      <c r="ET36" s="253"/>
      <c r="EU36" s="253"/>
      <c r="EV36" s="253"/>
      <c r="EW36" s="253"/>
      <c r="EX36" s="253"/>
      <c r="EY36" s="253"/>
      <c r="EZ36" s="253"/>
      <c r="FA36" s="253"/>
      <c r="FB36" s="253"/>
      <c r="FC36" s="253"/>
      <c r="FD36" s="253"/>
      <c r="FE36" s="253"/>
      <c r="FF36" s="253"/>
      <c r="FG36" s="253"/>
      <c r="FH36" s="253"/>
      <c r="FI36" s="253"/>
      <c r="FJ36" s="253"/>
      <c r="FK36" s="253"/>
      <c r="FL36" s="253"/>
      <c r="FM36" s="253"/>
      <c r="FN36" s="253"/>
      <c r="FO36" s="253"/>
      <c r="FP36" s="253"/>
      <c r="FQ36" s="253"/>
      <c r="FR36" s="253"/>
      <c r="FS36" s="253"/>
      <c r="FT36" s="253"/>
      <c r="FU36" s="253"/>
      <c r="FV36" s="253"/>
      <c r="FW36" s="253"/>
      <c r="FX36" s="253"/>
      <c r="FY36" s="253"/>
      <c r="FZ36" s="253"/>
      <c r="GA36" s="253"/>
      <c r="GB36" s="253"/>
      <c r="GC36" s="253"/>
      <c r="GD36" s="253"/>
      <c r="GE36" s="253"/>
      <c r="GF36" s="253"/>
      <c r="GG36" s="253"/>
      <c r="GH36" s="253"/>
      <c r="GI36" s="253"/>
      <c r="GJ36" s="253"/>
      <c r="GK36" s="253"/>
      <c r="GL36" s="253"/>
      <c r="GM36" s="253"/>
      <c r="GN36" s="253"/>
      <c r="GO36" s="253"/>
      <c r="GP36" s="253"/>
      <c r="GQ36" s="253"/>
      <c r="GR36" s="253"/>
      <c r="GS36" s="253"/>
      <c r="GT36" s="253"/>
      <c r="GU36" s="253"/>
      <c r="GV36" s="253"/>
      <c r="GW36" s="253"/>
      <c r="GX36" s="253"/>
      <c r="GY36" s="253"/>
      <c r="GZ36" s="253"/>
      <c r="HA36" s="253"/>
      <c r="HB36" s="253"/>
      <c r="HC36" s="253"/>
      <c r="HD36" s="253"/>
      <c r="HE36" s="253"/>
      <c r="HF36" s="253"/>
      <c r="HG36" s="253"/>
      <c r="HH36" s="253"/>
      <c r="HI36" s="253"/>
      <c r="HJ36" s="253"/>
      <c r="HK36" s="253"/>
      <c r="HL36" s="253"/>
      <c r="HM36" s="253"/>
      <c r="HN36" s="253"/>
      <c r="HO36" s="253"/>
    </row>
    <row r="37" spans="1:29" ht="12.75" customHeight="1">
      <c r="A37" s="257"/>
      <c r="B37" s="299"/>
      <c r="C37" s="299"/>
      <c r="D37" s="324"/>
      <c r="E37" s="299"/>
      <c r="F37" s="261"/>
      <c r="G37" s="1175" t="s">
        <v>440</v>
      </c>
      <c r="H37" s="1176"/>
      <c r="I37" s="1176"/>
      <c r="J37" s="1179">
        <f>119812800+22486700</f>
        <v>142299500</v>
      </c>
      <c r="K37" s="1174">
        <f>SUM(J37:J40)</f>
        <v>142438855</v>
      </c>
      <c r="L37" s="1103" t="s">
        <v>903</v>
      </c>
      <c r="M37" s="1104"/>
      <c r="N37" s="1104"/>
      <c r="O37" s="1104"/>
      <c r="P37" s="1077">
        <v>1484730</v>
      </c>
      <c r="Q37" s="1079">
        <f>SUM(P37:P40)</f>
        <v>1484730</v>
      </c>
      <c r="R37" s="1100" t="s">
        <v>716</v>
      </c>
      <c r="S37" s="1101"/>
      <c r="T37" s="1101"/>
      <c r="U37" s="1101"/>
      <c r="V37" s="1077">
        <v>250000</v>
      </c>
      <c r="W37" s="1094">
        <f>SUM(V37:V40)</f>
        <v>6913185</v>
      </c>
      <c r="X37" s="334"/>
      <c r="Y37" s="335"/>
      <c r="Z37" s="336"/>
      <c r="AA37" s="257"/>
      <c r="AB37" s="274"/>
      <c r="AC37" s="275"/>
    </row>
    <row r="38" spans="1:29" ht="12.75" customHeight="1">
      <c r="A38" s="337"/>
      <c r="B38" s="297"/>
      <c r="C38" s="297"/>
      <c r="D38" s="338"/>
      <c r="E38" s="299"/>
      <c r="F38" s="300"/>
      <c r="G38" s="1177"/>
      <c r="H38" s="1178"/>
      <c r="I38" s="1178"/>
      <c r="J38" s="1180"/>
      <c r="K38" s="1080"/>
      <c r="L38" s="1073"/>
      <c r="M38" s="1074"/>
      <c r="N38" s="1074"/>
      <c r="O38" s="1074"/>
      <c r="P38" s="1078"/>
      <c r="Q38" s="1080"/>
      <c r="R38" s="1075"/>
      <c r="S38" s="1076"/>
      <c r="T38" s="1076"/>
      <c r="U38" s="1076"/>
      <c r="V38" s="1078"/>
      <c r="W38" s="1095"/>
      <c r="X38" s="339"/>
      <c r="Y38" s="283"/>
      <c r="Z38" s="273"/>
      <c r="AA38" s="284"/>
      <c r="AB38" s="285"/>
      <c r="AC38" s="286"/>
    </row>
    <row r="39" spans="1:29" ht="12.75" customHeight="1">
      <c r="A39" s="337"/>
      <c r="B39" s="297"/>
      <c r="C39" s="297"/>
      <c r="D39" s="338"/>
      <c r="E39" s="299"/>
      <c r="F39" s="300"/>
      <c r="G39" s="667"/>
      <c r="H39" s="668"/>
      <c r="I39" s="668"/>
      <c r="J39" s="669"/>
      <c r="K39" s="1080"/>
      <c r="L39" s="666"/>
      <c r="M39" s="609"/>
      <c r="N39" s="609"/>
      <c r="O39" s="609"/>
      <c r="P39" s="665"/>
      <c r="Q39" s="1080"/>
      <c r="R39" s="1075" t="s">
        <v>671</v>
      </c>
      <c r="S39" s="1076"/>
      <c r="T39" s="1076"/>
      <c r="U39" s="1076"/>
      <c r="V39" s="422">
        <f>789210+334626+2000</f>
        <v>1125836</v>
      </c>
      <c r="W39" s="1095"/>
      <c r="X39" s="339"/>
      <c r="Y39" s="283"/>
      <c r="Z39" s="273"/>
      <c r="AA39" s="284"/>
      <c r="AB39" s="285"/>
      <c r="AC39" s="286"/>
    </row>
    <row r="40" spans="1:29" ht="24.75" customHeight="1" thickBot="1">
      <c r="A40" s="337"/>
      <c r="B40" s="1164" t="s">
        <v>444</v>
      </c>
      <c r="C40" s="1165"/>
      <c r="D40" s="329">
        <f>SUM('6. kiadások megbontása'!D57)</f>
        <v>136956381</v>
      </c>
      <c r="E40" s="280">
        <f>SUM('6. kiadások megbontása'!E57)</f>
        <v>2346482</v>
      </c>
      <c r="F40" s="281">
        <f>SUM(D40:E40)</f>
        <v>139302863</v>
      </c>
      <c r="G40" s="1102" t="s">
        <v>883</v>
      </c>
      <c r="H40" s="1085"/>
      <c r="I40" s="1085"/>
      <c r="J40" s="409">
        <f>17860+121495</f>
        <v>139355</v>
      </c>
      <c r="K40" s="1080"/>
      <c r="L40" s="1073"/>
      <c r="M40" s="1074"/>
      <c r="N40" s="1074"/>
      <c r="O40" s="1074"/>
      <c r="P40" s="422"/>
      <c r="Q40" s="1080"/>
      <c r="R40" s="1075" t="s">
        <v>472</v>
      </c>
      <c r="S40" s="1076"/>
      <c r="T40" s="1076"/>
      <c r="U40" s="1076"/>
      <c r="V40" s="420">
        <v>5537349</v>
      </c>
      <c r="W40" s="1095"/>
      <c r="X40" s="339">
        <f>SUM(W37,Q37,K37)</f>
        <v>150836770</v>
      </c>
      <c r="Y40" s="283">
        <v>0</v>
      </c>
      <c r="Z40" s="294">
        <f>SUM(Y40,X40)</f>
        <v>150836770</v>
      </c>
      <c r="AA40" s="292">
        <f>X40-D40</f>
        <v>13880389</v>
      </c>
      <c r="AB40" s="293">
        <f>Y40-E40</f>
        <v>-2346482</v>
      </c>
      <c r="AC40" s="286">
        <f>SUM(AA40:AB40)</f>
        <v>11533907</v>
      </c>
    </row>
    <row r="41" spans="1:29" ht="20.25" customHeight="1" thickBot="1">
      <c r="A41" s="1219" t="s">
        <v>445</v>
      </c>
      <c r="B41" s="1220"/>
      <c r="C41" s="1221"/>
      <c r="D41" s="670">
        <f>'6. kiadások megbontása'!G57</f>
        <v>8932286</v>
      </c>
      <c r="E41" s="671"/>
      <c r="F41" s="672">
        <f>SUM(D41:E41)</f>
        <v>8932286</v>
      </c>
      <c r="G41" s="673"/>
      <c r="H41" s="673"/>
      <c r="I41" s="673"/>
      <c r="J41" s="674"/>
      <c r="K41" s="675"/>
      <c r="L41" s="676"/>
      <c r="M41" s="677"/>
      <c r="N41" s="677"/>
      <c r="O41" s="677"/>
      <c r="P41" s="678"/>
      <c r="Q41" s="675"/>
      <c r="R41" s="1222"/>
      <c r="S41" s="1223"/>
      <c r="T41" s="1223"/>
      <c r="U41" s="1223"/>
      <c r="V41" s="679"/>
      <c r="W41" s="680">
        <f>SUM(V41)</f>
        <v>0</v>
      </c>
      <c r="X41" s="681">
        <f>W41</f>
        <v>0</v>
      </c>
      <c r="Y41" s="682"/>
      <c r="Z41" s="683">
        <f>SUM(Y41,X41)</f>
        <v>0</v>
      </c>
      <c r="AA41" s="684"/>
      <c r="AB41" s="685"/>
      <c r="AC41" s="683"/>
    </row>
    <row r="42" spans="1:223" s="404" customFormat="1" ht="33.75" customHeight="1" thickBot="1">
      <c r="A42" s="1148" t="s">
        <v>834</v>
      </c>
      <c r="B42" s="1149"/>
      <c r="C42" s="1150"/>
      <c r="D42" s="573">
        <f>SUM(D37:D41)</f>
        <v>145888667</v>
      </c>
      <c r="E42" s="574">
        <f>SUM(E37:E41)</f>
        <v>2346482</v>
      </c>
      <c r="F42" s="575">
        <f>SUM(F37:F41)</f>
        <v>148235149</v>
      </c>
      <c r="G42" s="576"/>
      <c r="H42" s="1151" t="s">
        <v>91</v>
      </c>
      <c r="I42" s="1152"/>
      <c r="J42" s="1153"/>
      <c r="K42" s="577">
        <f>SUM(K37:K40)</f>
        <v>142438855</v>
      </c>
      <c r="L42" s="412"/>
      <c r="M42" s="1081" t="s">
        <v>92</v>
      </c>
      <c r="N42" s="1081"/>
      <c r="O42" s="1081"/>
      <c r="P42" s="1082"/>
      <c r="Q42" s="577">
        <f>SUM(Q37:Q40)</f>
        <v>1484730</v>
      </c>
      <c r="R42" s="414"/>
      <c r="S42" s="1081" t="s">
        <v>93</v>
      </c>
      <c r="T42" s="1081"/>
      <c r="U42" s="1081"/>
      <c r="V42" s="1082"/>
      <c r="W42" s="578">
        <f>SUM(W37:W41)</f>
        <v>6913185</v>
      </c>
      <c r="X42" s="579">
        <f>SUM(X37:X41)</f>
        <v>150836770</v>
      </c>
      <c r="Y42" s="580">
        <v>0</v>
      </c>
      <c r="Z42" s="581">
        <f>SUM(X42:Y42)</f>
        <v>150836770</v>
      </c>
      <c r="AA42" s="582">
        <f>X42-D42</f>
        <v>4948103</v>
      </c>
      <c r="AB42" s="583">
        <f>Y42-E42</f>
        <v>-2346482</v>
      </c>
      <c r="AC42" s="410">
        <f>SUM(AA42:AB42)</f>
        <v>2601621</v>
      </c>
      <c r="AD42" s="419"/>
      <c r="AE42" s="419"/>
      <c r="AF42" s="419"/>
      <c r="AG42" s="419"/>
      <c r="AH42" s="419"/>
      <c r="AI42" s="419"/>
      <c r="AJ42" s="419"/>
      <c r="AK42" s="419"/>
      <c r="AL42" s="419"/>
      <c r="AM42" s="419"/>
      <c r="AN42" s="419"/>
      <c r="AO42" s="419"/>
      <c r="AP42" s="419"/>
      <c r="AQ42" s="419"/>
      <c r="AR42" s="419"/>
      <c r="AS42" s="419"/>
      <c r="AT42" s="419"/>
      <c r="AU42" s="419"/>
      <c r="AV42" s="419"/>
      <c r="AW42" s="419"/>
      <c r="AX42" s="419"/>
      <c r="AY42" s="419"/>
      <c r="AZ42" s="419"/>
      <c r="BA42" s="419"/>
      <c r="BB42" s="419"/>
      <c r="BC42" s="419"/>
      <c r="BD42" s="419"/>
      <c r="BE42" s="419"/>
      <c r="BF42" s="419"/>
      <c r="BG42" s="419"/>
      <c r="BH42" s="419"/>
      <c r="BI42" s="419"/>
      <c r="BJ42" s="419"/>
      <c r="BK42" s="419"/>
      <c r="BL42" s="419"/>
      <c r="BM42" s="419"/>
      <c r="BN42" s="419"/>
      <c r="BO42" s="419"/>
      <c r="BP42" s="419"/>
      <c r="BQ42" s="419"/>
      <c r="BR42" s="419"/>
      <c r="BS42" s="419"/>
      <c r="BT42" s="419"/>
      <c r="BU42" s="419"/>
      <c r="BV42" s="419"/>
      <c r="BW42" s="419"/>
      <c r="BX42" s="419"/>
      <c r="BY42" s="419"/>
      <c r="BZ42" s="419"/>
      <c r="CA42" s="419"/>
      <c r="CB42" s="419"/>
      <c r="CC42" s="419"/>
      <c r="CD42" s="419"/>
      <c r="CE42" s="419"/>
      <c r="CF42" s="419"/>
      <c r="CG42" s="419"/>
      <c r="CH42" s="419"/>
      <c r="CI42" s="419"/>
      <c r="CJ42" s="419"/>
      <c r="CK42" s="419"/>
      <c r="CL42" s="419"/>
      <c r="CM42" s="419"/>
      <c r="CN42" s="419"/>
      <c r="CO42" s="419"/>
      <c r="CP42" s="419"/>
      <c r="CQ42" s="419"/>
      <c r="CR42" s="419"/>
      <c r="CS42" s="419"/>
      <c r="CT42" s="419"/>
      <c r="CU42" s="419"/>
      <c r="CV42" s="419"/>
      <c r="CW42" s="419"/>
      <c r="CX42" s="419"/>
      <c r="CY42" s="419"/>
      <c r="CZ42" s="419"/>
      <c r="DA42" s="419"/>
      <c r="DB42" s="419"/>
      <c r="DC42" s="419"/>
      <c r="DD42" s="419"/>
      <c r="DE42" s="419"/>
      <c r="DF42" s="419"/>
      <c r="DG42" s="419"/>
      <c r="DH42" s="419"/>
      <c r="DI42" s="419"/>
      <c r="DJ42" s="419"/>
      <c r="DK42" s="419"/>
      <c r="DL42" s="419"/>
      <c r="DM42" s="419"/>
      <c r="DN42" s="419"/>
      <c r="DO42" s="419"/>
      <c r="DP42" s="419"/>
      <c r="DQ42" s="419"/>
      <c r="DR42" s="419"/>
      <c r="DS42" s="419"/>
      <c r="DT42" s="419"/>
      <c r="DU42" s="419"/>
      <c r="DV42" s="419"/>
      <c r="DW42" s="419"/>
      <c r="DX42" s="419"/>
      <c r="DY42" s="419"/>
      <c r="DZ42" s="419"/>
      <c r="EA42" s="419"/>
      <c r="EB42" s="419"/>
      <c r="EC42" s="419"/>
      <c r="ED42" s="419"/>
      <c r="EE42" s="419"/>
      <c r="EF42" s="419"/>
      <c r="EG42" s="419"/>
      <c r="EH42" s="419"/>
      <c r="EI42" s="419"/>
      <c r="EJ42" s="419"/>
      <c r="EK42" s="419"/>
      <c r="EL42" s="419"/>
      <c r="EM42" s="419"/>
      <c r="EN42" s="419"/>
      <c r="EO42" s="419"/>
      <c r="EP42" s="419"/>
      <c r="EQ42" s="419"/>
      <c r="ER42" s="419"/>
      <c r="ES42" s="419"/>
      <c r="ET42" s="419"/>
      <c r="EU42" s="419"/>
      <c r="EV42" s="419"/>
      <c r="EW42" s="419"/>
      <c r="EX42" s="419"/>
      <c r="EY42" s="419"/>
      <c r="EZ42" s="419"/>
      <c r="FA42" s="419"/>
      <c r="FB42" s="419"/>
      <c r="FC42" s="419"/>
      <c r="FD42" s="419"/>
      <c r="FE42" s="419"/>
      <c r="FF42" s="419"/>
      <c r="FG42" s="419"/>
      <c r="FH42" s="419"/>
      <c r="FI42" s="419"/>
      <c r="FJ42" s="419"/>
      <c r="FK42" s="419"/>
      <c r="FL42" s="419"/>
      <c r="FM42" s="419"/>
      <c r="FN42" s="419"/>
      <c r="FO42" s="419"/>
      <c r="FP42" s="419"/>
      <c r="FQ42" s="419"/>
      <c r="FR42" s="419"/>
      <c r="FS42" s="419"/>
      <c r="FT42" s="419"/>
      <c r="FU42" s="419"/>
      <c r="FV42" s="419"/>
      <c r="FW42" s="419"/>
      <c r="FX42" s="419"/>
      <c r="FY42" s="419"/>
      <c r="FZ42" s="419"/>
      <c r="GA42" s="419"/>
      <c r="GB42" s="419"/>
      <c r="GC42" s="419"/>
      <c r="GD42" s="419"/>
      <c r="GE42" s="419"/>
      <c r="GF42" s="419"/>
      <c r="GG42" s="419"/>
      <c r="GH42" s="419"/>
      <c r="GI42" s="419"/>
      <c r="GJ42" s="419"/>
      <c r="GK42" s="419"/>
      <c r="GL42" s="419"/>
      <c r="GM42" s="419"/>
      <c r="GN42" s="419"/>
      <c r="GO42" s="419"/>
      <c r="GP42" s="419"/>
      <c r="GQ42" s="419"/>
      <c r="GR42" s="419"/>
      <c r="GS42" s="419"/>
      <c r="GT42" s="419"/>
      <c r="GU42" s="419"/>
      <c r="GV42" s="419"/>
      <c r="GW42" s="419"/>
      <c r="GX42" s="419"/>
      <c r="GY42" s="419"/>
      <c r="GZ42" s="419"/>
      <c r="HA42" s="419"/>
      <c r="HB42" s="419"/>
      <c r="HC42" s="419"/>
      <c r="HD42" s="419"/>
      <c r="HE42" s="419"/>
      <c r="HF42" s="419"/>
      <c r="HG42" s="419"/>
      <c r="HH42" s="419"/>
      <c r="HI42" s="419"/>
      <c r="HJ42" s="419"/>
      <c r="HK42" s="419"/>
      <c r="HL42" s="419"/>
      <c r="HM42" s="419"/>
      <c r="HN42" s="419"/>
      <c r="HO42" s="419"/>
    </row>
    <row r="43" spans="1:29" ht="27.75" customHeight="1" thickBot="1" thickTop="1">
      <c r="A43" s="1166" t="s">
        <v>713</v>
      </c>
      <c r="B43" s="1167"/>
      <c r="C43" s="1168"/>
      <c r="D43" s="1127" t="s">
        <v>353</v>
      </c>
      <c r="E43" s="1087"/>
      <c r="F43" s="1088"/>
      <c r="G43" s="1128" t="s">
        <v>465</v>
      </c>
      <c r="H43" s="1087"/>
      <c r="I43" s="1087"/>
      <c r="J43" s="1087"/>
      <c r="K43" s="1105"/>
      <c r="L43" s="1086" t="s">
        <v>466</v>
      </c>
      <c r="M43" s="1087"/>
      <c r="N43" s="1087"/>
      <c r="O43" s="1087"/>
      <c r="P43" s="1087"/>
      <c r="Q43" s="1105"/>
      <c r="R43" s="1086" t="s">
        <v>467</v>
      </c>
      <c r="S43" s="1087"/>
      <c r="T43" s="1087"/>
      <c r="U43" s="1087"/>
      <c r="V43" s="1087"/>
      <c r="W43" s="1088"/>
      <c r="X43" s="1147" t="s">
        <v>468</v>
      </c>
      <c r="Y43" s="1117"/>
      <c r="Z43" s="1117"/>
      <c r="AA43" s="1118" t="s">
        <v>86</v>
      </c>
      <c r="AB43" s="1119"/>
      <c r="AC43" s="1120"/>
    </row>
    <row r="44" spans="1:223" s="333" customFormat="1" ht="18.75" customHeight="1" thickBot="1" thickTop="1">
      <c r="A44" s="1169"/>
      <c r="B44" s="1170"/>
      <c r="C44" s="1171"/>
      <c r="D44" s="400" t="s">
        <v>87</v>
      </c>
      <c r="E44" s="605" t="s">
        <v>84</v>
      </c>
      <c r="F44" s="256" t="s">
        <v>88</v>
      </c>
      <c r="G44" s="1172"/>
      <c r="H44" s="1090"/>
      <c r="I44" s="1090"/>
      <c r="J44" s="1173"/>
      <c r="K44" s="1106"/>
      <c r="L44" s="1089"/>
      <c r="M44" s="1090"/>
      <c r="N44" s="1090"/>
      <c r="O44" s="1090"/>
      <c r="P44" s="1090"/>
      <c r="Q44" s="1106"/>
      <c r="R44" s="1089"/>
      <c r="S44" s="1090"/>
      <c r="T44" s="1090"/>
      <c r="U44" s="1090"/>
      <c r="V44" s="1090"/>
      <c r="W44" s="1090"/>
      <c r="X44" s="592" t="s">
        <v>87</v>
      </c>
      <c r="Y44" s="593" t="s">
        <v>84</v>
      </c>
      <c r="Z44" s="256" t="s">
        <v>88</v>
      </c>
      <c r="AA44" s="585" t="s">
        <v>87</v>
      </c>
      <c r="AB44" s="400" t="s">
        <v>84</v>
      </c>
      <c r="AC44" s="256" t="s">
        <v>88</v>
      </c>
      <c r="AD44" s="253"/>
      <c r="AE44" s="253"/>
      <c r="AF44" s="253"/>
      <c r="AG44" s="253"/>
      <c r="AH44" s="253"/>
      <c r="AI44" s="253"/>
      <c r="AJ44" s="253"/>
      <c r="AK44" s="253"/>
      <c r="AL44" s="253"/>
      <c r="AM44" s="253"/>
      <c r="AN44" s="253"/>
      <c r="AO44" s="253"/>
      <c r="AP44" s="253"/>
      <c r="AQ44" s="253"/>
      <c r="AR44" s="253"/>
      <c r="AS44" s="253"/>
      <c r="AT44" s="253"/>
      <c r="AU44" s="253"/>
      <c r="AV44" s="253"/>
      <c r="AW44" s="253"/>
      <c r="AX44" s="253"/>
      <c r="AY44" s="253"/>
      <c r="AZ44" s="253"/>
      <c r="BA44" s="253"/>
      <c r="BB44" s="253"/>
      <c r="BC44" s="253"/>
      <c r="BD44" s="253"/>
      <c r="BE44" s="253"/>
      <c r="BF44" s="253"/>
      <c r="BG44" s="253"/>
      <c r="BH44" s="253"/>
      <c r="BI44" s="253"/>
      <c r="BJ44" s="253"/>
      <c r="BK44" s="253"/>
      <c r="BL44" s="253"/>
      <c r="BM44" s="253"/>
      <c r="BN44" s="253"/>
      <c r="BO44" s="253"/>
      <c r="BP44" s="253"/>
      <c r="BQ44" s="253"/>
      <c r="BR44" s="253"/>
      <c r="BS44" s="253"/>
      <c r="BT44" s="253"/>
      <c r="BU44" s="253"/>
      <c r="BV44" s="253"/>
      <c r="BW44" s="253"/>
      <c r="BX44" s="253"/>
      <c r="BY44" s="253"/>
      <c r="BZ44" s="253"/>
      <c r="CA44" s="253"/>
      <c r="CB44" s="253"/>
      <c r="CC44" s="253"/>
      <c r="CD44" s="253"/>
      <c r="CE44" s="253"/>
      <c r="CF44" s="253"/>
      <c r="CG44" s="253"/>
      <c r="CH44" s="253"/>
      <c r="CI44" s="253"/>
      <c r="CJ44" s="253"/>
      <c r="CK44" s="253"/>
      <c r="CL44" s="253"/>
      <c r="CM44" s="253"/>
      <c r="CN44" s="253"/>
      <c r="CO44" s="253"/>
      <c r="CP44" s="253"/>
      <c r="CQ44" s="253"/>
      <c r="CR44" s="253"/>
      <c r="CS44" s="253"/>
      <c r="CT44" s="253"/>
      <c r="CU44" s="253"/>
      <c r="CV44" s="253"/>
      <c r="CW44" s="253"/>
      <c r="CX44" s="253"/>
      <c r="CY44" s="253"/>
      <c r="CZ44" s="253"/>
      <c r="DA44" s="253"/>
      <c r="DB44" s="253"/>
      <c r="DC44" s="253"/>
      <c r="DD44" s="253"/>
      <c r="DE44" s="253"/>
      <c r="DF44" s="253"/>
      <c r="DG44" s="253"/>
      <c r="DH44" s="253"/>
      <c r="DI44" s="253"/>
      <c r="DJ44" s="253"/>
      <c r="DK44" s="253"/>
      <c r="DL44" s="253"/>
      <c r="DM44" s="253"/>
      <c r="DN44" s="253"/>
      <c r="DO44" s="253"/>
      <c r="DP44" s="253"/>
      <c r="DQ44" s="253"/>
      <c r="DR44" s="253"/>
      <c r="DS44" s="253"/>
      <c r="DT44" s="253"/>
      <c r="DU44" s="253"/>
      <c r="DV44" s="253"/>
      <c r="DW44" s="253"/>
      <c r="DX44" s="253"/>
      <c r="DY44" s="253"/>
      <c r="DZ44" s="253"/>
      <c r="EA44" s="253"/>
      <c r="EB44" s="253"/>
      <c r="EC44" s="253"/>
      <c r="ED44" s="253"/>
      <c r="EE44" s="253"/>
      <c r="EF44" s="253"/>
      <c r="EG44" s="253"/>
      <c r="EH44" s="253"/>
      <c r="EI44" s="253"/>
      <c r="EJ44" s="253"/>
      <c r="EK44" s="253"/>
      <c r="EL44" s="253"/>
      <c r="EM44" s="253"/>
      <c r="EN44" s="253"/>
      <c r="EO44" s="253"/>
      <c r="EP44" s="253"/>
      <c r="EQ44" s="253"/>
      <c r="ER44" s="253"/>
      <c r="ES44" s="253"/>
      <c r="ET44" s="253"/>
      <c r="EU44" s="253"/>
      <c r="EV44" s="253"/>
      <c r="EW44" s="253"/>
      <c r="EX44" s="253"/>
      <c r="EY44" s="253"/>
      <c r="EZ44" s="253"/>
      <c r="FA44" s="253"/>
      <c r="FB44" s="253"/>
      <c r="FC44" s="253"/>
      <c r="FD44" s="253"/>
      <c r="FE44" s="253"/>
      <c r="FF44" s="253"/>
      <c r="FG44" s="253"/>
      <c r="FH44" s="253"/>
      <c r="FI44" s="253"/>
      <c r="FJ44" s="253"/>
      <c r="FK44" s="253"/>
      <c r="FL44" s="253"/>
      <c r="FM44" s="253"/>
      <c r="FN44" s="253"/>
      <c r="FO44" s="253"/>
      <c r="FP44" s="253"/>
      <c r="FQ44" s="253"/>
      <c r="FR44" s="253"/>
      <c r="FS44" s="253"/>
      <c r="FT44" s="253"/>
      <c r="FU44" s="253"/>
      <c r="FV44" s="253"/>
      <c r="FW44" s="253"/>
      <c r="FX44" s="253"/>
      <c r="FY44" s="253"/>
      <c r="FZ44" s="253"/>
      <c r="GA44" s="253"/>
      <c r="GB44" s="253"/>
      <c r="GC44" s="253"/>
      <c r="GD44" s="253"/>
      <c r="GE44" s="253"/>
      <c r="GF44" s="253"/>
      <c r="GG44" s="253"/>
      <c r="GH44" s="253"/>
      <c r="GI44" s="253"/>
      <c r="GJ44" s="253"/>
      <c r="GK44" s="253"/>
      <c r="GL44" s="253"/>
      <c r="GM44" s="253"/>
      <c r="GN44" s="253"/>
      <c r="GO44" s="253"/>
      <c r="GP44" s="253"/>
      <c r="GQ44" s="253"/>
      <c r="GR44" s="253"/>
      <c r="GS44" s="253"/>
      <c r="GT44" s="253"/>
      <c r="GU44" s="253"/>
      <c r="GV44" s="253"/>
      <c r="GW44" s="253"/>
      <c r="GX44" s="253"/>
      <c r="GY44" s="253"/>
      <c r="GZ44" s="253"/>
      <c r="HA44" s="253"/>
      <c r="HB44" s="253"/>
      <c r="HC44" s="253"/>
      <c r="HD44" s="253"/>
      <c r="HE44" s="253"/>
      <c r="HF44" s="253"/>
      <c r="HG44" s="253"/>
      <c r="HH44" s="253"/>
      <c r="HI44" s="253"/>
      <c r="HJ44" s="253"/>
      <c r="HK44" s="253"/>
      <c r="HL44" s="253"/>
      <c r="HM44" s="253"/>
      <c r="HN44" s="253"/>
      <c r="HO44" s="253"/>
    </row>
    <row r="45" spans="1:29" ht="26.25" customHeight="1">
      <c r="A45" s="257"/>
      <c r="B45" s="299"/>
      <c r="C45" s="299"/>
      <c r="D45" s="324"/>
      <c r="E45" s="299"/>
      <c r="F45" s="261"/>
      <c r="G45" s="1102" t="s">
        <v>480</v>
      </c>
      <c r="H45" s="1085"/>
      <c r="I45" s="1085"/>
      <c r="J45" s="408">
        <f>10821150+3719500+145000</f>
        <v>14685650</v>
      </c>
      <c r="K45" s="1079">
        <f>SUM(J45:J46)</f>
        <v>15534470</v>
      </c>
      <c r="L45" s="1091" t="s">
        <v>879</v>
      </c>
      <c r="M45" s="1092"/>
      <c r="N45" s="1092"/>
      <c r="O45" s="1092"/>
      <c r="P45" s="1077">
        <v>2576000</v>
      </c>
      <c r="Q45" s="1079">
        <f>SUM(P45:P46)</f>
        <v>2576000</v>
      </c>
      <c r="R45" s="1075" t="s">
        <v>707</v>
      </c>
      <c r="S45" s="1076"/>
      <c r="T45" s="1076"/>
      <c r="U45" s="1076"/>
      <c r="V45" s="425">
        <v>114300</v>
      </c>
      <c r="W45" s="1126">
        <f>SUM(V45:V46)</f>
        <v>14786105</v>
      </c>
      <c r="X45" s="589"/>
      <c r="Y45" s="335"/>
      <c r="Z45" s="336"/>
      <c r="AA45" s="257"/>
      <c r="AB45" s="274"/>
      <c r="AC45" s="275"/>
    </row>
    <row r="46" spans="1:29" ht="28.5" customHeight="1" thickBot="1">
      <c r="A46" s="337"/>
      <c r="B46" s="1164" t="s">
        <v>444</v>
      </c>
      <c r="C46" s="1165"/>
      <c r="D46" s="329">
        <f>SUM('6. kiadások megbontása'!D77)</f>
        <v>39026126</v>
      </c>
      <c r="E46" s="280">
        <f>SUM('6. kiadások megbontása'!E77)</f>
        <v>2272000</v>
      </c>
      <c r="F46" s="281">
        <f>SUM(D46:E46)</f>
        <v>41298126</v>
      </c>
      <c r="G46" s="1102" t="s">
        <v>883</v>
      </c>
      <c r="H46" s="1085"/>
      <c r="I46" s="1085"/>
      <c r="J46" s="409">
        <v>848820</v>
      </c>
      <c r="K46" s="1080"/>
      <c r="L46" s="1084"/>
      <c r="M46" s="1085"/>
      <c r="N46" s="1085"/>
      <c r="O46" s="1085"/>
      <c r="P46" s="1078"/>
      <c r="Q46" s="1080"/>
      <c r="R46" s="1075" t="s">
        <v>708</v>
      </c>
      <c r="S46" s="1076"/>
      <c r="T46" s="1076"/>
      <c r="U46" s="1076"/>
      <c r="V46" s="425">
        <f>5470400+536221+144779+3402559+918691+3306421+892734</f>
        <v>14671805</v>
      </c>
      <c r="W46" s="1093"/>
      <c r="X46" s="588">
        <f>SUM(W45,Q45,K45)</f>
        <v>32896575</v>
      </c>
      <c r="Y46" s="283">
        <v>0</v>
      </c>
      <c r="Z46" s="294">
        <f>SUM(Y46,X46)</f>
        <v>32896575</v>
      </c>
      <c r="AA46" s="292">
        <f>X46-D46</f>
        <v>-6129551</v>
      </c>
      <c r="AB46" s="293">
        <f>Y46-E46</f>
        <v>-2272000</v>
      </c>
      <c r="AC46" s="286">
        <f>SUM(AA46:AB46)</f>
        <v>-8401551</v>
      </c>
    </row>
    <row r="47" spans="1:29" ht="33" customHeight="1">
      <c r="A47" s="361"/>
      <c r="B47" s="362"/>
      <c r="C47" s="411"/>
      <c r="D47" s="363"/>
      <c r="E47" s="364"/>
      <c r="F47" s="365"/>
      <c r="G47" s="1224"/>
      <c r="H47" s="1138"/>
      <c r="I47" s="1138"/>
      <c r="J47" s="366"/>
      <c r="K47" s="1079">
        <f>SUM(J47:J48)</f>
        <v>0</v>
      </c>
      <c r="L47" s="1091" t="s">
        <v>981</v>
      </c>
      <c r="M47" s="1092"/>
      <c r="N47" s="1092"/>
      <c r="O47" s="1092"/>
      <c r="P47" s="366">
        <v>278932</v>
      </c>
      <c r="Q47" s="1079">
        <f>SUM(P47)</f>
        <v>278932</v>
      </c>
      <c r="R47" s="1091" t="s">
        <v>815</v>
      </c>
      <c r="S47" s="1092"/>
      <c r="T47" s="1092"/>
      <c r="U47" s="1092"/>
      <c r="V47" s="367"/>
      <c r="W47" s="1079">
        <f>SUM(V47:V48)</f>
        <v>1443526</v>
      </c>
      <c r="X47" s="368"/>
      <c r="Y47" s="369"/>
      <c r="Z47" s="370"/>
      <c r="AA47" s="371"/>
      <c r="AB47" s="372"/>
      <c r="AC47" s="373"/>
    </row>
    <row r="48" spans="1:29" ht="27" customHeight="1" thickBot="1">
      <c r="A48" s="1163" t="s">
        <v>445</v>
      </c>
      <c r="B48" s="1164"/>
      <c r="C48" s="1165"/>
      <c r="D48" s="329">
        <f>SUM('6. kiadások megbontása'!G77)</f>
        <v>12127295</v>
      </c>
      <c r="E48" s="280">
        <f>SUM('6. kiadások megbontása'!H77)</f>
        <v>0</v>
      </c>
      <c r="F48" s="281">
        <f>SUM(D48:E48)</f>
        <v>12127295</v>
      </c>
      <c r="G48" s="302"/>
      <c r="H48" s="303"/>
      <c r="I48" s="303"/>
      <c r="J48" s="374"/>
      <c r="K48" s="1080"/>
      <c r="P48" s="262"/>
      <c r="Q48" s="1080"/>
      <c r="R48" s="1084"/>
      <c r="S48" s="1085"/>
      <c r="T48" s="1085"/>
      <c r="U48" s="1085"/>
      <c r="V48" s="262">
        <f>5642681-4199155</f>
        <v>1443526</v>
      </c>
      <c r="W48" s="1093"/>
      <c r="X48" s="588">
        <f>SUM(K48+Q47+W47)</f>
        <v>1722458</v>
      </c>
      <c r="Y48" s="283">
        <v>0</v>
      </c>
      <c r="Z48" s="294">
        <f>SUM(X48:Y48)</f>
        <v>1722458</v>
      </c>
      <c r="AA48" s="358">
        <f>X48-D48</f>
        <v>-10404837</v>
      </c>
      <c r="AB48" s="293">
        <f>Y48-E48</f>
        <v>0</v>
      </c>
      <c r="AC48" s="295">
        <f>SUM(AA48:AB48)</f>
        <v>-10404837</v>
      </c>
    </row>
    <row r="49" spans="1:223" s="404" customFormat="1" ht="33.75" customHeight="1" thickBot="1">
      <c r="A49" s="1148" t="s">
        <v>833</v>
      </c>
      <c r="B49" s="1149"/>
      <c r="C49" s="1150"/>
      <c r="D49" s="573">
        <f>SUM(D45:D48)</f>
        <v>51153421</v>
      </c>
      <c r="E49" s="574">
        <f>SUM(E45:E48)</f>
        <v>2272000</v>
      </c>
      <c r="F49" s="575">
        <f>SUM(F45:F48)</f>
        <v>53425421</v>
      </c>
      <c r="G49" s="576"/>
      <c r="H49" s="1151" t="s">
        <v>91</v>
      </c>
      <c r="I49" s="1152"/>
      <c r="J49" s="1153"/>
      <c r="K49" s="577">
        <f>SUM(K47+K45)</f>
        <v>15534470</v>
      </c>
      <c r="L49" s="412"/>
      <c r="M49" s="1081" t="s">
        <v>92</v>
      </c>
      <c r="N49" s="1081"/>
      <c r="O49" s="1081"/>
      <c r="P49" s="1082"/>
      <c r="Q49" s="577">
        <f>SUM(Q45:Q47)</f>
        <v>2854932</v>
      </c>
      <c r="R49" s="414"/>
      <c r="S49" s="1081" t="s">
        <v>93</v>
      </c>
      <c r="T49" s="1081"/>
      <c r="U49" s="1081"/>
      <c r="V49" s="1082"/>
      <c r="W49" s="578">
        <f>SUM(W45:W48)</f>
        <v>16229631</v>
      </c>
      <c r="X49" s="579">
        <f>SUM(X45:X48)</f>
        <v>34619033</v>
      </c>
      <c r="Y49" s="580">
        <f>SUM(Y45:Y48)</f>
        <v>0</v>
      </c>
      <c r="Z49" s="581">
        <f>SUM(X49:Y49)</f>
        <v>34619033</v>
      </c>
      <c r="AA49" s="582">
        <f>X49-D49</f>
        <v>-16534388</v>
      </c>
      <c r="AB49" s="583">
        <f>Y49-E49</f>
        <v>-2272000</v>
      </c>
      <c r="AC49" s="410">
        <f>SUM(AA49:AB49)</f>
        <v>-18806388</v>
      </c>
      <c r="AD49" s="419"/>
      <c r="AE49" s="419"/>
      <c r="AF49" s="419"/>
      <c r="AG49" s="419"/>
      <c r="AH49" s="419"/>
      <c r="AI49" s="419"/>
      <c r="AJ49" s="419"/>
      <c r="AK49" s="419"/>
      <c r="AL49" s="419"/>
      <c r="AM49" s="419"/>
      <c r="AN49" s="419"/>
      <c r="AO49" s="419"/>
      <c r="AP49" s="419"/>
      <c r="AQ49" s="419"/>
      <c r="AR49" s="419"/>
      <c r="AS49" s="419"/>
      <c r="AT49" s="419"/>
      <c r="AU49" s="419"/>
      <c r="AV49" s="419"/>
      <c r="AW49" s="419"/>
      <c r="AX49" s="419"/>
      <c r="AY49" s="419"/>
      <c r="AZ49" s="419"/>
      <c r="BA49" s="419"/>
      <c r="BB49" s="419"/>
      <c r="BC49" s="419"/>
      <c r="BD49" s="419"/>
      <c r="BE49" s="419"/>
      <c r="BF49" s="419"/>
      <c r="BG49" s="419"/>
      <c r="BH49" s="419"/>
      <c r="BI49" s="419"/>
      <c r="BJ49" s="419"/>
      <c r="BK49" s="419"/>
      <c r="BL49" s="419"/>
      <c r="BM49" s="419"/>
      <c r="BN49" s="419"/>
      <c r="BO49" s="419"/>
      <c r="BP49" s="419"/>
      <c r="BQ49" s="419"/>
      <c r="BR49" s="419"/>
      <c r="BS49" s="419"/>
      <c r="BT49" s="419"/>
      <c r="BU49" s="419"/>
      <c r="BV49" s="419"/>
      <c r="BW49" s="419"/>
      <c r="BX49" s="419"/>
      <c r="BY49" s="419"/>
      <c r="BZ49" s="419"/>
      <c r="CA49" s="419"/>
      <c r="CB49" s="419"/>
      <c r="CC49" s="419"/>
      <c r="CD49" s="419"/>
      <c r="CE49" s="419"/>
      <c r="CF49" s="419"/>
      <c r="CG49" s="419"/>
      <c r="CH49" s="419"/>
      <c r="CI49" s="419"/>
      <c r="CJ49" s="419"/>
      <c r="CK49" s="419"/>
      <c r="CL49" s="419"/>
      <c r="CM49" s="419"/>
      <c r="CN49" s="419"/>
      <c r="CO49" s="419"/>
      <c r="CP49" s="419"/>
      <c r="CQ49" s="419"/>
      <c r="CR49" s="419"/>
      <c r="CS49" s="419"/>
      <c r="CT49" s="419"/>
      <c r="CU49" s="419"/>
      <c r="CV49" s="419"/>
      <c r="CW49" s="419"/>
      <c r="CX49" s="419"/>
      <c r="CY49" s="419"/>
      <c r="CZ49" s="419"/>
      <c r="DA49" s="419"/>
      <c r="DB49" s="419"/>
      <c r="DC49" s="419"/>
      <c r="DD49" s="419"/>
      <c r="DE49" s="419"/>
      <c r="DF49" s="419"/>
      <c r="DG49" s="419"/>
      <c r="DH49" s="419"/>
      <c r="DI49" s="419"/>
      <c r="DJ49" s="419"/>
      <c r="DK49" s="419"/>
      <c r="DL49" s="419"/>
      <c r="DM49" s="419"/>
      <c r="DN49" s="419"/>
      <c r="DO49" s="419"/>
      <c r="DP49" s="419"/>
      <c r="DQ49" s="419"/>
      <c r="DR49" s="419"/>
      <c r="DS49" s="419"/>
      <c r="DT49" s="419"/>
      <c r="DU49" s="419"/>
      <c r="DV49" s="419"/>
      <c r="DW49" s="419"/>
      <c r="DX49" s="419"/>
      <c r="DY49" s="419"/>
      <c r="DZ49" s="419"/>
      <c r="EA49" s="419"/>
      <c r="EB49" s="419"/>
      <c r="EC49" s="419"/>
      <c r="ED49" s="419"/>
      <c r="EE49" s="419"/>
      <c r="EF49" s="419"/>
      <c r="EG49" s="419"/>
      <c r="EH49" s="419"/>
      <c r="EI49" s="419"/>
      <c r="EJ49" s="419"/>
      <c r="EK49" s="419"/>
      <c r="EL49" s="419"/>
      <c r="EM49" s="419"/>
      <c r="EN49" s="419"/>
      <c r="EO49" s="419"/>
      <c r="EP49" s="419"/>
      <c r="EQ49" s="419"/>
      <c r="ER49" s="419"/>
      <c r="ES49" s="419"/>
      <c r="ET49" s="419"/>
      <c r="EU49" s="419"/>
      <c r="EV49" s="419"/>
      <c r="EW49" s="419"/>
      <c r="EX49" s="419"/>
      <c r="EY49" s="419"/>
      <c r="EZ49" s="419"/>
      <c r="FA49" s="419"/>
      <c r="FB49" s="419"/>
      <c r="FC49" s="419"/>
      <c r="FD49" s="419"/>
      <c r="FE49" s="419"/>
      <c r="FF49" s="419"/>
      <c r="FG49" s="419"/>
      <c r="FH49" s="419"/>
      <c r="FI49" s="419"/>
      <c r="FJ49" s="419"/>
      <c r="FK49" s="419"/>
      <c r="FL49" s="419"/>
      <c r="FM49" s="419"/>
      <c r="FN49" s="419"/>
      <c r="FO49" s="419"/>
      <c r="FP49" s="419"/>
      <c r="FQ49" s="419"/>
      <c r="FR49" s="419"/>
      <c r="FS49" s="419"/>
      <c r="FT49" s="419"/>
      <c r="FU49" s="419"/>
      <c r="FV49" s="419"/>
      <c r="FW49" s="419"/>
      <c r="FX49" s="419"/>
      <c r="FY49" s="419"/>
      <c r="FZ49" s="419"/>
      <c r="GA49" s="419"/>
      <c r="GB49" s="419"/>
      <c r="GC49" s="419"/>
      <c r="GD49" s="419"/>
      <c r="GE49" s="419"/>
      <c r="GF49" s="419"/>
      <c r="GG49" s="419"/>
      <c r="GH49" s="419"/>
      <c r="GI49" s="419"/>
      <c r="GJ49" s="419"/>
      <c r="GK49" s="419"/>
      <c r="GL49" s="419"/>
      <c r="GM49" s="419"/>
      <c r="GN49" s="419"/>
      <c r="GO49" s="419"/>
      <c r="GP49" s="419"/>
      <c r="GQ49" s="419"/>
      <c r="GR49" s="419"/>
      <c r="GS49" s="419"/>
      <c r="GT49" s="419"/>
      <c r="GU49" s="419"/>
      <c r="GV49" s="419"/>
      <c r="GW49" s="419"/>
      <c r="GX49" s="419"/>
      <c r="GY49" s="419"/>
      <c r="GZ49" s="419"/>
      <c r="HA49" s="419"/>
      <c r="HB49" s="419"/>
      <c r="HC49" s="419"/>
      <c r="HD49" s="419"/>
      <c r="HE49" s="419"/>
      <c r="HF49" s="419"/>
      <c r="HG49" s="419"/>
      <c r="HH49" s="419"/>
      <c r="HI49" s="419"/>
      <c r="HJ49" s="419"/>
      <c r="HK49" s="419"/>
      <c r="HL49" s="419"/>
      <c r="HM49" s="419"/>
      <c r="HN49" s="419"/>
      <c r="HO49" s="419"/>
    </row>
    <row r="50" spans="1:29" ht="17.25" thickBot="1" thickTop="1">
      <c r="A50" s="341"/>
      <c r="B50" s="342"/>
      <c r="C50" s="342"/>
      <c r="D50" s="343"/>
      <c r="E50" s="344"/>
      <c r="F50" s="345"/>
      <c r="G50" s="344"/>
      <c r="H50" s="344"/>
      <c r="I50" s="346"/>
      <c r="J50" s="346"/>
      <c r="K50" s="347"/>
      <c r="L50" s="348"/>
      <c r="M50" s="344"/>
      <c r="N50" s="344"/>
      <c r="O50" s="344"/>
      <c r="P50" s="344"/>
      <c r="Q50" s="347"/>
      <c r="R50" s="344"/>
      <c r="S50" s="344"/>
      <c r="T50" s="344"/>
      <c r="U50" s="344"/>
      <c r="V50" s="344"/>
      <c r="W50" s="349"/>
      <c r="X50" s="350"/>
      <c r="Y50" s="351"/>
      <c r="Z50" s="352"/>
      <c r="AA50" s="341"/>
      <c r="AB50" s="353"/>
      <c r="AC50" s="354"/>
    </row>
    <row r="51" spans="1:29" ht="14.25" thickBot="1" thickTop="1">
      <c r="A51" s="1109" t="s">
        <v>676</v>
      </c>
      <c r="B51" s="1110"/>
      <c r="C51" s="1110"/>
      <c r="D51" s="1127" t="s">
        <v>353</v>
      </c>
      <c r="E51" s="1087"/>
      <c r="F51" s="1088"/>
      <c r="G51" s="1128" t="s">
        <v>465</v>
      </c>
      <c r="H51" s="1199"/>
      <c r="I51" s="1199"/>
      <c r="J51" s="1199"/>
      <c r="K51" s="1200"/>
      <c r="L51" s="1086" t="s">
        <v>466</v>
      </c>
      <c r="M51" s="1141"/>
      <c r="N51" s="1141"/>
      <c r="O51" s="1141"/>
      <c r="P51" s="1141"/>
      <c r="Q51" s="1142"/>
      <c r="R51" s="1086" t="s">
        <v>467</v>
      </c>
      <c r="S51" s="1141"/>
      <c r="T51" s="1141"/>
      <c r="U51" s="1141"/>
      <c r="V51" s="1141"/>
      <c r="W51" s="1209"/>
      <c r="X51" s="1147" t="s">
        <v>468</v>
      </c>
      <c r="Y51" s="1117"/>
      <c r="Z51" s="1117"/>
      <c r="AA51" s="1118" t="s">
        <v>86</v>
      </c>
      <c r="AB51" s="1119"/>
      <c r="AC51" s="1120"/>
    </row>
    <row r="52" spans="1:223" s="565" customFormat="1" ht="32.25" customHeight="1" thickBot="1">
      <c r="A52" s="1111"/>
      <c r="B52" s="1112"/>
      <c r="C52" s="1112"/>
      <c r="D52" s="400" t="s">
        <v>87</v>
      </c>
      <c r="E52" s="605" t="s">
        <v>84</v>
      </c>
      <c r="F52" s="256" t="s">
        <v>88</v>
      </c>
      <c r="G52" s="1201"/>
      <c r="H52" s="1202"/>
      <c r="I52" s="1202"/>
      <c r="J52" s="1202"/>
      <c r="K52" s="1203"/>
      <c r="L52" s="1143"/>
      <c r="M52" s="1144"/>
      <c r="N52" s="1144"/>
      <c r="O52" s="1144"/>
      <c r="P52" s="1144"/>
      <c r="Q52" s="1145"/>
      <c r="R52" s="1143"/>
      <c r="S52" s="1144"/>
      <c r="T52" s="1144"/>
      <c r="U52" s="1144"/>
      <c r="V52" s="1144"/>
      <c r="W52" s="1210"/>
      <c r="X52" s="590" t="s">
        <v>87</v>
      </c>
      <c r="Y52" s="400" t="s">
        <v>84</v>
      </c>
      <c r="Z52" s="591" t="s">
        <v>88</v>
      </c>
      <c r="AA52" s="399" t="s">
        <v>87</v>
      </c>
      <c r="AB52" s="400" t="s">
        <v>84</v>
      </c>
      <c r="AC52" s="256" t="s">
        <v>88</v>
      </c>
      <c r="AD52" s="584"/>
      <c r="AE52" s="584"/>
      <c r="AF52" s="584"/>
      <c r="AG52" s="584"/>
      <c r="AH52" s="584"/>
      <c r="AI52" s="584"/>
      <c r="AJ52" s="584"/>
      <c r="AK52" s="584"/>
      <c r="AL52" s="584"/>
      <c r="AM52" s="584"/>
      <c r="AN52" s="584"/>
      <c r="AO52" s="584"/>
      <c r="AP52" s="584"/>
      <c r="AQ52" s="584"/>
      <c r="AR52" s="584"/>
      <c r="AS52" s="584"/>
      <c r="AT52" s="584"/>
      <c r="AU52" s="584"/>
      <c r="AV52" s="584"/>
      <c r="AW52" s="584"/>
      <c r="AX52" s="584"/>
      <c r="AY52" s="584"/>
      <c r="AZ52" s="584"/>
      <c r="BA52" s="584"/>
      <c r="BB52" s="584"/>
      <c r="BC52" s="584"/>
      <c r="BD52" s="584"/>
      <c r="BE52" s="584"/>
      <c r="BF52" s="584"/>
      <c r="BG52" s="584"/>
      <c r="BH52" s="584"/>
      <c r="BI52" s="584"/>
      <c r="BJ52" s="584"/>
      <c r="BK52" s="584"/>
      <c r="BL52" s="584"/>
      <c r="BM52" s="584"/>
      <c r="BN52" s="584"/>
      <c r="BO52" s="584"/>
      <c r="BP52" s="584"/>
      <c r="BQ52" s="584"/>
      <c r="BR52" s="584"/>
      <c r="BS52" s="584"/>
      <c r="BT52" s="584"/>
      <c r="BU52" s="584"/>
      <c r="BV52" s="584"/>
      <c r="BW52" s="584"/>
      <c r="BX52" s="584"/>
      <c r="BY52" s="584"/>
      <c r="BZ52" s="584"/>
      <c r="CA52" s="584"/>
      <c r="CB52" s="584"/>
      <c r="CC52" s="584"/>
      <c r="CD52" s="584"/>
      <c r="CE52" s="584"/>
      <c r="CF52" s="584"/>
      <c r="CG52" s="584"/>
      <c r="CH52" s="584"/>
      <c r="CI52" s="584"/>
      <c r="CJ52" s="584"/>
      <c r="CK52" s="584"/>
      <c r="CL52" s="584"/>
      <c r="CM52" s="584"/>
      <c r="CN52" s="584"/>
      <c r="CO52" s="584"/>
      <c r="CP52" s="584"/>
      <c r="CQ52" s="584"/>
      <c r="CR52" s="584"/>
      <c r="CS52" s="584"/>
      <c r="CT52" s="584"/>
      <c r="CU52" s="584"/>
      <c r="CV52" s="584"/>
      <c r="CW52" s="584"/>
      <c r="CX52" s="584"/>
      <c r="CY52" s="584"/>
      <c r="CZ52" s="584"/>
      <c r="DA52" s="584"/>
      <c r="DB52" s="584"/>
      <c r="DC52" s="584"/>
      <c r="DD52" s="584"/>
      <c r="DE52" s="584"/>
      <c r="DF52" s="584"/>
      <c r="DG52" s="584"/>
      <c r="DH52" s="584"/>
      <c r="DI52" s="584"/>
      <c r="DJ52" s="584"/>
      <c r="DK52" s="584"/>
      <c r="DL52" s="584"/>
      <c r="DM52" s="584"/>
      <c r="DN52" s="584"/>
      <c r="DO52" s="584"/>
      <c r="DP52" s="584"/>
      <c r="DQ52" s="584"/>
      <c r="DR52" s="584"/>
      <c r="DS52" s="584"/>
      <c r="DT52" s="584"/>
      <c r="DU52" s="584"/>
      <c r="DV52" s="584"/>
      <c r="DW52" s="584"/>
      <c r="DX52" s="584"/>
      <c r="DY52" s="584"/>
      <c r="DZ52" s="584"/>
      <c r="EA52" s="584"/>
      <c r="EB52" s="584"/>
      <c r="EC52" s="584"/>
      <c r="ED52" s="584"/>
      <c r="EE52" s="584"/>
      <c r="EF52" s="584"/>
      <c r="EG52" s="584"/>
      <c r="EH52" s="584"/>
      <c r="EI52" s="584"/>
      <c r="EJ52" s="584"/>
      <c r="EK52" s="584"/>
      <c r="EL52" s="584"/>
      <c r="EM52" s="584"/>
      <c r="EN52" s="584"/>
      <c r="EO52" s="584"/>
      <c r="EP52" s="584"/>
      <c r="EQ52" s="584"/>
      <c r="ER52" s="584"/>
      <c r="ES52" s="584"/>
      <c r="ET52" s="584"/>
      <c r="EU52" s="584"/>
      <c r="EV52" s="584"/>
      <c r="EW52" s="584"/>
      <c r="EX52" s="584"/>
      <c r="EY52" s="584"/>
      <c r="EZ52" s="584"/>
      <c r="FA52" s="584"/>
      <c r="FB52" s="584"/>
      <c r="FC52" s="584"/>
      <c r="FD52" s="584"/>
      <c r="FE52" s="584"/>
      <c r="FF52" s="584"/>
      <c r="FG52" s="584"/>
      <c r="FH52" s="584"/>
      <c r="FI52" s="584"/>
      <c r="FJ52" s="584"/>
      <c r="FK52" s="584"/>
      <c r="FL52" s="584"/>
      <c r="FM52" s="584"/>
      <c r="FN52" s="584"/>
      <c r="FO52" s="584"/>
      <c r="FP52" s="584"/>
      <c r="FQ52" s="584"/>
      <c r="FR52" s="584"/>
      <c r="FS52" s="584"/>
      <c r="FT52" s="584"/>
      <c r="FU52" s="584"/>
      <c r="FV52" s="584"/>
      <c r="FW52" s="584"/>
      <c r="FX52" s="584"/>
      <c r="FY52" s="584"/>
      <c r="FZ52" s="584"/>
      <c r="GA52" s="584"/>
      <c r="GB52" s="584"/>
      <c r="GC52" s="584"/>
      <c r="GD52" s="584"/>
      <c r="GE52" s="584"/>
      <c r="GF52" s="584"/>
      <c r="GG52" s="584"/>
      <c r="GH52" s="584"/>
      <c r="GI52" s="584"/>
      <c r="GJ52" s="584"/>
      <c r="GK52" s="584"/>
      <c r="GL52" s="584"/>
      <c r="GM52" s="584"/>
      <c r="GN52" s="584"/>
      <c r="GO52" s="584"/>
      <c r="GP52" s="584"/>
      <c r="GQ52" s="584"/>
      <c r="GR52" s="584"/>
      <c r="GS52" s="584"/>
      <c r="GT52" s="584"/>
      <c r="GU52" s="584"/>
      <c r="GV52" s="584"/>
      <c r="GW52" s="584"/>
      <c r="GX52" s="584"/>
      <c r="GY52" s="584"/>
      <c r="GZ52" s="584"/>
      <c r="HA52" s="584"/>
      <c r="HB52" s="584"/>
      <c r="HC52" s="584"/>
      <c r="HD52" s="584"/>
      <c r="HE52" s="584"/>
      <c r="HF52" s="584"/>
      <c r="HG52" s="584"/>
      <c r="HH52" s="584"/>
      <c r="HI52" s="584"/>
      <c r="HJ52" s="584"/>
      <c r="HK52" s="584"/>
      <c r="HL52" s="584"/>
      <c r="HM52" s="584"/>
      <c r="HN52" s="584"/>
      <c r="HO52" s="584"/>
    </row>
    <row r="53" spans="1:29" ht="25.5" customHeight="1">
      <c r="A53" s="337"/>
      <c r="B53" s="299"/>
      <c r="C53" s="299"/>
      <c r="D53" s="324"/>
      <c r="E53" s="299"/>
      <c r="F53" s="300"/>
      <c r="G53" s="1182" t="s">
        <v>441</v>
      </c>
      <c r="H53" s="1076"/>
      <c r="I53" s="1076"/>
      <c r="J53" s="422">
        <v>17434600</v>
      </c>
      <c r="K53" s="1079">
        <f>SUM(J53:J61)</f>
        <v>208223332</v>
      </c>
      <c r="L53" s="1136"/>
      <c r="M53" s="1092"/>
      <c r="N53" s="1092"/>
      <c r="O53" s="1092"/>
      <c r="P53" s="422"/>
      <c r="Q53" s="1213">
        <f>SUM(P53:P61)</f>
        <v>0</v>
      </c>
      <c r="R53" s="1073" t="s">
        <v>473</v>
      </c>
      <c r="S53" s="1074"/>
      <c r="T53" s="1074"/>
      <c r="U53" s="1074"/>
      <c r="V53" s="425">
        <v>1411725</v>
      </c>
      <c r="W53" s="1071">
        <f>SUM(V53:V58)</f>
        <v>1961749</v>
      </c>
      <c r="X53" s="299"/>
      <c r="Y53" s="324"/>
      <c r="Z53" s="356"/>
      <c r="AA53" s="337"/>
      <c r="AB53" s="324"/>
      <c r="AC53" s="275"/>
    </row>
    <row r="54" spans="1:29" ht="25.5" customHeight="1">
      <c r="A54" s="337"/>
      <c r="B54" s="299"/>
      <c r="C54" s="323"/>
      <c r="D54" s="324"/>
      <c r="E54" s="299"/>
      <c r="F54" s="300"/>
      <c r="G54" s="1181" t="s">
        <v>556</v>
      </c>
      <c r="H54" s="1074"/>
      <c r="I54" s="1074"/>
      <c r="J54" s="422">
        <f>94595400+9013565</f>
        <v>103608965</v>
      </c>
      <c r="K54" s="1080"/>
      <c r="L54" s="1211"/>
      <c r="M54" s="1212"/>
      <c r="N54" s="1212"/>
      <c r="O54" s="1212"/>
      <c r="P54" s="301"/>
      <c r="Q54" s="1214"/>
      <c r="R54" s="1075" t="s">
        <v>671</v>
      </c>
      <c r="S54" s="1076"/>
      <c r="T54" s="1076"/>
      <c r="U54" s="1076"/>
      <c r="V54" s="425">
        <f>550024</f>
        <v>550024</v>
      </c>
      <c r="W54" s="1072"/>
      <c r="X54" s="262"/>
      <c r="Y54" s="285"/>
      <c r="Z54" s="273"/>
      <c r="AA54" s="284"/>
      <c r="AB54" s="285"/>
      <c r="AC54" s="286"/>
    </row>
    <row r="55" spans="1:29" ht="30" customHeight="1">
      <c r="A55" s="337"/>
      <c r="B55" s="299"/>
      <c r="C55" s="323"/>
      <c r="D55" s="324"/>
      <c r="E55" s="299"/>
      <c r="F55" s="300"/>
      <c r="G55" s="1181" t="s">
        <v>479</v>
      </c>
      <c r="H55" s="1074"/>
      <c r="I55" s="1074"/>
      <c r="J55" s="425">
        <f>6068200+2384560</f>
        <v>8452760</v>
      </c>
      <c r="K55" s="1080"/>
      <c r="L55" s="406"/>
      <c r="M55" s="407"/>
      <c r="N55" s="407"/>
      <c r="O55" s="407"/>
      <c r="P55" s="301"/>
      <c r="Q55" s="1214"/>
      <c r="R55" s="1073"/>
      <c r="S55" s="1074"/>
      <c r="T55" s="1074"/>
      <c r="U55" s="1074"/>
      <c r="V55" s="425"/>
      <c r="W55" s="1072"/>
      <c r="X55" s="262"/>
      <c r="Y55" s="285"/>
      <c r="Z55" s="273"/>
      <c r="AA55" s="284"/>
      <c r="AB55" s="285"/>
      <c r="AC55" s="286"/>
    </row>
    <row r="56" spans="1:29" ht="26.25" customHeight="1">
      <c r="A56" s="1163" t="s">
        <v>444</v>
      </c>
      <c r="B56" s="1188"/>
      <c r="C56" s="1189"/>
      <c r="D56" s="329">
        <f>SUM('6. kiadások megbontása'!D70)</f>
        <v>255332770</v>
      </c>
      <c r="E56" s="280">
        <f>SUM('6. kiadások megbontása'!E70)</f>
        <v>3256464</v>
      </c>
      <c r="F56" s="281">
        <f>SUM(D56:E56)</f>
        <v>258589234</v>
      </c>
      <c r="G56" s="1181" t="s">
        <v>673</v>
      </c>
      <c r="H56" s="1074"/>
      <c r="I56" s="1074"/>
      <c r="J56" s="627">
        <f>23648884+544626-1909058</f>
        <v>22284452</v>
      </c>
      <c r="K56" s="1080"/>
      <c r="L56" s="322"/>
      <c r="M56" s="299"/>
      <c r="N56" s="299"/>
      <c r="O56" s="299"/>
      <c r="P56" s="299"/>
      <c r="Q56" s="1214"/>
      <c r="R56" s="1084"/>
      <c r="S56" s="1085"/>
      <c r="T56" s="1085"/>
      <c r="U56" s="1085"/>
      <c r="V56" s="425"/>
      <c r="W56" s="1072"/>
      <c r="X56" s="357">
        <f>SUM(W53+Q53+K53)</f>
        <v>210185081</v>
      </c>
      <c r="Y56" s="293">
        <f>W59</f>
        <v>1637849</v>
      </c>
      <c r="Z56" s="294">
        <f>SUM(X56:Y56)</f>
        <v>211822930</v>
      </c>
      <c r="AA56" s="358">
        <f>X56-D56</f>
        <v>-45147689</v>
      </c>
      <c r="AB56" s="293">
        <f>Y56-E56</f>
        <v>-1618615</v>
      </c>
      <c r="AC56" s="295">
        <f>SUM(AA56:AB56)</f>
        <v>-46766304</v>
      </c>
    </row>
    <row r="57" spans="1:29" ht="29.25" customHeight="1">
      <c r="A57" s="276"/>
      <c r="B57" s="359"/>
      <c r="C57" s="511"/>
      <c r="D57" s="329"/>
      <c r="E57" s="280"/>
      <c r="F57" s="281"/>
      <c r="G57" s="1181" t="s">
        <v>675</v>
      </c>
      <c r="H57" s="1074"/>
      <c r="I57" s="1074"/>
      <c r="J57" s="425">
        <f>3740000+18150000+418000+2277000</f>
        <v>24585000</v>
      </c>
      <c r="K57" s="1080"/>
      <c r="L57" s="322"/>
      <c r="M57" s="299"/>
      <c r="N57" s="299"/>
      <c r="O57" s="299"/>
      <c r="P57" s="360"/>
      <c r="Q57" s="1214"/>
      <c r="R57" s="1084"/>
      <c r="S57" s="1085"/>
      <c r="T57" s="1085"/>
      <c r="U57" s="1085"/>
      <c r="V57" s="425"/>
      <c r="W57" s="1072"/>
      <c r="X57" s="339"/>
      <c r="Y57" s="283"/>
      <c r="Z57" s="294"/>
      <c r="AA57" s="292"/>
      <c r="AB57" s="293"/>
      <c r="AC57" s="286"/>
    </row>
    <row r="58" spans="1:29" ht="29.25" customHeight="1" thickBot="1">
      <c r="A58" s="276"/>
      <c r="B58" s="359"/>
      <c r="C58" s="511"/>
      <c r="D58" s="329"/>
      <c r="E58" s="280"/>
      <c r="F58" s="281"/>
      <c r="G58" s="1181" t="s">
        <v>720</v>
      </c>
      <c r="H58" s="1074"/>
      <c r="I58" s="1074"/>
      <c r="J58" s="425">
        <v>7303142</v>
      </c>
      <c r="K58" s="1080"/>
      <c r="L58" s="322"/>
      <c r="M58" s="299"/>
      <c r="N58" s="299"/>
      <c r="O58" s="299"/>
      <c r="P58" s="360"/>
      <c r="Q58" s="1214"/>
      <c r="R58" s="405"/>
      <c r="S58" s="508"/>
      <c r="T58" s="508"/>
      <c r="U58" s="508"/>
      <c r="V58" s="425"/>
      <c r="W58" s="1072"/>
      <c r="X58" s="339"/>
      <c r="Y58" s="283"/>
      <c r="Z58" s="294"/>
      <c r="AA58" s="292"/>
      <c r="AB58" s="293"/>
      <c r="AC58" s="286"/>
    </row>
    <row r="59" spans="1:29" ht="29.25" customHeight="1">
      <c r="A59" s="276"/>
      <c r="B59" s="359"/>
      <c r="C59" s="511"/>
      <c r="D59" s="329"/>
      <c r="E59" s="280"/>
      <c r="F59" s="281"/>
      <c r="G59" s="1181" t="s">
        <v>705</v>
      </c>
      <c r="H59" s="1074"/>
      <c r="I59" s="1074"/>
      <c r="J59" s="422">
        <f>11944000+436500+190000</f>
        <v>12570500</v>
      </c>
      <c r="K59" s="1080"/>
      <c r="L59" s="322"/>
      <c r="M59" s="299"/>
      <c r="N59" s="299"/>
      <c r="O59" s="299"/>
      <c r="P59" s="360"/>
      <c r="Q59" s="1214"/>
      <c r="R59" s="1103" t="s">
        <v>666</v>
      </c>
      <c r="S59" s="1104"/>
      <c r="T59" s="1104"/>
      <c r="U59" s="1104"/>
      <c r="V59" s="568">
        <f>1130000+507849</f>
        <v>1637849</v>
      </c>
      <c r="W59" s="1071">
        <f>SUM(V59:V61)</f>
        <v>1637849</v>
      </c>
      <c r="X59" s="339"/>
      <c r="Y59" s="283"/>
      <c r="Z59" s="294"/>
      <c r="AA59" s="292"/>
      <c r="AB59" s="293"/>
      <c r="AC59" s="286"/>
    </row>
    <row r="60" spans="1:29" ht="29.25" customHeight="1">
      <c r="A60" s="276"/>
      <c r="B60" s="359"/>
      <c r="C60" s="511"/>
      <c r="D60" s="329"/>
      <c r="E60" s="280"/>
      <c r="F60" s="281"/>
      <c r="G60" s="1102" t="s">
        <v>883</v>
      </c>
      <c r="H60" s="1085"/>
      <c r="I60" s="1085"/>
      <c r="J60" s="422">
        <f>254623+9577+12631+10068391</f>
        <v>10345222</v>
      </c>
      <c r="K60" s="1080"/>
      <c r="L60" s="322"/>
      <c r="M60" s="299"/>
      <c r="N60" s="299"/>
      <c r="O60" s="299"/>
      <c r="P60" s="360"/>
      <c r="Q60" s="1214"/>
      <c r="R60" s="405"/>
      <c r="S60" s="508"/>
      <c r="T60" s="508"/>
      <c r="U60" s="508"/>
      <c r="V60" s="425"/>
      <c r="W60" s="1072"/>
      <c r="X60" s="339"/>
      <c r="Y60" s="283"/>
      <c r="Z60" s="294"/>
      <c r="AA60" s="292"/>
      <c r="AB60" s="293"/>
      <c r="AC60" s="286"/>
    </row>
    <row r="61" spans="1:29" ht="29.25" customHeight="1" thickBot="1">
      <c r="A61" s="276"/>
      <c r="B61" s="359"/>
      <c r="C61" s="511"/>
      <c r="D61" s="329"/>
      <c r="E61" s="280"/>
      <c r="F61" s="281"/>
      <c r="G61" s="1181" t="s">
        <v>764</v>
      </c>
      <c r="H61" s="1074"/>
      <c r="I61" s="1074"/>
      <c r="J61" s="630">
        <f>1598100+40591</f>
        <v>1638691</v>
      </c>
      <c r="K61" s="1080"/>
      <c r="L61" s="322"/>
      <c r="M61" s="299"/>
      <c r="N61" s="299"/>
      <c r="O61" s="299"/>
      <c r="P61" s="360"/>
      <c r="Q61" s="1214"/>
      <c r="R61" s="405"/>
      <c r="S61" s="508"/>
      <c r="T61" s="508"/>
      <c r="U61" s="508"/>
      <c r="V61" s="425"/>
      <c r="W61" s="1083"/>
      <c r="X61" s="339"/>
      <c r="Y61" s="283"/>
      <c r="Z61" s="294"/>
      <c r="AA61" s="292"/>
      <c r="AB61" s="293"/>
      <c r="AC61" s="286"/>
    </row>
    <row r="62" spans="1:29" ht="29.25" customHeight="1">
      <c r="A62" s="361"/>
      <c r="B62" s="362"/>
      <c r="C62" s="411"/>
      <c r="D62" s="363"/>
      <c r="E62" s="364"/>
      <c r="F62" s="365"/>
      <c r="G62" s="660"/>
      <c r="H62" s="659"/>
      <c r="I62" s="659"/>
      <c r="J62" s="629"/>
      <c r="K62" s="615"/>
      <c r="L62" s="1136" t="s">
        <v>878</v>
      </c>
      <c r="M62" s="1092"/>
      <c r="N62" s="1092"/>
      <c r="O62" s="1092"/>
      <c r="P62" s="366">
        <f>5354163+7000000</f>
        <v>12354163</v>
      </c>
      <c r="Q62" s="1215">
        <f>SUM(P62:P64)</f>
        <v>21717802</v>
      </c>
      <c r="R62" s="1096" t="s">
        <v>982</v>
      </c>
      <c r="S62" s="1097"/>
      <c r="T62" s="1097"/>
      <c r="U62" s="1097"/>
      <c r="V62" s="366">
        <v>348851</v>
      </c>
      <c r="W62" s="1071">
        <f>SUM(V62:V64)</f>
        <v>18641229</v>
      </c>
      <c r="X62" s="664"/>
      <c r="Y62" s="369"/>
      <c r="Z62" s="370"/>
      <c r="AA62" s="371"/>
      <c r="AB62" s="372"/>
      <c r="AC62" s="373"/>
    </row>
    <row r="63" spans="1:29" ht="29.25" customHeight="1">
      <c r="A63" s="276"/>
      <c r="B63" s="359"/>
      <c r="C63" s="511"/>
      <c r="D63" s="329"/>
      <c r="E63" s="280"/>
      <c r="F63" s="281"/>
      <c r="G63" s="831"/>
      <c r="H63" s="609"/>
      <c r="I63" s="609"/>
      <c r="J63" s="630"/>
      <c r="K63" s="658"/>
      <c r="L63" s="1084" t="s">
        <v>981</v>
      </c>
      <c r="M63" s="1085"/>
      <c r="N63" s="1085"/>
      <c r="O63" s="1085"/>
      <c r="P63" s="421">
        <f>1952578-54</f>
        <v>1952524</v>
      </c>
      <c r="Q63" s="1216"/>
      <c r="R63" s="1084" t="s">
        <v>983</v>
      </c>
      <c r="S63" s="1085"/>
      <c r="T63" s="1085"/>
      <c r="U63" s="1085"/>
      <c r="V63" s="421">
        <v>31954</v>
      </c>
      <c r="W63" s="1072"/>
      <c r="X63" s="339"/>
      <c r="Y63" s="283"/>
      <c r="Z63" s="294"/>
      <c r="AA63" s="292"/>
      <c r="AB63" s="293"/>
      <c r="AC63" s="286"/>
    </row>
    <row r="64" spans="1:29" ht="27.75" customHeight="1" thickBot="1">
      <c r="A64" s="1196" t="s">
        <v>445</v>
      </c>
      <c r="B64" s="1197"/>
      <c r="C64" s="1198"/>
      <c r="D64" s="661">
        <f>SUM('6. kiadások megbontása'!G70)</f>
        <v>46986418</v>
      </c>
      <c r="E64" s="661">
        <f>SUM('6. kiadások megbontása'!H70)</f>
        <v>111425</v>
      </c>
      <c r="F64" s="662">
        <f>SUM(D64:E64)</f>
        <v>47097843</v>
      </c>
      <c r="G64" s="1181"/>
      <c r="H64" s="1074"/>
      <c r="I64" s="1074"/>
      <c r="J64" s="422"/>
      <c r="K64" s="658">
        <f>SUM(J64:J64)</f>
        <v>0</v>
      </c>
      <c r="L64" s="1218" t="s">
        <v>717</v>
      </c>
      <c r="M64" s="1108"/>
      <c r="N64" s="1108"/>
      <c r="O64" s="1108"/>
      <c r="P64" s="421">
        <v>7411115</v>
      </c>
      <c r="Q64" s="1217"/>
      <c r="R64" s="1124" t="s">
        <v>816</v>
      </c>
      <c r="S64" s="1125"/>
      <c r="T64" s="1125"/>
      <c r="U64" s="1125"/>
      <c r="V64" s="421">
        <f>7760424+10500000</f>
        <v>18260424</v>
      </c>
      <c r="W64" s="1083"/>
      <c r="X64" s="663">
        <f>SUM(K64+Q62+W62)</f>
        <v>40359031</v>
      </c>
      <c r="Y64" s="283">
        <v>0</v>
      </c>
      <c r="Z64" s="286">
        <f>SUM(X64:Y64)</f>
        <v>40359031</v>
      </c>
      <c r="AA64" s="588">
        <f>X64-D64</f>
        <v>-6627387</v>
      </c>
      <c r="AB64" s="283">
        <f>Y64-E64</f>
        <v>-111425</v>
      </c>
      <c r="AC64" s="321">
        <f>SUM(AA64:AB64)</f>
        <v>-6738812</v>
      </c>
    </row>
    <row r="65" spans="1:223" s="404" customFormat="1" ht="44.25" customHeight="1" thickBot="1" thickTop="1">
      <c r="A65" s="1190" t="s">
        <v>718</v>
      </c>
      <c r="B65" s="1191"/>
      <c r="C65" s="1192"/>
      <c r="D65" s="616">
        <f>SUM(D54:D64)</f>
        <v>302319188</v>
      </c>
      <c r="E65" s="617">
        <f>SUM(E54:E64)</f>
        <v>3367889</v>
      </c>
      <c r="F65" s="618">
        <f>SUM(D65:E65)</f>
        <v>305687077</v>
      </c>
      <c r="G65" s="572"/>
      <c r="H65" s="1151" t="s">
        <v>91</v>
      </c>
      <c r="I65" s="1152"/>
      <c r="J65" s="1153"/>
      <c r="K65" s="413">
        <f>SUM(K53:K64)</f>
        <v>208223332</v>
      </c>
      <c r="L65" s="412"/>
      <c r="M65" s="1081" t="s">
        <v>92</v>
      </c>
      <c r="N65" s="1081"/>
      <c r="O65" s="1081"/>
      <c r="P65" s="1082"/>
      <c r="Q65" s="413">
        <f>SUM(Q53:Q62)</f>
        <v>21717802</v>
      </c>
      <c r="R65" s="414"/>
      <c r="S65" s="1081" t="s">
        <v>93</v>
      </c>
      <c r="T65" s="1081"/>
      <c r="U65" s="1081"/>
      <c r="V65" s="1082"/>
      <c r="W65" s="413">
        <f>SUM(W53:W62)</f>
        <v>22240827</v>
      </c>
      <c r="X65" s="415">
        <f>SUM(X52:X64)</f>
        <v>250544112</v>
      </c>
      <c r="Y65" s="416">
        <f>SUM(Y52:Y64)</f>
        <v>1637849</v>
      </c>
      <c r="Z65" s="417">
        <f>SUM(X65:Y65)</f>
        <v>252181961</v>
      </c>
      <c r="AA65" s="415">
        <f>X65-D65</f>
        <v>-51775076</v>
      </c>
      <c r="AB65" s="418">
        <f>Y65-E65</f>
        <v>-1730040</v>
      </c>
      <c r="AC65" s="417">
        <f>SUM(AA65:AB65)</f>
        <v>-53505116</v>
      </c>
      <c r="AD65" s="419"/>
      <c r="AE65" s="419"/>
      <c r="AF65" s="419"/>
      <c r="AG65" s="419"/>
      <c r="AH65" s="419"/>
      <c r="AI65" s="419"/>
      <c r="AJ65" s="419"/>
      <c r="AK65" s="419"/>
      <c r="AL65" s="419"/>
      <c r="AM65" s="419"/>
      <c r="AN65" s="419"/>
      <c r="AO65" s="419"/>
      <c r="AP65" s="419"/>
      <c r="AQ65" s="419"/>
      <c r="AR65" s="419"/>
      <c r="AS65" s="419"/>
      <c r="AT65" s="419"/>
      <c r="AU65" s="419"/>
      <c r="AV65" s="419"/>
      <c r="AW65" s="419"/>
      <c r="AX65" s="419"/>
      <c r="AY65" s="419"/>
      <c r="AZ65" s="419"/>
      <c r="BA65" s="419"/>
      <c r="BB65" s="419"/>
      <c r="BC65" s="419"/>
      <c r="BD65" s="419"/>
      <c r="BE65" s="419"/>
      <c r="BF65" s="419"/>
      <c r="BG65" s="419"/>
      <c r="BH65" s="419"/>
      <c r="BI65" s="419"/>
      <c r="BJ65" s="419"/>
      <c r="BK65" s="419"/>
      <c r="BL65" s="419"/>
      <c r="BM65" s="419"/>
      <c r="BN65" s="419"/>
      <c r="BO65" s="419"/>
      <c r="BP65" s="419"/>
      <c r="BQ65" s="419"/>
      <c r="BR65" s="419"/>
      <c r="BS65" s="419"/>
      <c r="BT65" s="419"/>
      <c r="BU65" s="419"/>
      <c r="BV65" s="419"/>
      <c r="BW65" s="419"/>
      <c r="BX65" s="419"/>
      <c r="BY65" s="419"/>
      <c r="BZ65" s="419"/>
      <c r="CA65" s="419"/>
      <c r="CB65" s="419"/>
      <c r="CC65" s="419"/>
      <c r="CD65" s="419"/>
      <c r="CE65" s="419"/>
      <c r="CF65" s="419"/>
      <c r="CG65" s="419"/>
      <c r="CH65" s="419"/>
      <c r="CI65" s="419"/>
      <c r="CJ65" s="419"/>
      <c r="CK65" s="419"/>
      <c r="CL65" s="419"/>
      <c r="CM65" s="419"/>
      <c r="CN65" s="419"/>
      <c r="CO65" s="419"/>
      <c r="CP65" s="419"/>
      <c r="CQ65" s="419"/>
      <c r="CR65" s="419"/>
      <c r="CS65" s="419"/>
      <c r="CT65" s="419"/>
      <c r="CU65" s="419"/>
      <c r="CV65" s="419"/>
      <c r="CW65" s="419"/>
      <c r="CX65" s="419"/>
      <c r="CY65" s="419"/>
      <c r="CZ65" s="419"/>
      <c r="DA65" s="419"/>
      <c r="DB65" s="419"/>
      <c r="DC65" s="419"/>
      <c r="DD65" s="419"/>
      <c r="DE65" s="419"/>
      <c r="DF65" s="419"/>
      <c r="DG65" s="419"/>
      <c r="DH65" s="419"/>
      <c r="DI65" s="419"/>
      <c r="DJ65" s="419"/>
      <c r="DK65" s="419"/>
      <c r="DL65" s="419"/>
      <c r="DM65" s="419"/>
      <c r="DN65" s="419"/>
      <c r="DO65" s="419"/>
      <c r="DP65" s="419"/>
      <c r="DQ65" s="419"/>
      <c r="DR65" s="419"/>
      <c r="DS65" s="419"/>
      <c r="DT65" s="419"/>
      <c r="DU65" s="419"/>
      <c r="DV65" s="419"/>
      <c r="DW65" s="419"/>
      <c r="DX65" s="419"/>
      <c r="DY65" s="419"/>
      <c r="DZ65" s="419"/>
      <c r="EA65" s="419"/>
      <c r="EB65" s="419"/>
      <c r="EC65" s="419"/>
      <c r="ED65" s="419"/>
      <c r="EE65" s="419"/>
      <c r="EF65" s="419"/>
      <c r="EG65" s="419"/>
      <c r="EH65" s="419"/>
      <c r="EI65" s="419"/>
      <c r="EJ65" s="419"/>
      <c r="EK65" s="419"/>
      <c r="EL65" s="419"/>
      <c r="EM65" s="419"/>
      <c r="EN65" s="419"/>
      <c r="EO65" s="419"/>
      <c r="EP65" s="419"/>
      <c r="EQ65" s="419"/>
      <c r="ER65" s="419"/>
      <c r="ES65" s="419"/>
      <c r="ET65" s="419"/>
      <c r="EU65" s="419"/>
      <c r="EV65" s="419"/>
      <c r="EW65" s="419"/>
      <c r="EX65" s="419"/>
      <c r="EY65" s="419"/>
      <c r="EZ65" s="419"/>
      <c r="FA65" s="419"/>
      <c r="FB65" s="419"/>
      <c r="FC65" s="419"/>
      <c r="FD65" s="419"/>
      <c r="FE65" s="419"/>
      <c r="FF65" s="419"/>
      <c r="FG65" s="419"/>
      <c r="FH65" s="419"/>
      <c r="FI65" s="419"/>
      <c r="FJ65" s="419"/>
      <c r="FK65" s="419"/>
      <c r="FL65" s="419"/>
      <c r="FM65" s="419"/>
      <c r="FN65" s="419"/>
      <c r="FO65" s="419"/>
      <c r="FP65" s="419"/>
      <c r="FQ65" s="419"/>
      <c r="FR65" s="419"/>
      <c r="FS65" s="419"/>
      <c r="FT65" s="419"/>
      <c r="FU65" s="419"/>
      <c r="FV65" s="419"/>
      <c r="FW65" s="419"/>
      <c r="FX65" s="419"/>
      <c r="FY65" s="419"/>
      <c r="FZ65" s="419"/>
      <c r="GA65" s="419"/>
      <c r="GB65" s="419"/>
      <c r="GC65" s="419"/>
      <c r="GD65" s="419"/>
      <c r="GE65" s="419"/>
      <c r="GF65" s="419"/>
      <c r="GG65" s="419"/>
      <c r="GH65" s="419"/>
      <c r="GI65" s="419"/>
      <c r="GJ65" s="419"/>
      <c r="GK65" s="419"/>
      <c r="GL65" s="419"/>
      <c r="GM65" s="419"/>
      <c r="GN65" s="419"/>
      <c r="GO65" s="419"/>
      <c r="GP65" s="419"/>
      <c r="GQ65" s="419"/>
      <c r="GR65" s="419"/>
      <c r="GS65" s="419"/>
      <c r="GT65" s="419"/>
      <c r="GU65" s="419"/>
      <c r="GV65" s="419"/>
      <c r="GW65" s="419"/>
      <c r="GX65" s="419"/>
      <c r="GY65" s="419"/>
      <c r="GZ65" s="419"/>
      <c r="HA65" s="419"/>
      <c r="HB65" s="419"/>
      <c r="HC65" s="419"/>
      <c r="HD65" s="419"/>
      <c r="HE65" s="419"/>
      <c r="HF65" s="419"/>
      <c r="HG65" s="419"/>
      <c r="HH65" s="419"/>
      <c r="HI65" s="419"/>
      <c r="HJ65" s="419"/>
      <c r="HK65" s="419"/>
      <c r="HL65" s="419"/>
      <c r="HM65" s="419"/>
      <c r="HN65" s="419"/>
      <c r="HO65" s="419"/>
    </row>
    <row r="66" spans="1:29" ht="21" customHeight="1" thickBot="1" thickTop="1">
      <c r="A66" s="1183" t="s">
        <v>356</v>
      </c>
      <c r="B66" s="1184"/>
      <c r="C66" s="1185"/>
      <c r="D66" s="375">
        <f>SUM(D65,D42,D34,D49)</f>
        <v>1426297342</v>
      </c>
      <c r="E66" s="375">
        <f>SUM(E65,E42,E34,E49)</f>
        <v>973251341</v>
      </c>
      <c r="F66" s="376">
        <f>SUM(D66:E66)</f>
        <v>2399548683</v>
      </c>
      <c r="G66" s="377"/>
      <c r="H66" s="1193" t="s">
        <v>94</v>
      </c>
      <c r="I66" s="1194"/>
      <c r="J66" s="1195"/>
      <c r="K66" s="379">
        <f>SUM(K65,K42,K34,K49)</f>
        <v>555473557</v>
      </c>
      <c r="L66" s="378"/>
      <c r="M66" s="1206" t="s">
        <v>95</v>
      </c>
      <c r="N66" s="1206"/>
      <c r="O66" s="1206"/>
      <c r="P66" s="1207"/>
      <c r="Q66" s="379">
        <f>SUM(Q65,Q42,Q34,Q49)</f>
        <v>289207317</v>
      </c>
      <c r="R66" s="380"/>
      <c r="S66" s="1206" t="s">
        <v>96</v>
      </c>
      <c r="T66" s="1206"/>
      <c r="U66" s="1206"/>
      <c r="V66" s="1207"/>
      <c r="W66" s="586">
        <f>SUM(W65,W42,W34,W49)</f>
        <v>1554867809</v>
      </c>
      <c r="X66" s="587">
        <f>SUM(X65,X42,X34,X49)</f>
        <v>1364475876</v>
      </c>
      <c r="Y66" s="381">
        <f>SUM(Y65,Y42,Y34,Y49)</f>
        <v>1035072807</v>
      </c>
      <c r="Z66" s="382">
        <f>SUM(W66+Q66+K66)</f>
        <v>2399548683</v>
      </c>
      <c r="AA66" s="381">
        <f>SUM(AA65,AA42,AA34,AA49)</f>
        <v>-61821466</v>
      </c>
      <c r="AB66" s="381">
        <f>SUM(AB65,AB42,AB34,AB49)</f>
        <v>61821466</v>
      </c>
      <c r="AC66" s="562">
        <f>SUM(AC65,AC42,AC34,AC49)</f>
        <v>0</v>
      </c>
    </row>
    <row r="67" spans="1:29" ht="19.5" thickTop="1">
      <c r="A67" s="1186"/>
      <c r="B67" s="1187"/>
      <c r="C67" s="1187"/>
      <c r="D67" s="355"/>
      <c r="E67" s="355"/>
      <c r="F67" s="355"/>
      <c r="G67" s="310"/>
      <c r="H67" s="310"/>
      <c r="I67" s="310"/>
      <c r="J67" s="383"/>
      <c r="K67" s="334"/>
      <c r="L67" s="308"/>
      <c r="M67" s="299"/>
      <c r="N67" s="299"/>
      <c r="O67" s="299"/>
      <c r="P67" s="299"/>
      <c r="Q67" s="299"/>
      <c r="R67" s="308"/>
      <c r="S67" s="355"/>
      <c r="T67" s="355"/>
      <c r="U67" s="355"/>
      <c r="V67" s="355"/>
      <c r="W67" s="355"/>
      <c r="X67" s="355"/>
      <c r="Y67" s="355"/>
      <c r="Z67" s="355"/>
      <c r="AA67" s="355"/>
      <c r="AB67" s="355"/>
      <c r="AC67" s="308"/>
    </row>
    <row r="68" spans="1:29" ht="15.75">
      <c r="A68" s="355"/>
      <c r="B68" s="355"/>
      <c r="C68" s="355"/>
      <c r="D68" s="1204" t="s">
        <v>442</v>
      </c>
      <c r="E68" s="1205"/>
      <c r="F68" s="1205"/>
      <c r="G68" s="264"/>
      <c r="H68" s="264"/>
      <c r="I68" s="264"/>
      <c r="J68" s="258"/>
      <c r="K68" s="334"/>
      <c r="L68" s="299"/>
      <c r="M68" s="299"/>
      <c r="N68" s="299"/>
      <c r="O68" s="299"/>
      <c r="P68" s="299"/>
      <c r="Q68" s="299"/>
      <c r="R68" s="299"/>
      <c r="S68" s="355"/>
      <c r="T68" s="355"/>
      <c r="U68" s="355"/>
      <c r="V68" s="355"/>
      <c r="W68" s="1204" t="s">
        <v>97</v>
      </c>
      <c r="X68" s="1205"/>
      <c r="Y68" s="1205"/>
      <c r="Z68" s="384"/>
      <c r="AA68" s="1204" t="s">
        <v>86</v>
      </c>
      <c r="AB68" s="1205"/>
      <c r="AC68" s="1205"/>
    </row>
    <row r="69" spans="1:29" ht="15.75">
      <c r="A69" s="355"/>
      <c r="B69" s="355"/>
      <c r="C69" s="355"/>
      <c r="D69" s="385" t="s">
        <v>87</v>
      </c>
      <c r="E69" s="385" t="s">
        <v>98</v>
      </c>
      <c r="F69" s="385" t="s">
        <v>88</v>
      </c>
      <c r="G69" s="264"/>
      <c r="H69" s="264"/>
      <c r="I69" s="264"/>
      <c r="J69" s="258"/>
      <c r="K69" s="334"/>
      <c r="L69" s="299"/>
      <c r="M69" s="299"/>
      <c r="N69" s="299"/>
      <c r="O69" s="299"/>
      <c r="P69" s="299"/>
      <c r="Q69" s="299"/>
      <c r="R69" s="299"/>
      <c r="S69" s="1208"/>
      <c r="T69" s="1208"/>
      <c r="U69" s="1208"/>
      <c r="V69" s="1208"/>
      <c r="W69" s="385" t="s">
        <v>87</v>
      </c>
      <c r="X69" s="385" t="s">
        <v>98</v>
      </c>
      <c r="Y69" s="385" t="s">
        <v>88</v>
      </c>
      <c r="Z69" s="386"/>
      <c r="AA69" s="385" t="s">
        <v>87</v>
      </c>
      <c r="AB69" s="385" t="s">
        <v>98</v>
      </c>
      <c r="AC69" s="385" t="s">
        <v>88</v>
      </c>
    </row>
    <row r="70" spans="1:29" ht="15.75">
      <c r="A70" s="355"/>
      <c r="B70" s="355"/>
      <c r="C70" s="387" t="s">
        <v>99</v>
      </c>
      <c r="D70" s="355"/>
      <c r="E70" s="355"/>
      <c r="F70" s="355"/>
      <c r="G70" s="264"/>
      <c r="H70" s="264"/>
      <c r="I70" s="264"/>
      <c r="J70" s="258"/>
      <c r="K70" s="334"/>
      <c r="L70" s="299"/>
      <c r="M70" s="299"/>
      <c r="N70" s="299"/>
      <c r="O70" s="299"/>
      <c r="P70" s="299"/>
      <c r="Q70" s="299"/>
      <c r="R70" s="299"/>
      <c r="S70" s="355"/>
      <c r="T70" s="387" t="s">
        <v>99</v>
      </c>
      <c r="U70" s="355"/>
      <c r="V70" s="1204"/>
      <c r="W70" s="1205"/>
      <c r="X70" s="355"/>
      <c r="Y70" s="355"/>
      <c r="Z70" s="355"/>
      <c r="AA70" s="355"/>
      <c r="AB70" s="355"/>
      <c r="AC70" s="299"/>
    </row>
    <row r="71" spans="1:29" ht="15.75">
      <c r="A71" s="355"/>
      <c r="B71" s="355"/>
      <c r="C71" s="355" t="s">
        <v>100</v>
      </c>
      <c r="D71" s="388">
        <f>SUM(D10)</f>
        <v>680793218</v>
      </c>
      <c r="E71" s="388">
        <f>SUM(E10)</f>
        <v>309798326</v>
      </c>
      <c r="F71" s="388">
        <f>SUM(D71:E71)</f>
        <v>990591544</v>
      </c>
      <c r="G71" s="264"/>
      <c r="H71" s="264"/>
      <c r="I71" s="264"/>
      <c r="J71" s="258"/>
      <c r="K71" s="334"/>
      <c r="L71" s="299"/>
      <c r="M71" s="299"/>
      <c r="N71" s="299"/>
      <c r="O71" s="299"/>
      <c r="P71" s="299"/>
      <c r="Q71" s="299"/>
      <c r="R71" s="299"/>
      <c r="S71" s="355"/>
      <c r="T71" s="355" t="s">
        <v>100</v>
      </c>
      <c r="U71" s="355"/>
      <c r="V71" s="355"/>
      <c r="W71" s="388">
        <f>SUM(X15)</f>
        <v>684455179</v>
      </c>
      <c r="X71" s="388">
        <f>Y15</f>
        <v>361877002</v>
      </c>
      <c r="Y71" s="388">
        <f>SUM(W71:X71)</f>
        <v>1046332181</v>
      </c>
      <c r="Z71" s="340"/>
      <c r="AA71" s="388">
        <f aca="true" t="shared" si="0" ref="AA71:AB74">W71-D71</f>
        <v>3661961</v>
      </c>
      <c r="AB71" s="388">
        <f t="shared" si="0"/>
        <v>52078676</v>
      </c>
      <c r="AC71" s="340">
        <f>SUM(AA71:AB71)</f>
        <v>55740637</v>
      </c>
    </row>
    <row r="72" spans="1:29" ht="15.75">
      <c r="A72" s="355"/>
      <c r="B72" s="355"/>
      <c r="C72" s="355" t="s">
        <v>361</v>
      </c>
      <c r="D72" s="388">
        <f>SUM(D40)</f>
        <v>136956381</v>
      </c>
      <c r="E72" s="388">
        <f>SUM(E40)</f>
        <v>2346482</v>
      </c>
      <c r="F72" s="388">
        <f>SUM(D72:E72)</f>
        <v>139302863</v>
      </c>
      <c r="G72" s="264"/>
      <c r="H72" s="264"/>
      <c r="I72" s="264"/>
      <c r="J72" s="389"/>
      <c r="K72" s="334"/>
      <c r="L72" s="299"/>
      <c r="M72" s="299"/>
      <c r="N72" s="299"/>
      <c r="O72" s="299"/>
      <c r="P72" s="299"/>
      <c r="Q72" s="299"/>
      <c r="R72" s="299"/>
      <c r="S72" s="355"/>
      <c r="T72" s="355" t="s">
        <v>361</v>
      </c>
      <c r="U72" s="355"/>
      <c r="V72" s="355"/>
      <c r="W72" s="388">
        <f>SUM(X40)</f>
        <v>150836770</v>
      </c>
      <c r="X72" s="388">
        <f>Y40</f>
        <v>0</v>
      </c>
      <c r="Y72" s="388">
        <f>SUM(W72:X72)</f>
        <v>150836770</v>
      </c>
      <c r="Z72" s="340"/>
      <c r="AA72" s="388">
        <f t="shared" si="0"/>
        <v>13880389</v>
      </c>
      <c r="AB72" s="388">
        <f t="shared" si="0"/>
        <v>-2346482</v>
      </c>
      <c r="AC72" s="340">
        <f>SUM(AA72:AB72)</f>
        <v>11533907</v>
      </c>
    </row>
    <row r="73" spans="1:29" ht="15.75">
      <c r="A73" s="355"/>
      <c r="B73" s="355"/>
      <c r="C73" s="355" t="s">
        <v>704</v>
      </c>
      <c r="D73" s="388">
        <f>SUM(D46)</f>
        <v>39026126</v>
      </c>
      <c r="E73" s="388">
        <f>SUM(E46)</f>
        <v>2272000</v>
      </c>
      <c r="F73" s="388">
        <f>SUM(D73:E73)</f>
        <v>41298126</v>
      </c>
      <c r="G73" s="264"/>
      <c r="H73" s="264"/>
      <c r="I73" s="264"/>
      <c r="J73" s="389"/>
      <c r="K73" s="334"/>
      <c r="L73" s="299"/>
      <c r="M73" s="299"/>
      <c r="N73" s="299"/>
      <c r="O73" s="299"/>
      <c r="P73" s="299"/>
      <c r="Q73" s="299"/>
      <c r="R73" s="299"/>
      <c r="S73" s="355"/>
      <c r="T73" s="355" t="s">
        <v>715</v>
      </c>
      <c r="U73" s="355"/>
      <c r="V73" s="355"/>
      <c r="W73" s="388">
        <f>SUM(X46)</f>
        <v>32896575</v>
      </c>
      <c r="X73" s="388">
        <f>SUM(Y46)</f>
        <v>0</v>
      </c>
      <c r="Y73" s="388">
        <f>SUM(W73:X73)</f>
        <v>32896575</v>
      </c>
      <c r="Z73" s="340"/>
      <c r="AA73" s="388">
        <f>W73-D73</f>
        <v>-6129551</v>
      </c>
      <c r="AB73" s="388">
        <f>X73-E73</f>
        <v>-2272000</v>
      </c>
      <c r="AC73" s="340">
        <f>SUM(AA73:AB73)</f>
        <v>-8401551</v>
      </c>
    </row>
    <row r="74" spans="1:29" ht="12.75">
      <c r="A74" s="355"/>
      <c r="B74" s="355"/>
      <c r="C74" s="390" t="s">
        <v>101</v>
      </c>
      <c r="D74" s="391">
        <f>SUM(D56)</f>
        <v>255332770</v>
      </c>
      <c r="E74" s="391">
        <f>SUM(E56)</f>
        <v>3256464</v>
      </c>
      <c r="F74" s="391">
        <f>SUM(D74:E74)</f>
        <v>258589234</v>
      </c>
      <c r="G74" s="355"/>
      <c r="H74" s="355"/>
      <c r="I74" s="355"/>
      <c r="J74" s="355"/>
      <c r="K74" s="299"/>
      <c r="L74" s="299"/>
      <c r="M74" s="299"/>
      <c r="N74" s="299"/>
      <c r="O74" s="299"/>
      <c r="P74" s="299"/>
      <c r="Q74" s="299"/>
      <c r="R74" s="299"/>
      <c r="S74" s="355"/>
      <c r="T74" s="390" t="s">
        <v>101</v>
      </c>
      <c r="U74" s="392"/>
      <c r="V74" s="392"/>
      <c r="W74" s="391">
        <f>SUM(X56)</f>
        <v>210185081</v>
      </c>
      <c r="X74" s="391">
        <f>Y56</f>
        <v>1637849</v>
      </c>
      <c r="Y74" s="391">
        <f>SUM(W74:X74)</f>
        <v>211822930</v>
      </c>
      <c r="Z74" s="340"/>
      <c r="AA74" s="391">
        <f t="shared" si="0"/>
        <v>-45147689</v>
      </c>
      <c r="AB74" s="391">
        <f t="shared" si="0"/>
        <v>-1618615</v>
      </c>
      <c r="AC74" s="391">
        <f>SUM(AA74:AB74)</f>
        <v>-46766304</v>
      </c>
    </row>
    <row r="75" spans="1:29" ht="12.75">
      <c r="A75" s="355"/>
      <c r="B75" s="355"/>
      <c r="C75" s="393" t="s">
        <v>355</v>
      </c>
      <c r="D75" s="388">
        <f>SUM(D71:D74)</f>
        <v>1112108495</v>
      </c>
      <c r="E75" s="388">
        <f>SUM(E71:E74)</f>
        <v>317673272</v>
      </c>
      <c r="F75" s="388">
        <f>SUM(F71:F74)</f>
        <v>1429781767</v>
      </c>
      <c r="G75" s="355"/>
      <c r="H75" s="355"/>
      <c r="I75" s="355"/>
      <c r="J75" s="355"/>
      <c r="K75" s="299"/>
      <c r="L75" s="299"/>
      <c r="M75" s="299"/>
      <c r="N75" s="299"/>
      <c r="O75" s="299"/>
      <c r="P75" s="299"/>
      <c r="Q75" s="299"/>
      <c r="R75" s="299"/>
      <c r="S75" s="355"/>
      <c r="T75" s="393" t="s">
        <v>355</v>
      </c>
      <c r="U75" s="355"/>
      <c r="V75" s="393"/>
      <c r="W75" s="388">
        <f>SUM(W71:W74)</f>
        <v>1078373605</v>
      </c>
      <c r="X75" s="388">
        <f>SUM(X71:X74)</f>
        <v>363514851</v>
      </c>
      <c r="Y75" s="388">
        <f>SUM(Y71:Y74)</f>
        <v>1441888456</v>
      </c>
      <c r="Z75" s="340"/>
      <c r="AA75" s="388">
        <f>SUM(AA71:AA74)</f>
        <v>-33734890</v>
      </c>
      <c r="AB75" s="388">
        <f>SUM(AB71:AB74)</f>
        <v>45841579</v>
      </c>
      <c r="AC75" s="388">
        <f>SUM(AC71:AC74)</f>
        <v>12106689</v>
      </c>
    </row>
    <row r="76" spans="1:29" ht="12.75">
      <c r="A76" s="355"/>
      <c r="B76" s="355"/>
      <c r="C76" s="393"/>
      <c r="D76" s="388"/>
      <c r="E76" s="388"/>
      <c r="F76" s="388"/>
      <c r="G76" s="355"/>
      <c r="H76" s="355"/>
      <c r="I76" s="355"/>
      <c r="J76" s="355"/>
      <c r="K76" s="355"/>
      <c r="L76" s="299"/>
      <c r="M76" s="299"/>
      <c r="N76" s="299"/>
      <c r="O76" s="299"/>
      <c r="P76" s="299"/>
      <c r="Q76" s="299"/>
      <c r="R76" s="299"/>
      <c r="S76" s="355"/>
      <c r="T76" s="355"/>
      <c r="U76" s="355"/>
      <c r="V76" s="355"/>
      <c r="W76" s="355"/>
      <c r="X76" s="355"/>
      <c r="Y76" s="355"/>
      <c r="Z76" s="355"/>
      <c r="AA76" s="355"/>
      <c r="AB76" s="355"/>
      <c r="AC76" s="299"/>
    </row>
    <row r="77" spans="1:29" ht="12.75">
      <c r="A77" s="355"/>
      <c r="B77" s="355"/>
      <c r="C77" s="387" t="s">
        <v>102</v>
      </c>
      <c r="D77" s="388"/>
      <c r="E77" s="388"/>
      <c r="F77" s="388"/>
      <c r="G77" s="355"/>
      <c r="H77" s="355"/>
      <c r="I77" s="355"/>
      <c r="J77" s="355"/>
      <c r="K77" s="355"/>
      <c r="L77" s="299"/>
      <c r="M77" s="299"/>
      <c r="N77" s="299"/>
      <c r="O77" s="299"/>
      <c r="P77" s="299"/>
      <c r="Q77" s="299"/>
      <c r="R77" s="299"/>
      <c r="S77" s="355"/>
      <c r="T77" s="387" t="s">
        <v>102</v>
      </c>
      <c r="U77" s="394"/>
      <c r="V77" s="387"/>
      <c r="W77" s="395"/>
      <c r="X77" s="395"/>
      <c r="Y77" s="355"/>
      <c r="Z77" s="355"/>
      <c r="AA77" s="355"/>
      <c r="AB77" s="355"/>
      <c r="AC77" s="299"/>
    </row>
    <row r="78" spans="1:29" ht="12.75">
      <c r="A78" s="355"/>
      <c r="B78" s="355"/>
      <c r="C78" s="355" t="s">
        <v>100</v>
      </c>
      <c r="D78" s="388">
        <f>SUM(D30)</f>
        <v>237438446</v>
      </c>
      <c r="E78" s="388">
        <f>SUM(E30)</f>
        <v>655466644</v>
      </c>
      <c r="F78" s="388">
        <f>SUM(D78:E78)</f>
        <v>892905090</v>
      </c>
      <c r="G78" s="355"/>
      <c r="H78" s="355"/>
      <c r="I78" s="355"/>
      <c r="J78" s="355"/>
      <c r="K78" s="355"/>
      <c r="L78" s="299"/>
      <c r="M78" s="299"/>
      <c r="N78" s="299"/>
      <c r="O78" s="299"/>
      <c r="P78" s="299"/>
      <c r="Q78" s="299"/>
      <c r="R78" s="299"/>
      <c r="S78" s="355"/>
      <c r="T78" s="355" t="s">
        <v>100</v>
      </c>
      <c r="U78" s="355"/>
      <c r="V78" s="355"/>
      <c r="W78" s="388">
        <f>SUM(X30)</f>
        <v>244020782</v>
      </c>
      <c r="X78" s="388">
        <f>Y30</f>
        <v>671557956</v>
      </c>
      <c r="Y78" s="388">
        <f>SUM(W78:X78)</f>
        <v>915578738</v>
      </c>
      <c r="Z78" s="340"/>
      <c r="AA78" s="388">
        <f aca="true" t="shared" si="1" ref="AA78:AB81">W78-D78</f>
        <v>6582336</v>
      </c>
      <c r="AB78" s="388">
        <f t="shared" si="1"/>
        <v>16091312</v>
      </c>
      <c r="AC78" s="340">
        <f>SUM(AA78:AB78)</f>
        <v>22673648</v>
      </c>
    </row>
    <row r="79" spans="1:29" ht="12.75">
      <c r="A79" s="355"/>
      <c r="B79" s="355"/>
      <c r="C79" s="355" t="s">
        <v>361</v>
      </c>
      <c r="D79" s="388">
        <f>D41</f>
        <v>8932286</v>
      </c>
      <c r="E79" s="388">
        <v>0</v>
      </c>
      <c r="F79" s="388">
        <f>SUM(D79:E79)</f>
        <v>8932286</v>
      </c>
      <c r="G79" s="355"/>
      <c r="H79" s="355"/>
      <c r="I79" s="355"/>
      <c r="J79" s="355"/>
      <c r="K79" s="355"/>
      <c r="L79" s="299"/>
      <c r="M79" s="299"/>
      <c r="N79" s="299"/>
      <c r="O79" s="299"/>
      <c r="P79" s="299"/>
      <c r="Q79" s="299"/>
      <c r="R79" s="299"/>
      <c r="S79" s="355"/>
      <c r="T79" s="355" t="s">
        <v>361</v>
      </c>
      <c r="U79" s="355"/>
      <c r="V79" s="355"/>
      <c r="W79" s="388">
        <f>SUM(X41)</f>
        <v>0</v>
      </c>
      <c r="X79" s="388">
        <v>0</v>
      </c>
      <c r="Y79" s="388">
        <f>SUM(W79:X79)</f>
        <v>0</v>
      </c>
      <c r="Z79" s="340"/>
      <c r="AA79" s="388">
        <f t="shared" si="1"/>
        <v>-8932286</v>
      </c>
      <c r="AB79" s="388">
        <f t="shared" si="1"/>
        <v>0</v>
      </c>
      <c r="AC79" s="340">
        <f>SUM(AA79:AB79)</f>
        <v>-8932286</v>
      </c>
    </row>
    <row r="80" spans="1:29" ht="12.75">
      <c r="A80" s="355"/>
      <c r="B80" s="355"/>
      <c r="C80" s="355" t="s">
        <v>704</v>
      </c>
      <c r="D80" s="388">
        <f>SUM(D48)</f>
        <v>12127295</v>
      </c>
      <c r="E80" s="388">
        <f>SUM(E48)</f>
        <v>0</v>
      </c>
      <c r="F80" s="388">
        <f>SUM(D80:E80)</f>
        <v>12127295</v>
      </c>
      <c r="G80" s="355"/>
      <c r="H80" s="355"/>
      <c r="I80" s="355"/>
      <c r="J80" s="355"/>
      <c r="K80" s="355"/>
      <c r="L80" s="299"/>
      <c r="M80" s="299"/>
      <c r="N80" s="299"/>
      <c r="O80" s="299"/>
      <c r="P80" s="299"/>
      <c r="Q80" s="299"/>
      <c r="R80" s="299"/>
      <c r="S80" s="355"/>
      <c r="T80" s="355" t="s">
        <v>715</v>
      </c>
      <c r="U80" s="355"/>
      <c r="V80" s="355"/>
      <c r="W80" s="388">
        <f>X48</f>
        <v>1722458</v>
      </c>
      <c r="X80" s="388">
        <f>Y48</f>
        <v>0</v>
      </c>
      <c r="Y80" s="388">
        <f>SUM(W80:X80)</f>
        <v>1722458</v>
      </c>
      <c r="Z80" s="340"/>
      <c r="AA80" s="388">
        <f>W80-D80</f>
        <v>-10404837</v>
      </c>
      <c r="AB80" s="388">
        <f>X80-E80</f>
        <v>0</v>
      </c>
      <c r="AC80" s="340">
        <f>SUM(AA80:AB80)</f>
        <v>-10404837</v>
      </c>
    </row>
    <row r="81" spans="1:29" ht="12.75">
      <c r="A81" s="355"/>
      <c r="B81" s="355"/>
      <c r="C81" s="390" t="s">
        <v>101</v>
      </c>
      <c r="D81" s="391">
        <f>SUM(D64)</f>
        <v>46986418</v>
      </c>
      <c r="E81" s="391">
        <f>E64</f>
        <v>111425</v>
      </c>
      <c r="F81" s="391">
        <f>SUM(D81:E81)</f>
        <v>47097843</v>
      </c>
      <c r="G81" s="355"/>
      <c r="H81" s="355"/>
      <c r="I81" s="355"/>
      <c r="J81" s="355"/>
      <c r="K81" s="355"/>
      <c r="L81" s="299"/>
      <c r="M81" s="299"/>
      <c r="N81" s="299"/>
      <c r="O81" s="299"/>
      <c r="P81" s="299"/>
      <c r="Q81" s="299"/>
      <c r="R81" s="299"/>
      <c r="S81" s="355"/>
      <c r="T81" s="390" t="s">
        <v>101</v>
      </c>
      <c r="U81" s="392"/>
      <c r="V81" s="392"/>
      <c r="W81" s="391">
        <f>SUM(X64)</f>
        <v>40359031</v>
      </c>
      <c r="X81" s="391">
        <v>0</v>
      </c>
      <c r="Y81" s="391">
        <f>SUM(W81:X81)</f>
        <v>40359031</v>
      </c>
      <c r="Z81" s="340"/>
      <c r="AA81" s="391">
        <f t="shared" si="1"/>
        <v>-6627387</v>
      </c>
      <c r="AB81" s="391">
        <f t="shared" si="1"/>
        <v>-111425</v>
      </c>
      <c r="AC81" s="391">
        <f>SUM(AA81:AB81)</f>
        <v>-6738812</v>
      </c>
    </row>
    <row r="82" spans="1:29" ht="12.75">
      <c r="A82" s="355"/>
      <c r="B82" s="355"/>
      <c r="C82" s="393" t="s">
        <v>355</v>
      </c>
      <c r="D82" s="388">
        <f>SUM(D78:D81)</f>
        <v>305484445</v>
      </c>
      <c r="E82" s="388">
        <f>SUM(E78:E81)</f>
        <v>655578069</v>
      </c>
      <c r="F82" s="388">
        <f>SUM(F78:F81)</f>
        <v>961062514</v>
      </c>
      <c r="G82" s="355"/>
      <c r="H82" s="355"/>
      <c r="I82" s="355"/>
      <c r="J82" s="355"/>
      <c r="K82" s="355"/>
      <c r="L82" s="299"/>
      <c r="M82" s="299"/>
      <c r="N82" s="299"/>
      <c r="O82" s="299"/>
      <c r="P82" s="299"/>
      <c r="Q82" s="299"/>
      <c r="R82" s="299"/>
      <c r="S82" s="355"/>
      <c r="T82" s="393" t="s">
        <v>355</v>
      </c>
      <c r="U82" s="355"/>
      <c r="V82" s="393"/>
      <c r="W82" s="388">
        <f>SUM(W78:W81)</f>
        <v>286102271</v>
      </c>
      <c r="X82" s="388">
        <f>SUM(X78:X81)</f>
        <v>671557956</v>
      </c>
      <c r="Y82" s="388">
        <f>SUM(Y78:Y81)</f>
        <v>957660227</v>
      </c>
      <c r="Z82" s="340"/>
      <c r="AA82" s="388">
        <f>SUM(AA78:AA81)</f>
        <v>-19382174</v>
      </c>
      <c r="AB82" s="388">
        <f>SUM(AB78:AB81)</f>
        <v>15979887</v>
      </c>
      <c r="AC82" s="388">
        <f>SUM(AC78:AC81)</f>
        <v>-3402287</v>
      </c>
    </row>
    <row r="83" spans="1:29" ht="12.75">
      <c r="A83" s="355"/>
      <c r="B83" s="355"/>
      <c r="C83" s="393"/>
      <c r="D83" s="388"/>
      <c r="E83" s="388"/>
      <c r="F83" s="388"/>
      <c r="G83" s="355"/>
      <c r="H83" s="355"/>
      <c r="I83" s="355"/>
      <c r="J83" s="355"/>
      <c r="K83" s="355"/>
      <c r="L83" s="355"/>
      <c r="M83" s="355"/>
      <c r="N83" s="355"/>
      <c r="O83" s="355"/>
      <c r="P83" s="355"/>
      <c r="Q83" s="355"/>
      <c r="R83" s="355"/>
      <c r="S83" s="355"/>
      <c r="T83" s="355"/>
      <c r="U83" s="355"/>
      <c r="V83" s="355"/>
      <c r="W83" s="355"/>
      <c r="X83" s="355"/>
      <c r="Y83" s="355"/>
      <c r="Z83" s="299"/>
      <c r="AA83" s="388"/>
      <c r="AB83" s="388"/>
      <c r="AC83" s="299"/>
    </row>
    <row r="84" spans="1:29" ht="12.75">
      <c r="A84" s="355"/>
      <c r="B84" s="355"/>
      <c r="C84" s="387" t="s">
        <v>103</v>
      </c>
      <c r="D84" s="388"/>
      <c r="E84" s="388"/>
      <c r="F84" s="388"/>
      <c r="G84" s="355"/>
      <c r="H84" s="355"/>
      <c r="I84" s="355"/>
      <c r="J84" s="355"/>
      <c r="K84" s="355"/>
      <c r="L84" s="355"/>
      <c r="M84" s="355"/>
      <c r="N84" s="355"/>
      <c r="O84" s="355"/>
      <c r="P84" s="355"/>
      <c r="Q84" s="355"/>
      <c r="R84" s="355"/>
      <c r="S84" s="355"/>
      <c r="T84" s="387" t="s">
        <v>103</v>
      </c>
      <c r="U84" s="355"/>
      <c r="V84" s="387"/>
      <c r="W84" s="355"/>
      <c r="X84" s="355"/>
      <c r="Y84" s="355"/>
      <c r="Z84" s="299"/>
      <c r="AA84" s="388"/>
      <c r="AB84" s="388"/>
      <c r="AC84" s="299"/>
    </row>
    <row r="85" spans="1:29" ht="12.75">
      <c r="A85" s="355"/>
      <c r="B85" s="355"/>
      <c r="C85" s="355" t="s">
        <v>100</v>
      </c>
      <c r="D85" s="388">
        <f>SUM(D24)</f>
        <v>8704402</v>
      </c>
      <c r="E85" s="388">
        <f>SUM(E24)</f>
        <v>0</v>
      </c>
      <c r="F85" s="388">
        <f>SUM(D85:E85)</f>
        <v>8704402</v>
      </c>
      <c r="G85" s="355"/>
      <c r="H85" s="355"/>
      <c r="I85" s="355"/>
      <c r="J85" s="355"/>
      <c r="K85" s="355"/>
      <c r="L85" s="355"/>
      <c r="M85" s="355"/>
      <c r="N85" s="355"/>
      <c r="O85" s="355"/>
      <c r="P85" s="355"/>
      <c r="Q85" s="355"/>
      <c r="R85" s="355"/>
      <c r="S85" s="355"/>
      <c r="T85" s="355" t="s">
        <v>100</v>
      </c>
      <c r="U85" s="355"/>
      <c r="V85" s="355"/>
      <c r="W85" s="388">
        <f>SUM(X24)</f>
        <v>0</v>
      </c>
      <c r="X85" s="388">
        <v>0</v>
      </c>
      <c r="Y85" s="388">
        <f>SUM(W85:X85)</f>
        <v>0</v>
      </c>
      <c r="Z85" s="340"/>
      <c r="AA85" s="388">
        <f aca="true" t="shared" si="2" ref="AA85:AB88">W85-D85</f>
        <v>-8704402</v>
      </c>
      <c r="AB85" s="388">
        <f t="shared" si="2"/>
        <v>0</v>
      </c>
      <c r="AC85" s="340">
        <f>SUM(AA85:AB85)</f>
        <v>-8704402</v>
      </c>
    </row>
    <row r="86" spans="1:29" ht="12.75">
      <c r="A86" s="355"/>
      <c r="B86" s="355"/>
      <c r="C86" s="355" t="s">
        <v>361</v>
      </c>
      <c r="D86" s="388">
        <v>0</v>
      </c>
      <c r="E86" s="388">
        <v>0</v>
      </c>
      <c r="F86" s="388">
        <f>SUM(D86:E86)</f>
        <v>0</v>
      </c>
      <c r="G86" s="355"/>
      <c r="H86" s="355"/>
      <c r="I86" s="355"/>
      <c r="J86" s="355"/>
      <c r="K86" s="355"/>
      <c r="L86" s="355"/>
      <c r="M86" s="355"/>
      <c r="N86" s="355"/>
      <c r="O86" s="355"/>
      <c r="P86" s="355"/>
      <c r="Q86" s="355"/>
      <c r="R86" s="355"/>
      <c r="S86" s="355"/>
      <c r="T86" s="355" t="s">
        <v>361</v>
      </c>
      <c r="U86" s="355"/>
      <c r="V86" s="355"/>
      <c r="W86" s="388">
        <v>0</v>
      </c>
      <c r="X86" s="388">
        <v>0</v>
      </c>
      <c r="Y86" s="388">
        <f>SUM(W86:X86)</f>
        <v>0</v>
      </c>
      <c r="Z86" s="340"/>
      <c r="AA86" s="388">
        <f t="shared" si="2"/>
        <v>0</v>
      </c>
      <c r="AB86" s="388">
        <f t="shared" si="2"/>
        <v>0</v>
      </c>
      <c r="AC86" s="340">
        <f>SUM(AA86:AB86)</f>
        <v>0</v>
      </c>
    </row>
    <row r="87" spans="1:29" ht="12.75">
      <c r="A87" s="355"/>
      <c r="B87" s="355"/>
      <c r="C87" s="355" t="s">
        <v>704</v>
      </c>
      <c r="D87" s="388">
        <v>0</v>
      </c>
      <c r="E87" s="388">
        <v>0</v>
      </c>
      <c r="F87" s="388">
        <f>SUM(D87:E87)</f>
        <v>0</v>
      </c>
      <c r="G87" s="355"/>
      <c r="H87" s="355"/>
      <c r="I87" s="355"/>
      <c r="J87" s="355"/>
      <c r="K87" s="355"/>
      <c r="L87" s="355"/>
      <c r="M87" s="355"/>
      <c r="N87" s="355"/>
      <c r="O87" s="355"/>
      <c r="P87" s="355"/>
      <c r="Q87" s="355"/>
      <c r="R87" s="355"/>
      <c r="S87" s="355"/>
      <c r="T87" s="355" t="s">
        <v>715</v>
      </c>
      <c r="U87" s="355"/>
      <c r="V87" s="355"/>
      <c r="W87" s="388">
        <v>0</v>
      </c>
      <c r="X87" s="388">
        <v>0</v>
      </c>
      <c r="Y87" s="388">
        <f>SUM(W87:X87)</f>
        <v>0</v>
      </c>
      <c r="Z87" s="340"/>
      <c r="AA87" s="388">
        <f>W87-D87</f>
        <v>0</v>
      </c>
      <c r="AB87" s="388">
        <f>X87-E87</f>
        <v>0</v>
      </c>
      <c r="AC87" s="340">
        <f>SUM(AA87:AB87)</f>
        <v>0</v>
      </c>
    </row>
    <row r="88" spans="1:29" ht="12.75">
      <c r="A88" s="355"/>
      <c r="B88" s="355"/>
      <c r="C88" s="390" t="s">
        <v>101</v>
      </c>
      <c r="D88" s="391">
        <v>0</v>
      </c>
      <c r="E88" s="391">
        <v>0</v>
      </c>
      <c r="F88" s="391">
        <f>SUM(D88:E88)</f>
        <v>0</v>
      </c>
      <c r="G88" s="355"/>
      <c r="H88" s="355"/>
      <c r="I88" s="355"/>
      <c r="J88" s="355"/>
      <c r="K88" s="355"/>
      <c r="L88" s="355"/>
      <c r="M88" s="355"/>
      <c r="N88" s="355"/>
      <c r="O88" s="355"/>
      <c r="P88" s="355"/>
      <c r="Q88" s="355"/>
      <c r="R88" s="355"/>
      <c r="S88" s="355"/>
      <c r="T88" s="390" t="s">
        <v>101</v>
      </c>
      <c r="U88" s="392"/>
      <c r="V88" s="392"/>
      <c r="W88" s="391">
        <v>0</v>
      </c>
      <c r="X88" s="391">
        <v>0</v>
      </c>
      <c r="Y88" s="391">
        <f>SUM(W88:X88)</f>
        <v>0</v>
      </c>
      <c r="Z88" s="340"/>
      <c r="AA88" s="391">
        <f t="shared" si="2"/>
        <v>0</v>
      </c>
      <c r="AB88" s="391">
        <f t="shared" si="2"/>
        <v>0</v>
      </c>
      <c r="AC88" s="391">
        <f>SUM(AA88:AB88)</f>
        <v>0</v>
      </c>
    </row>
    <row r="89" spans="1:29" ht="12.75">
      <c r="A89" s="355"/>
      <c r="B89" s="355"/>
      <c r="C89" s="393" t="s">
        <v>355</v>
      </c>
      <c r="D89" s="388">
        <f>SUM(D85:D88)</f>
        <v>8704402</v>
      </c>
      <c r="E89" s="388">
        <f>SUM(E85:E88)</f>
        <v>0</v>
      </c>
      <c r="F89" s="388">
        <f>SUM(F85:F88)</f>
        <v>8704402</v>
      </c>
      <c r="G89" s="355"/>
      <c r="H89" s="355"/>
      <c r="I89" s="355"/>
      <c r="J89" s="355"/>
      <c r="K89" s="355"/>
      <c r="L89" s="355"/>
      <c r="M89" s="355"/>
      <c r="N89" s="355"/>
      <c r="O89" s="355"/>
      <c r="P89" s="355"/>
      <c r="Q89" s="355"/>
      <c r="R89" s="355"/>
      <c r="S89" s="355"/>
      <c r="T89" s="393" t="s">
        <v>355</v>
      </c>
      <c r="U89" s="355"/>
      <c r="V89" s="393"/>
      <c r="W89" s="388">
        <f>SUM(W85:W88)</f>
        <v>0</v>
      </c>
      <c r="X89" s="388">
        <f>SUM(X85:X88)</f>
        <v>0</v>
      </c>
      <c r="Y89" s="388">
        <f>SUM(Y85:Y88)</f>
        <v>0</v>
      </c>
      <c r="Z89" s="340"/>
      <c r="AA89" s="388">
        <f>SUM(AA85:AA88)</f>
        <v>-8704402</v>
      </c>
      <c r="AB89" s="388">
        <f>SUM(AB85:AB88)</f>
        <v>0</v>
      </c>
      <c r="AC89" s="388">
        <f>SUM(AC85:AC88)</f>
        <v>-8704402</v>
      </c>
    </row>
    <row r="90" spans="1:29" ht="12.75">
      <c r="A90" s="355"/>
      <c r="B90" s="355"/>
      <c r="C90" s="393"/>
      <c r="D90" s="355"/>
      <c r="E90" s="355"/>
      <c r="F90" s="355"/>
      <c r="G90" s="355"/>
      <c r="H90" s="355"/>
      <c r="I90" s="355"/>
      <c r="J90" s="355"/>
      <c r="K90" s="355"/>
      <c r="L90" s="355"/>
      <c r="M90" s="355"/>
      <c r="N90" s="355"/>
      <c r="O90" s="355"/>
      <c r="P90" s="355"/>
      <c r="Q90" s="355"/>
      <c r="R90" s="355"/>
      <c r="S90" s="355"/>
      <c r="T90" s="355"/>
      <c r="U90" s="355"/>
      <c r="V90" s="355"/>
      <c r="W90" s="355"/>
      <c r="X90" s="355"/>
      <c r="Y90" s="355"/>
      <c r="Z90" s="299"/>
      <c r="AA90" s="388"/>
      <c r="AB90" s="388"/>
      <c r="AC90" s="299"/>
    </row>
    <row r="91" spans="1:29" ht="12.75">
      <c r="A91" s="355"/>
      <c r="B91" s="355"/>
      <c r="C91" s="396" t="s">
        <v>104</v>
      </c>
      <c r="D91" s="397">
        <f>SUM(D89,D82,D75)</f>
        <v>1426297342</v>
      </c>
      <c r="E91" s="397">
        <f>SUM(E89,E82,E75)</f>
        <v>973251341</v>
      </c>
      <c r="F91" s="397">
        <f>SUM(F89,F82,F75)</f>
        <v>2399548683</v>
      </c>
      <c r="G91" s="396"/>
      <c r="H91" s="396"/>
      <c r="I91" s="396"/>
      <c r="J91" s="396"/>
      <c r="K91" s="396"/>
      <c r="L91" s="396"/>
      <c r="M91" s="396"/>
      <c r="N91" s="396"/>
      <c r="O91" s="396"/>
      <c r="P91" s="396"/>
      <c r="Q91" s="396"/>
      <c r="R91" s="396"/>
      <c r="S91" s="396"/>
      <c r="T91" s="396" t="s">
        <v>104</v>
      </c>
      <c r="U91" s="396"/>
      <c r="V91" s="396"/>
      <c r="W91" s="397">
        <f>SUM(W89,W82,W75)</f>
        <v>1364475876</v>
      </c>
      <c r="X91" s="397">
        <f>SUM(X89,X82,X75)</f>
        <v>1035072807</v>
      </c>
      <c r="Y91" s="397">
        <f>SUM(Y89,Y82,Y75)</f>
        <v>2399548683</v>
      </c>
      <c r="Z91" s="280"/>
      <c r="AA91" s="397">
        <f>SUM(AA89,AA82,AA75)</f>
        <v>-61821466</v>
      </c>
      <c r="AB91" s="397">
        <f>SUM(AB89,AB82,AB75)</f>
        <v>61821466</v>
      </c>
      <c r="AC91" s="397">
        <f>SUM(AC89,AC82,AC75)</f>
        <v>0</v>
      </c>
    </row>
    <row r="92" spans="1:29" ht="12.75">
      <c r="A92" s="396"/>
      <c r="B92" s="396"/>
      <c r="D92" s="355"/>
      <c r="E92" s="355"/>
      <c r="F92" s="355"/>
      <c r="G92" s="355"/>
      <c r="H92" s="355"/>
      <c r="I92" s="355"/>
      <c r="J92" s="355"/>
      <c r="K92" s="355"/>
      <c r="L92" s="355"/>
      <c r="M92" s="355"/>
      <c r="N92" s="355"/>
      <c r="O92" s="355"/>
      <c r="P92" s="355"/>
      <c r="Q92" s="355"/>
      <c r="R92" s="355"/>
      <c r="S92" s="355"/>
      <c r="T92" s="355"/>
      <c r="U92" s="355"/>
      <c r="V92" s="355"/>
      <c r="W92" s="355"/>
      <c r="X92" s="355"/>
      <c r="Y92" s="355"/>
      <c r="Z92" s="355"/>
      <c r="AA92" s="355"/>
      <c r="AB92" s="355"/>
      <c r="AC92" s="299"/>
    </row>
    <row r="93" spans="1:29" ht="12.75">
      <c r="A93" s="355"/>
      <c r="B93" s="355"/>
      <c r="C93" s="355"/>
      <c r="D93" s="355"/>
      <c r="E93" s="355"/>
      <c r="F93" s="355"/>
      <c r="G93" s="355"/>
      <c r="H93" s="355"/>
      <c r="I93" s="355"/>
      <c r="J93" s="355"/>
      <c r="K93" s="355"/>
      <c r="L93" s="355"/>
      <c r="M93" s="355"/>
      <c r="N93" s="355"/>
      <c r="O93" s="355"/>
      <c r="P93" s="355"/>
      <c r="Q93" s="355"/>
      <c r="R93" s="355"/>
      <c r="S93" s="355"/>
      <c r="T93" s="355"/>
      <c r="U93" s="355"/>
      <c r="V93" s="355"/>
      <c r="W93" s="355"/>
      <c r="X93" s="355"/>
      <c r="Y93" s="355"/>
      <c r="Z93" s="355"/>
      <c r="AA93" s="355"/>
      <c r="AB93" s="355"/>
      <c r="AC93" s="299"/>
    </row>
    <row r="94" spans="1:3" ht="12.75">
      <c r="A94" s="355"/>
      <c r="B94" s="355"/>
      <c r="C94" s="355"/>
    </row>
  </sheetData>
  <sheetProtection/>
  <mergeCells count="189">
    <mergeCell ref="H49:J49"/>
    <mergeCell ref="G57:I57"/>
    <mergeCell ref="AA43:AC43"/>
    <mergeCell ref="G45:I45"/>
    <mergeCell ref="X43:Z43"/>
    <mergeCell ref="G46:I46"/>
    <mergeCell ref="W45:W46"/>
    <mergeCell ref="G47:I47"/>
    <mergeCell ref="G43:K44"/>
    <mergeCell ref="K47:K48"/>
    <mergeCell ref="L45:O46"/>
    <mergeCell ref="P45:P46"/>
    <mergeCell ref="L47:O47"/>
    <mergeCell ref="Q47:Q48"/>
    <mergeCell ref="B46:C46"/>
    <mergeCell ref="A48:C48"/>
    <mergeCell ref="A41:C41"/>
    <mergeCell ref="R45:U45"/>
    <mergeCell ref="Q45:Q46"/>
    <mergeCell ref="A43:C44"/>
    <mergeCell ref="D43:F43"/>
    <mergeCell ref="M42:P42"/>
    <mergeCell ref="S42:V42"/>
    <mergeCell ref="K45:K46"/>
    <mergeCell ref="R41:U41"/>
    <mergeCell ref="L43:Q44"/>
    <mergeCell ref="V70:W70"/>
    <mergeCell ref="Q53:Q61"/>
    <mergeCell ref="R53:U53"/>
    <mergeCell ref="R54:U54"/>
    <mergeCell ref="Q62:Q64"/>
    <mergeCell ref="M49:P49"/>
    <mergeCell ref="S49:V49"/>
    <mergeCell ref="R55:U55"/>
    <mergeCell ref="L64:O64"/>
    <mergeCell ref="W59:W61"/>
    <mergeCell ref="AA68:AC68"/>
    <mergeCell ref="L51:Q52"/>
    <mergeCell ref="W68:Y68"/>
    <mergeCell ref="S69:V69"/>
    <mergeCell ref="AA51:AC51"/>
    <mergeCell ref="M66:P66"/>
    <mergeCell ref="R51:W52"/>
    <mergeCell ref="L53:O53"/>
    <mergeCell ref="L54:O54"/>
    <mergeCell ref="L63:O63"/>
    <mergeCell ref="D68:F68"/>
    <mergeCell ref="S66:V66"/>
    <mergeCell ref="R57:U57"/>
    <mergeCell ref="M65:P65"/>
    <mergeCell ref="S65:V65"/>
    <mergeCell ref="G58:I58"/>
    <mergeCell ref="G59:I59"/>
    <mergeCell ref="L62:O62"/>
    <mergeCell ref="K53:K61"/>
    <mergeCell ref="R59:U59"/>
    <mergeCell ref="G60:I60"/>
    <mergeCell ref="D51:F51"/>
    <mergeCell ref="A66:C66"/>
    <mergeCell ref="A67:C67"/>
    <mergeCell ref="A56:C56"/>
    <mergeCell ref="A65:C65"/>
    <mergeCell ref="H66:J66"/>
    <mergeCell ref="H65:J65"/>
    <mergeCell ref="A64:C64"/>
    <mergeCell ref="G51:K52"/>
    <mergeCell ref="A49:C49"/>
    <mergeCell ref="A51:C52"/>
    <mergeCell ref="X51:Z51"/>
    <mergeCell ref="R64:U64"/>
    <mergeCell ref="G64:I64"/>
    <mergeCell ref="G53:I53"/>
    <mergeCell ref="G55:I55"/>
    <mergeCell ref="G54:I54"/>
    <mergeCell ref="G61:I61"/>
    <mergeCell ref="G56:I56"/>
    <mergeCell ref="A35:C36"/>
    <mergeCell ref="D35:F35"/>
    <mergeCell ref="G35:K36"/>
    <mergeCell ref="K31:K33"/>
    <mergeCell ref="A42:C42"/>
    <mergeCell ref="H42:J42"/>
    <mergeCell ref="K37:K40"/>
    <mergeCell ref="B40:C40"/>
    <mergeCell ref="G37:I38"/>
    <mergeCell ref="J37:J38"/>
    <mergeCell ref="B24:C24"/>
    <mergeCell ref="W19:W22"/>
    <mergeCell ref="W25:W30"/>
    <mergeCell ref="L9:O9"/>
    <mergeCell ref="G11:I11"/>
    <mergeCell ref="A30:C30"/>
    <mergeCell ref="K25:K30"/>
    <mergeCell ref="K19:K22"/>
    <mergeCell ref="K23:K24"/>
    <mergeCell ref="R22:U22"/>
    <mergeCell ref="AA35:AC35"/>
    <mergeCell ref="R35:W36"/>
    <mergeCell ref="X35:Z35"/>
    <mergeCell ref="G18:I18"/>
    <mergeCell ref="G17:I17"/>
    <mergeCell ref="A34:C34"/>
    <mergeCell ref="H34:J34"/>
    <mergeCell ref="G23:I23"/>
    <mergeCell ref="G24:I24"/>
    <mergeCell ref="Q23:Q24"/>
    <mergeCell ref="L6:Q7"/>
    <mergeCell ref="R6:W7"/>
    <mergeCell ref="R16:U16"/>
    <mergeCell ref="W8:W18"/>
    <mergeCell ref="L10:O10"/>
    <mergeCell ref="L15:O15"/>
    <mergeCell ref="D6:F6"/>
    <mergeCell ref="G6:K7"/>
    <mergeCell ref="R9:U9"/>
    <mergeCell ref="G10:I10"/>
    <mergeCell ref="Q8:Q18"/>
    <mergeCell ref="R14:U14"/>
    <mergeCell ref="G8:I8"/>
    <mergeCell ref="R8:U8"/>
    <mergeCell ref="L8:O8"/>
    <mergeCell ref="G9:I9"/>
    <mergeCell ref="G13:I13"/>
    <mergeCell ref="R30:U30"/>
    <mergeCell ref="L30:O30"/>
    <mergeCell ref="L26:O26"/>
    <mergeCell ref="P13:P14"/>
    <mergeCell ref="R19:U19"/>
    <mergeCell ref="Q19:Q22"/>
    <mergeCell ref="R24:U24"/>
    <mergeCell ref="L23:O23"/>
    <mergeCell ref="L19:O19"/>
    <mergeCell ref="A6:C7"/>
    <mergeCell ref="L12:O12"/>
    <mergeCell ref="G15:I15"/>
    <mergeCell ref="T1:AB1"/>
    <mergeCell ref="X6:Z6"/>
    <mergeCell ref="AA6:AC6"/>
    <mergeCell ref="K8:K18"/>
    <mergeCell ref="A3:AC3"/>
    <mergeCell ref="R15:U15"/>
    <mergeCell ref="G12:I12"/>
    <mergeCell ref="G40:I40"/>
    <mergeCell ref="L37:O38"/>
    <mergeCell ref="L40:O40"/>
    <mergeCell ref="L21:O21"/>
    <mergeCell ref="L35:Q36"/>
    <mergeCell ref="L18:O18"/>
    <mergeCell ref="L24:O24"/>
    <mergeCell ref="L33:O33"/>
    <mergeCell ref="L22:O22"/>
    <mergeCell ref="G19:I19"/>
    <mergeCell ref="L28:O28"/>
    <mergeCell ref="L27:O27"/>
    <mergeCell ref="S34:V34"/>
    <mergeCell ref="L31:O31"/>
    <mergeCell ref="L29:O29"/>
    <mergeCell ref="L13:O14"/>
    <mergeCell ref="L17:O17"/>
    <mergeCell ref="L32:O32"/>
    <mergeCell ref="R31:U31"/>
    <mergeCell ref="R39:U39"/>
    <mergeCell ref="R62:U62"/>
    <mergeCell ref="R27:U27"/>
    <mergeCell ref="Q25:Q30"/>
    <mergeCell ref="L25:O25"/>
    <mergeCell ref="Q31:Q33"/>
    <mergeCell ref="R25:U25"/>
    <mergeCell ref="R37:U38"/>
    <mergeCell ref="W62:W64"/>
    <mergeCell ref="R63:U63"/>
    <mergeCell ref="V37:V38"/>
    <mergeCell ref="R46:U46"/>
    <mergeCell ref="R43:W44"/>
    <mergeCell ref="R47:U48"/>
    <mergeCell ref="R56:U56"/>
    <mergeCell ref="W47:W48"/>
    <mergeCell ref="W37:W40"/>
    <mergeCell ref="W53:W58"/>
    <mergeCell ref="W31:W33"/>
    <mergeCell ref="R26:U26"/>
    <mergeCell ref="R17:U17"/>
    <mergeCell ref="R28:U28"/>
    <mergeCell ref="R40:U40"/>
    <mergeCell ref="P37:P38"/>
    <mergeCell ref="Q37:Q40"/>
    <mergeCell ref="M34:P34"/>
    <mergeCell ref="R29:U29"/>
    <mergeCell ref="R33:U33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3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Q117"/>
  <sheetViews>
    <sheetView zoomScalePageLayoutView="0" workbookViewId="0" topLeftCell="A1">
      <pane ySplit="7" topLeftCell="A74" activePane="bottomLeft" state="frozen"/>
      <selection pane="topLeft" activeCell="A1" sqref="A1"/>
      <selection pane="bottomLeft" activeCell="M2" sqref="M2"/>
    </sheetView>
  </sheetViews>
  <sheetFormatPr defaultColWidth="9.00390625" defaultRowHeight="12.75"/>
  <cols>
    <col min="1" max="1" width="64.375" style="0" bestFit="1" customWidth="1"/>
    <col min="14" max="14" width="9.125" style="106" customWidth="1"/>
  </cols>
  <sheetData>
    <row r="1" spans="8:13" ht="15">
      <c r="H1" s="1"/>
      <c r="I1" s="1"/>
      <c r="J1" s="1"/>
      <c r="K1" s="1"/>
      <c r="L1" s="1"/>
      <c r="M1" s="6" t="s">
        <v>1132</v>
      </c>
    </row>
    <row r="2" spans="8:13" ht="12.75">
      <c r="H2" s="1"/>
      <c r="I2" s="1"/>
      <c r="J2" s="1"/>
      <c r="K2" s="1"/>
      <c r="L2" s="1"/>
      <c r="M2" s="2"/>
    </row>
    <row r="3" spans="8:13" ht="12.75">
      <c r="H3" s="1"/>
      <c r="I3" s="1"/>
      <c r="J3" s="1"/>
      <c r="K3" s="1"/>
      <c r="L3" s="1"/>
      <c r="M3" s="2"/>
    </row>
    <row r="4" spans="1:14" s="63" customFormat="1" ht="14.25" customHeight="1">
      <c r="A4" s="1225" t="s">
        <v>475</v>
      </c>
      <c r="B4" s="1225"/>
      <c r="C4" s="1225"/>
      <c r="D4" s="1225"/>
      <c r="E4" s="1225"/>
      <c r="F4" s="1225"/>
      <c r="G4" s="1225"/>
      <c r="H4" s="1225"/>
      <c r="I4" s="1225"/>
      <c r="J4" s="1225"/>
      <c r="K4" s="1225"/>
      <c r="L4" s="1225"/>
      <c r="M4" s="1225"/>
      <c r="N4" s="107"/>
    </row>
    <row r="5" spans="1:14" s="63" customFormat="1" ht="14.25" customHeight="1">
      <c r="A5" s="1225" t="s">
        <v>432</v>
      </c>
      <c r="B5" s="1225"/>
      <c r="C5" s="1225"/>
      <c r="D5" s="1225"/>
      <c r="E5" s="1225"/>
      <c r="F5" s="1225"/>
      <c r="G5" s="1225"/>
      <c r="H5" s="1225"/>
      <c r="I5" s="1225"/>
      <c r="J5" s="1225"/>
      <c r="K5" s="1225"/>
      <c r="L5" s="1225"/>
      <c r="M5" s="1225"/>
      <c r="N5" s="107"/>
    </row>
    <row r="6" spans="1:14" s="63" customFormat="1" ht="18" customHeight="1">
      <c r="A6" s="1225"/>
      <c r="B6" s="1225"/>
      <c r="C6" s="1225"/>
      <c r="D6" s="1225"/>
      <c r="E6" s="1225"/>
      <c r="F6" s="1225"/>
      <c r="G6" s="1225"/>
      <c r="H6" s="1225"/>
      <c r="I6" s="1225"/>
      <c r="J6" s="1225"/>
      <c r="K6" s="1225"/>
      <c r="L6" s="1225"/>
      <c r="M6" s="1225"/>
      <c r="N6" s="107"/>
    </row>
    <row r="7" spans="1:14" s="62" customFormat="1" ht="12.75">
      <c r="A7" s="97" t="s">
        <v>352</v>
      </c>
      <c r="B7" s="86" t="s">
        <v>337</v>
      </c>
      <c r="C7" s="86" t="s">
        <v>338</v>
      </c>
      <c r="D7" s="86" t="s">
        <v>339</v>
      </c>
      <c r="E7" s="86" t="s">
        <v>340</v>
      </c>
      <c r="F7" s="86" t="s">
        <v>341</v>
      </c>
      <c r="G7" s="86" t="s">
        <v>342</v>
      </c>
      <c r="H7" s="86" t="s">
        <v>343</v>
      </c>
      <c r="I7" s="86" t="s">
        <v>344</v>
      </c>
      <c r="J7" s="86" t="s">
        <v>345</v>
      </c>
      <c r="K7" s="86" t="s">
        <v>346</v>
      </c>
      <c r="L7" s="86" t="s">
        <v>347</v>
      </c>
      <c r="M7" s="86" t="s">
        <v>348</v>
      </c>
      <c r="N7" s="108"/>
    </row>
    <row r="8" spans="1:14" s="65" customFormat="1" ht="22.5" customHeight="1">
      <c r="A8" s="109" t="s">
        <v>676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90"/>
    </row>
    <row r="9" spans="1:14" s="496" customFormat="1" ht="20.25" customHeight="1">
      <c r="A9" s="493" t="s">
        <v>726</v>
      </c>
      <c r="B9" s="494"/>
      <c r="C9" s="494"/>
      <c r="D9" s="494"/>
      <c r="E9" s="494"/>
      <c r="F9" s="494"/>
      <c r="G9" s="494"/>
      <c r="H9" s="494"/>
      <c r="I9" s="494"/>
      <c r="J9" s="494"/>
      <c r="K9" s="494"/>
      <c r="L9" s="494"/>
      <c r="M9" s="494"/>
      <c r="N9" s="495"/>
    </row>
    <row r="10" spans="1:14" s="64" customFormat="1" ht="14.25" customHeight="1">
      <c r="A10" s="101" t="s">
        <v>788</v>
      </c>
      <c r="B10" s="88">
        <v>15</v>
      </c>
      <c r="C10" s="88">
        <v>15</v>
      </c>
      <c r="D10" s="88">
        <v>15</v>
      </c>
      <c r="E10" s="88">
        <v>15</v>
      </c>
      <c r="F10" s="88">
        <v>15</v>
      </c>
      <c r="G10" s="88">
        <v>15</v>
      </c>
      <c r="H10" s="88">
        <v>15</v>
      </c>
      <c r="I10" s="88">
        <v>15</v>
      </c>
      <c r="J10" s="88">
        <v>15</v>
      </c>
      <c r="K10" s="88">
        <v>15</v>
      </c>
      <c r="L10" s="88">
        <v>15</v>
      </c>
      <c r="M10" s="88">
        <v>15</v>
      </c>
      <c r="N10" s="114"/>
    </row>
    <row r="11" spans="1:14" s="64" customFormat="1" ht="14.25" customHeight="1">
      <c r="A11" s="101" t="s">
        <v>789</v>
      </c>
      <c r="B11" s="88">
        <v>1</v>
      </c>
      <c r="C11" s="88">
        <v>1</v>
      </c>
      <c r="D11" s="88">
        <v>1</v>
      </c>
      <c r="E11" s="88">
        <v>1</v>
      </c>
      <c r="F11" s="88">
        <v>1</v>
      </c>
      <c r="G11" s="88">
        <v>1</v>
      </c>
      <c r="H11" s="88">
        <v>1</v>
      </c>
      <c r="I11" s="88">
        <v>1</v>
      </c>
      <c r="J11" s="88">
        <v>1</v>
      </c>
      <c r="K11" s="88">
        <v>1</v>
      </c>
      <c r="L11" s="88">
        <v>1</v>
      </c>
      <c r="M11" s="88">
        <v>1</v>
      </c>
      <c r="N11" s="114"/>
    </row>
    <row r="12" spans="1:14" s="64" customFormat="1" ht="12.75">
      <c r="A12" s="101" t="s">
        <v>561</v>
      </c>
      <c r="B12" s="88">
        <v>1</v>
      </c>
      <c r="C12" s="88">
        <v>1</v>
      </c>
      <c r="D12" s="88">
        <v>1</v>
      </c>
      <c r="E12" s="88">
        <v>1</v>
      </c>
      <c r="F12" s="88">
        <v>1</v>
      </c>
      <c r="G12" s="88">
        <v>1</v>
      </c>
      <c r="H12" s="88">
        <v>1</v>
      </c>
      <c r="I12" s="88">
        <v>1</v>
      </c>
      <c r="J12" s="88">
        <v>1</v>
      </c>
      <c r="K12" s="88">
        <v>1</v>
      </c>
      <c r="L12" s="88">
        <v>1</v>
      </c>
      <c r="M12" s="88">
        <v>1</v>
      </c>
      <c r="N12" s="114"/>
    </row>
    <row r="13" spans="1:14" s="64" customFormat="1" ht="12.75" customHeight="1">
      <c r="A13" s="101" t="s">
        <v>559</v>
      </c>
      <c r="B13" s="88">
        <v>2</v>
      </c>
      <c r="C13" s="88">
        <v>2</v>
      </c>
      <c r="D13" s="88">
        <v>2</v>
      </c>
      <c r="E13" s="88">
        <v>2</v>
      </c>
      <c r="F13" s="88">
        <v>2</v>
      </c>
      <c r="G13" s="88">
        <v>2</v>
      </c>
      <c r="H13" s="88">
        <v>2</v>
      </c>
      <c r="I13" s="88">
        <v>2</v>
      </c>
      <c r="J13" s="88">
        <v>2</v>
      </c>
      <c r="K13" s="88">
        <v>2</v>
      </c>
      <c r="L13" s="88">
        <v>2</v>
      </c>
      <c r="M13" s="88">
        <v>2</v>
      </c>
      <c r="N13" s="114"/>
    </row>
    <row r="14" spans="1:14" s="64" customFormat="1" ht="12.75">
      <c r="A14" s="115" t="s">
        <v>560</v>
      </c>
      <c r="B14" s="88">
        <v>8</v>
      </c>
      <c r="C14" s="88">
        <v>8</v>
      </c>
      <c r="D14" s="88">
        <v>8</v>
      </c>
      <c r="E14" s="88">
        <v>8</v>
      </c>
      <c r="F14" s="88">
        <v>8</v>
      </c>
      <c r="G14" s="88">
        <v>8</v>
      </c>
      <c r="H14" s="88">
        <v>8</v>
      </c>
      <c r="I14" s="88">
        <v>8</v>
      </c>
      <c r="J14" s="88">
        <v>8</v>
      </c>
      <c r="K14" s="88">
        <v>8</v>
      </c>
      <c r="L14" s="88">
        <v>8</v>
      </c>
      <c r="M14" s="88">
        <v>8</v>
      </c>
      <c r="N14" s="114"/>
    </row>
    <row r="15" spans="1:14" s="64" customFormat="1" ht="15" customHeight="1">
      <c r="A15" s="101" t="s">
        <v>836</v>
      </c>
      <c r="B15" s="88">
        <v>1</v>
      </c>
      <c r="C15" s="88">
        <v>1</v>
      </c>
      <c r="D15" s="88">
        <v>1</v>
      </c>
      <c r="E15" s="88">
        <v>1</v>
      </c>
      <c r="F15" s="88">
        <v>1</v>
      </c>
      <c r="G15" s="88">
        <v>1</v>
      </c>
      <c r="H15" s="88">
        <v>1</v>
      </c>
      <c r="I15" s="88">
        <v>1</v>
      </c>
      <c r="J15" s="88">
        <v>1</v>
      </c>
      <c r="K15" s="88">
        <v>1</v>
      </c>
      <c r="L15" s="88">
        <v>1</v>
      </c>
      <c r="M15" s="88">
        <v>1</v>
      </c>
      <c r="N15" s="114"/>
    </row>
    <row r="16" spans="1:14" s="496" customFormat="1" ht="20.25" customHeight="1">
      <c r="A16" s="493" t="s">
        <v>677</v>
      </c>
      <c r="B16" s="494"/>
      <c r="C16" s="494"/>
      <c r="D16" s="494"/>
      <c r="E16" s="494"/>
      <c r="F16" s="494"/>
      <c r="G16" s="494"/>
      <c r="H16" s="494"/>
      <c r="I16" s="494"/>
      <c r="J16" s="494"/>
      <c r="K16" s="494"/>
      <c r="L16" s="494"/>
      <c r="M16" s="494"/>
      <c r="N16" s="495"/>
    </row>
    <row r="17" spans="1:14" s="64" customFormat="1" ht="12.75">
      <c r="A17" s="101" t="s">
        <v>678</v>
      </c>
      <c r="B17" s="88">
        <v>1</v>
      </c>
      <c r="C17" s="88">
        <v>1</v>
      </c>
      <c r="D17" s="88">
        <v>1</v>
      </c>
      <c r="E17" s="88">
        <v>1</v>
      </c>
      <c r="F17" s="88">
        <v>1</v>
      </c>
      <c r="G17" s="88">
        <v>1</v>
      </c>
      <c r="H17" s="88">
        <v>1</v>
      </c>
      <c r="I17" s="88">
        <v>1</v>
      </c>
      <c r="J17" s="88">
        <v>1</v>
      </c>
      <c r="K17" s="88">
        <v>1</v>
      </c>
      <c r="L17" s="88">
        <v>1</v>
      </c>
      <c r="M17" s="88">
        <v>1</v>
      </c>
      <c r="N17" s="114"/>
    </row>
    <row r="18" spans="1:14" s="64" customFormat="1" ht="12.75">
      <c r="A18" s="101" t="s">
        <v>679</v>
      </c>
      <c r="B18" s="88">
        <v>1</v>
      </c>
      <c r="C18" s="88">
        <v>1</v>
      </c>
      <c r="D18" s="88">
        <v>1</v>
      </c>
      <c r="E18" s="88">
        <v>1</v>
      </c>
      <c r="F18" s="88">
        <v>1</v>
      </c>
      <c r="G18" s="88">
        <v>1</v>
      </c>
      <c r="H18" s="88">
        <v>1</v>
      </c>
      <c r="I18" s="88">
        <v>1</v>
      </c>
      <c r="J18" s="88">
        <v>1</v>
      </c>
      <c r="K18" s="88">
        <v>1</v>
      </c>
      <c r="L18" s="88">
        <v>1</v>
      </c>
      <c r="M18" s="88">
        <v>1</v>
      </c>
      <c r="N18" s="114"/>
    </row>
    <row r="19" spans="1:14" s="64" customFormat="1" ht="12.75">
      <c r="A19" s="101" t="s">
        <v>680</v>
      </c>
      <c r="B19" s="88">
        <v>1</v>
      </c>
      <c r="C19" s="88">
        <v>1</v>
      </c>
      <c r="D19" s="88">
        <v>1</v>
      </c>
      <c r="E19" s="88">
        <v>1</v>
      </c>
      <c r="F19" s="88">
        <v>1</v>
      </c>
      <c r="G19" s="88">
        <v>1</v>
      </c>
      <c r="H19" s="88">
        <v>1</v>
      </c>
      <c r="I19" s="88">
        <v>1</v>
      </c>
      <c r="J19" s="88">
        <v>1</v>
      </c>
      <c r="K19" s="88">
        <v>1</v>
      </c>
      <c r="L19" s="88">
        <v>1</v>
      </c>
      <c r="M19" s="88">
        <v>1</v>
      </c>
      <c r="N19" s="114"/>
    </row>
    <row r="20" spans="1:14" s="496" customFormat="1" ht="20.25" customHeight="1">
      <c r="A20" s="493" t="s">
        <v>564</v>
      </c>
      <c r="B20" s="494"/>
      <c r="C20" s="494"/>
      <c r="D20" s="494"/>
      <c r="E20" s="494"/>
      <c r="F20" s="494"/>
      <c r="G20" s="494"/>
      <c r="H20" s="494"/>
      <c r="I20" s="494"/>
      <c r="J20" s="494"/>
      <c r="K20" s="494"/>
      <c r="L20" s="494"/>
      <c r="M20" s="494"/>
      <c r="N20" s="495"/>
    </row>
    <row r="21" spans="1:14" s="64" customFormat="1" ht="12.75">
      <c r="A21" s="101" t="s">
        <v>681</v>
      </c>
      <c r="B21" s="88">
        <v>1</v>
      </c>
      <c r="C21" s="88">
        <v>1</v>
      </c>
      <c r="D21" s="88">
        <v>1</v>
      </c>
      <c r="E21" s="88">
        <v>1</v>
      </c>
      <c r="F21" s="88">
        <v>1</v>
      </c>
      <c r="G21" s="88">
        <v>1</v>
      </c>
      <c r="H21" s="88">
        <v>1</v>
      </c>
      <c r="I21" s="88">
        <v>1</v>
      </c>
      <c r="J21" s="88">
        <v>1</v>
      </c>
      <c r="K21" s="88">
        <v>1</v>
      </c>
      <c r="L21" s="88">
        <v>1</v>
      </c>
      <c r="M21" s="88">
        <v>1</v>
      </c>
      <c r="N21" s="114"/>
    </row>
    <row r="22" spans="1:14" s="64" customFormat="1" ht="12.75">
      <c r="A22" s="101" t="s">
        <v>682</v>
      </c>
      <c r="B22" s="88">
        <v>1</v>
      </c>
      <c r="C22" s="88">
        <v>1</v>
      </c>
      <c r="D22" s="88">
        <v>1</v>
      </c>
      <c r="E22" s="88">
        <v>1</v>
      </c>
      <c r="F22" s="88">
        <v>1</v>
      </c>
      <c r="G22" s="88">
        <v>1</v>
      </c>
      <c r="H22" s="88">
        <v>1</v>
      </c>
      <c r="I22" s="88">
        <v>1</v>
      </c>
      <c r="J22" s="88">
        <v>1</v>
      </c>
      <c r="K22" s="88">
        <v>1</v>
      </c>
      <c r="L22" s="88">
        <v>1</v>
      </c>
      <c r="M22" s="88">
        <v>1</v>
      </c>
      <c r="N22" s="114"/>
    </row>
    <row r="23" spans="1:14" s="496" customFormat="1" ht="27" customHeight="1">
      <c r="A23" s="493" t="s">
        <v>529</v>
      </c>
      <c r="B23" s="494"/>
      <c r="C23" s="494"/>
      <c r="D23" s="494"/>
      <c r="E23" s="494"/>
      <c r="F23" s="494"/>
      <c r="G23" s="494"/>
      <c r="H23" s="494"/>
      <c r="I23" s="494"/>
      <c r="J23" s="494"/>
      <c r="K23" s="494"/>
      <c r="L23" s="494"/>
      <c r="M23" s="494"/>
      <c r="N23" s="495"/>
    </row>
    <row r="24" spans="1:14" s="64" customFormat="1" ht="12.75">
      <c r="A24" s="101" t="s">
        <v>562</v>
      </c>
      <c r="B24" s="88">
        <v>1</v>
      </c>
      <c r="C24" s="88">
        <v>1</v>
      </c>
      <c r="D24" s="88">
        <v>1</v>
      </c>
      <c r="E24" s="88">
        <v>1</v>
      </c>
      <c r="F24" s="88">
        <v>1</v>
      </c>
      <c r="G24" s="88">
        <v>1</v>
      </c>
      <c r="H24" s="88">
        <v>1</v>
      </c>
      <c r="I24" s="88">
        <v>1</v>
      </c>
      <c r="J24" s="88">
        <v>1</v>
      </c>
      <c r="K24" s="88">
        <v>1</v>
      </c>
      <c r="L24" s="88">
        <v>1</v>
      </c>
      <c r="M24" s="88">
        <v>1</v>
      </c>
      <c r="N24" s="114"/>
    </row>
    <row r="25" spans="1:14" s="64" customFormat="1" ht="12.75">
      <c r="A25" s="101" t="s">
        <v>837</v>
      </c>
      <c r="B25" s="88">
        <v>3</v>
      </c>
      <c r="C25" s="88">
        <v>3</v>
      </c>
      <c r="D25" s="88">
        <v>3</v>
      </c>
      <c r="E25" s="88">
        <v>3</v>
      </c>
      <c r="F25" s="88">
        <v>3</v>
      </c>
      <c r="G25" s="88">
        <v>3</v>
      </c>
      <c r="H25" s="88">
        <v>3</v>
      </c>
      <c r="I25" s="88">
        <v>4</v>
      </c>
      <c r="J25" s="88">
        <v>4</v>
      </c>
      <c r="K25" s="88">
        <v>4</v>
      </c>
      <c r="L25" s="88">
        <v>4</v>
      </c>
      <c r="M25" s="88">
        <v>4</v>
      </c>
      <c r="N25" s="114"/>
    </row>
    <row r="26" spans="1:14" s="64" customFormat="1" ht="12.75">
      <c r="A26" s="101" t="s">
        <v>838</v>
      </c>
      <c r="B26" s="88">
        <v>2</v>
      </c>
      <c r="C26" s="88">
        <v>2</v>
      </c>
      <c r="D26" s="88">
        <v>2</v>
      </c>
      <c r="E26" s="88">
        <v>2</v>
      </c>
      <c r="F26" s="88">
        <v>2</v>
      </c>
      <c r="G26" s="88">
        <v>2</v>
      </c>
      <c r="H26" s="88">
        <v>2</v>
      </c>
      <c r="I26" s="88">
        <v>2</v>
      </c>
      <c r="J26" s="88">
        <v>2</v>
      </c>
      <c r="K26" s="88">
        <v>2</v>
      </c>
      <c r="L26" s="88">
        <v>2</v>
      </c>
      <c r="M26" s="88">
        <v>2</v>
      </c>
      <c r="N26" s="114"/>
    </row>
    <row r="27" spans="1:14" s="496" customFormat="1" ht="29.25" customHeight="1">
      <c r="A27" s="493" t="s">
        <v>641</v>
      </c>
      <c r="B27" s="494"/>
      <c r="C27" s="494"/>
      <c r="D27" s="494"/>
      <c r="E27" s="494"/>
      <c r="F27" s="494"/>
      <c r="G27" s="494"/>
      <c r="H27" s="494"/>
      <c r="I27" s="494"/>
      <c r="J27" s="494"/>
      <c r="K27" s="494"/>
      <c r="L27" s="494"/>
      <c r="M27" s="494"/>
      <c r="N27" s="495"/>
    </row>
    <row r="28" spans="1:14" s="64" customFormat="1" ht="15" customHeight="1">
      <c r="A28" s="101" t="s">
        <v>562</v>
      </c>
      <c r="B28" s="88">
        <v>1</v>
      </c>
      <c r="C28" s="88">
        <v>1</v>
      </c>
      <c r="D28" s="88">
        <v>1</v>
      </c>
      <c r="E28" s="88">
        <v>1</v>
      </c>
      <c r="F28" s="88">
        <v>1</v>
      </c>
      <c r="G28" s="88">
        <v>1</v>
      </c>
      <c r="H28" s="88">
        <v>1</v>
      </c>
      <c r="I28" s="88">
        <v>1</v>
      </c>
      <c r="J28" s="88">
        <v>1</v>
      </c>
      <c r="K28" s="88">
        <v>1</v>
      </c>
      <c r="L28" s="88">
        <v>1</v>
      </c>
      <c r="M28" s="88">
        <v>1</v>
      </c>
      <c r="N28" s="114"/>
    </row>
    <row r="29" spans="1:14" s="64" customFormat="1" ht="15.75" customHeight="1">
      <c r="A29" s="101" t="s">
        <v>563</v>
      </c>
      <c r="B29" s="88">
        <v>2</v>
      </c>
      <c r="C29" s="88">
        <v>2</v>
      </c>
      <c r="D29" s="88">
        <v>2</v>
      </c>
      <c r="E29" s="88">
        <v>2</v>
      </c>
      <c r="F29" s="88">
        <v>2</v>
      </c>
      <c r="G29" s="88">
        <v>2</v>
      </c>
      <c r="H29" s="88">
        <v>2</v>
      </c>
      <c r="I29" s="88">
        <v>3</v>
      </c>
      <c r="J29" s="88">
        <v>3</v>
      </c>
      <c r="K29" s="88">
        <v>3</v>
      </c>
      <c r="L29" s="88">
        <v>3</v>
      </c>
      <c r="M29" s="88">
        <v>3</v>
      </c>
      <c r="N29" s="114"/>
    </row>
    <row r="30" spans="1:14" s="64" customFormat="1" ht="12.75">
      <c r="A30" s="101" t="s">
        <v>839</v>
      </c>
      <c r="B30" s="88">
        <v>0.5</v>
      </c>
      <c r="C30" s="88">
        <v>0.5</v>
      </c>
      <c r="D30" s="88">
        <v>0.5</v>
      </c>
      <c r="E30" s="88">
        <v>0.5</v>
      </c>
      <c r="F30" s="88">
        <v>0.5</v>
      </c>
      <c r="G30" s="88">
        <v>0.5</v>
      </c>
      <c r="H30" s="88">
        <v>0.5</v>
      </c>
      <c r="I30" s="88">
        <v>0.5</v>
      </c>
      <c r="J30" s="88">
        <v>0.5</v>
      </c>
      <c r="K30" s="88">
        <v>0.5</v>
      </c>
      <c r="L30" s="88">
        <v>0.5</v>
      </c>
      <c r="M30" s="88">
        <v>0.5</v>
      </c>
      <c r="N30" s="114"/>
    </row>
    <row r="31" spans="1:14" s="657" customFormat="1" ht="25.5">
      <c r="A31" s="401" t="s">
        <v>773</v>
      </c>
      <c r="B31" s="402">
        <v>2</v>
      </c>
      <c r="C31" s="402">
        <v>2</v>
      </c>
      <c r="D31" s="402">
        <v>2</v>
      </c>
      <c r="E31" s="402">
        <v>2</v>
      </c>
      <c r="F31" s="402">
        <v>2</v>
      </c>
      <c r="G31" s="402">
        <v>2</v>
      </c>
      <c r="H31" s="402">
        <v>2</v>
      </c>
      <c r="I31" s="402">
        <v>0</v>
      </c>
      <c r="J31" s="402">
        <v>0</v>
      </c>
      <c r="K31" s="402">
        <v>0</v>
      </c>
      <c r="L31" s="402">
        <v>0</v>
      </c>
      <c r="M31" s="402">
        <v>0</v>
      </c>
      <c r="N31" s="656"/>
    </row>
    <row r="32" spans="1:14" ht="25.5">
      <c r="A32" s="110" t="s">
        <v>771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/>
    </row>
    <row r="33" spans="1:14" ht="12.75">
      <c r="A33" s="100" t="s">
        <v>873</v>
      </c>
      <c r="B33" s="105">
        <v>2</v>
      </c>
      <c r="C33" s="105">
        <v>2</v>
      </c>
      <c r="D33" s="105">
        <v>2</v>
      </c>
      <c r="E33" s="105">
        <v>2</v>
      </c>
      <c r="F33" s="105">
        <v>2</v>
      </c>
      <c r="G33" s="105">
        <v>2</v>
      </c>
      <c r="H33" s="105">
        <v>2</v>
      </c>
      <c r="I33" s="105">
        <v>2</v>
      </c>
      <c r="J33" s="105">
        <v>2</v>
      </c>
      <c r="K33" s="105">
        <v>2</v>
      </c>
      <c r="L33" s="105">
        <v>2</v>
      </c>
      <c r="M33" s="105">
        <v>2</v>
      </c>
      <c r="N33"/>
    </row>
    <row r="34" spans="1:14" ht="12.75">
      <c r="A34" s="100" t="s">
        <v>876</v>
      </c>
      <c r="B34" s="105">
        <v>0.2</v>
      </c>
      <c r="C34" s="105">
        <v>0.2</v>
      </c>
      <c r="D34" s="105">
        <v>0.2</v>
      </c>
      <c r="E34" s="105">
        <v>0.2</v>
      </c>
      <c r="F34" s="105">
        <v>0.2</v>
      </c>
      <c r="G34" s="105">
        <v>0.2</v>
      </c>
      <c r="H34" s="105">
        <v>0.2</v>
      </c>
      <c r="I34" s="105">
        <v>0.2</v>
      </c>
      <c r="J34" s="105">
        <v>0.2</v>
      </c>
      <c r="K34" s="105">
        <v>0.2</v>
      </c>
      <c r="L34" s="105">
        <v>0.2</v>
      </c>
      <c r="M34" s="105">
        <v>0.2</v>
      </c>
      <c r="N34"/>
    </row>
    <row r="35" spans="1:17" ht="12.75">
      <c r="A35" s="100" t="s">
        <v>877</v>
      </c>
      <c r="B35" s="105">
        <v>0.05</v>
      </c>
      <c r="C35" s="105">
        <v>0.05</v>
      </c>
      <c r="D35" s="105">
        <v>0.05</v>
      </c>
      <c r="E35" s="105">
        <v>0.05</v>
      </c>
      <c r="F35" s="105">
        <v>0.05</v>
      </c>
      <c r="G35" s="105">
        <v>0.05</v>
      </c>
      <c r="H35" s="105">
        <v>0.05</v>
      </c>
      <c r="I35" s="105">
        <v>0.05</v>
      </c>
      <c r="J35" s="105">
        <v>0.05</v>
      </c>
      <c r="K35" s="105">
        <v>0.05</v>
      </c>
      <c r="L35" s="105">
        <v>0.05</v>
      </c>
      <c r="M35" s="105">
        <v>0.05</v>
      </c>
      <c r="N35"/>
      <c r="Q35">
        <f>SUM(M33:M41)</f>
        <v>3.8249999999999997</v>
      </c>
    </row>
    <row r="36" spans="1:14" ht="12.75">
      <c r="A36" s="100" t="s">
        <v>869</v>
      </c>
      <c r="B36" s="105">
        <v>0.15</v>
      </c>
      <c r="C36" s="105">
        <v>0.15</v>
      </c>
      <c r="D36" s="105">
        <v>0.15</v>
      </c>
      <c r="E36" s="105">
        <v>0.15</v>
      </c>
      <c r="F36" s="105">
        <v>0.15</v>
      </c>
      <c r="G36" s="105">
        <v>0.15</v>
      </c>
      <c r="H36" s="105">
        <v>0.15</v>
      </c>
      <c r="I36" s="105">
        <v>0.15</v>
      </c>
      <c r="J36" s="105">
        <v>0.15</v>
      </c>
      <c r="K36" s="105">
        <v>0.15</v>
      </c>
      <c r="L36" s="105">
        <v>0.15</v>
      </c>
      <c r="M36" s="105">
        <v>0.15</v>
      </c>
      <c r="N36"/>
    </row>
    <row r="37" spans="1:14" ht="12.75">
      <c r="A37" s="100" t="s">
        <v>870</v>
      </c>
      <c r="B37" s="105">
        <v>0.15</v>
      </c>
      <c r="C37" s="105">
        <v>0.15</v>
      </c>
      <c r="D37" s="105">
        <v>0.15</v>
      </c>
      <c r="E37" s="105">
        <v>0.15</v>
      </c>
      <c r="F37" s="105">
        <v>0.15</v>
      </c>
      <c r="G37" s="105">
        <v>0.15</v>
      </c>
      <c r="H37" s="105">
        <v>0.15</v>
      </c>
      <c r="I37" s="105">
        <v>0.15</v>
      </c>
      <c r="J37" s="105">
        <v>0.15</v>
      </c>
      <c r="K37" s="105">
        <v>0.15</v>
      </c>
      <c r="L37" s="105">
        <v>0.15</v>
      </c>
      <c r="M37" s="105">
        <v>0.15</v>
      </c>
      <c r="N37"/>
    </row>
    <row r="38" spans="1:14" ht="12.75">
      <c r="A38" s="100" t="s">
        <v>871</v>
      </c>
      <c r="B38" s="105">
        <v>0.5</v>
      </c>
      <c r="C38" s="105">
        <v>0.5</v>
      </c>
      <c r="D38" s="105">
        <v>0.5</v>
      </c>
      <c r="E38" s="105">
        <v>0.5</v>
      </c>
      <c r="F38" s="105">
        <v>0.5</v>
      </c>
      <c r="G38" s="105">
        <v>0.5</v>
      </c>
      <c r="H38" s="105">
        <v>0.5</v>
      </c>
      <c r="I38" s="105">
        <v>0.5</v>
      </c>
      <c r="J38" s="105">
        <v>0.5</v>
      </c>
      <c r="K38" s="105">
        <v>0.5</v>
      </c>
      <c r="L38" s="105">
        <v>0.5</v>
      </c>
      <c r="M38" s="105">
        <v>0.5</v>
      </c>
      <c r="N38"/>
    </row>
    <row r="39" spans="1:14" ht="12.75">
      <c r="A39" s="100" t="s">
        <v>872</v>
      </c>
      <c r="B39" s="105">
        <v>0.025</v>
      </c>
      <c r="C39" s="105">
        <v>0.025</v>
      </c>
      <c r="D39" s="105">
        <v>0.025</v>
      </c>
      <c r="E39" s="105">
        <v>0.025</v>
      </c>
      <c r="F39" s="105">
        <v>0.025</v>
      </c>
      <c r="G39" s="105">
        <v>0.025</v>
      </c>
      <c r="H39" s="105">
        <v>0.025</v>
      </c>
      <c r="I39" s="105">
        <v>0.025</v>
      </c>
      <c r="J39" s="105">
        <v>0.025</v>
      </c>
      <c r="K39" s="105">
        <v>0.025</v>
      </c>
      <c r="L39" s="105">
        <v>0.025</v>
      </c>
      <c r="M39" s="105">
        <v>0.025</v>
      </c>
      <c r="N39"/>
    </row>
    <row r="40" spans="1:14" ht="12.75">
      <c r="A40" s="100" t="s">
        <v>874</v>
      </c>
      <c r="B40" s="105">
        <v>0.25</v>
      </c>
      <c r="C40" s="105">
        <v>0.25</v>
      </c>
      <c r="D40" s="105">
        <v>0.25</v>
      </c>
      <c r="E40" s="105">
        <v>0.25</v>
      </c>
      <c r="F40" s="105">
        <v>0.25</v>
      </c>
      <c r="G40" s="105">
        <v>0.25</v>
      </c>
      <c r="H40" s="105">
        <v>0.25</v>
      </c>
      <c r="I40" s="105">
        <v>0.25</v>
      </c>
      <c r="J40" s="105">
        <v>0.25</v>
      </c>
      <c r="K40" s="105">
        <v>0.25</v>
      </c>
      <c r="L40" s="105">
        <v>0.25</v>
      </c>
      <c r="M40" s="105">
        <v>0.25</v>
      </c>
      <c r="N40"/>
    </row>
    <row r="41" spans="1:14" ht="12.75">
      <c r="A41" s="100" t="s">
        <v>875</v>
      </c>
      <c r="B41" s="105">
        <v>0.5</v>
      </c>
      <c r="C41" s="105">
        <v>0.5</v>
      </c>
      <c r="D41" s="105">
        <v>0.5</v>
      </c>
      <c r="E41" s="105">
        <v>0.5</v>
      </c>
      <c r="F41" s="105">
        <v>0.5</v>
      </c>
      <c r="G41" s="105">
        <v>0.5</v>
      </c>
      <c r="H41" s="105">
        <v>0.5</v>
      </c>
      <c r="I41" s="105">
        <v>0.5</v>
      </c>
      <c r="J41" s="105">
        <v>0.5</v>
      </c>
      <c r="K41" s="105">
        <v>0.5</v>
      </c>
      <c r="L41" s="105">
        <v>0.5</v>
      </c>
      <c r="M41" s="105">
        <v>0.5</v>
      </c>
      <c r="N41"/>
    </row>
    <row r="42" spans="1:14" s="94" customFormat="1" ht="25.5">
      <c r="A42" s="99" t="s">
        <v>703</v>
      </c>
      <c r="B42" s="93">
        <f aca="true" t="shared" si="0" ref="B42:M42">SUM(B10:B41)</f>
        <v>48.324999999999996</v>
      </c>
      <c r="C42" s="93">
        <f t="shared" si="0"/>
        <v>48.324999999999996</v>
      </c>
      <c r="D42" s="93">
        <f t="shared" si="0"/>
        <v>48.324999999999996</v>
      </c>
      <c r="E42" s="93">
        <f t="shared" si="0"/>
        <v>48.324999999999996</v>
      </c>
      <c r="F42" s="93">
        <f t="shared" si="0"/>
        <v>48.324999999999996</v>
      </c>
      <c r="G42" s="93">
        <f t="shared" si="0"/>
        <v>48.324999999999996</v>
      </c>
      <c r="H42" s="93">
        <f t="shared" si="0"/>
        <v>48.324999999999996</v>
      </c>
      <c r="I42" s="93">
        <f t="shared" si="0"/>
        <v>48.324999999999996</v>
      </c>
      <c r="J42" s="93">
        <f t="shared" si="0"/>
        <v>48.324999999999996</v>
      </c>
      <c r="K42" s="93">
        <f t="shared" si="0"/>
        <v>48.324999999999996</v>
      </c>
      <c r="L42" s="93">
        <f t="shared" si="0"/>
        <v>48.324999999999996</v>
      </c>
      <c r="M42" s="93">
        <f t="shared" si="0"/>
        <v>48.324999999999996</v>
      </c>
      <c r="N42" s="116"/>
    </row>
    <row r="43" spans="1:14" s="64" customFormat="1" ht="14.25" customHeight="1">
      <c r="A43" s="9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114"/>
    </row>
    <row r="44" spans="1:14" s="65" customFormat="1" ht="22.5" customHeight="1">
      <c r="A44" s="109" t="s">
        <v>361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90"/>
    </row>
    <row r="45" spans="1:14" s="64" customFormat="1" ht="12.75">
      <c r="A45" s="101" t="s">
        <v>409</v>
      </c>
      <c r="B45" s="88">
        <v>19</v>
      </c>
      <c r="C45" s="88">
        <v>19</v>
      </c>
      <c r="D45" s="88">
        <v>20</v>
      </c>
      <c r="E45" s="88">
        <v>19</v>
      </c>
      <c r="F45" s="88">
        <v>19</v>
      </c>
      <c r="G45" s="88">
        <v>19</v>
      </c>
      <c r="H45" s="88">
        <v>19</v>
      </c>
      <c r="I45" s="88">
        <v>20</v>
      </c>
      <c r="J45" s="88">
        <v>20</v>
      </c>
      <c r="K45" s="88">
        <v>20</v>
      </c>
      <c r="L45" s="88">
        <v>20</v>
      </c>
      <c r="M45" s="88">
        <v>20</v>
      </c>
      <c r="N45" s="114"/>
    </row>
    <row r="46" spans="1:14" s="64" customFormat="1" ht="12.75">
      <c r="A46" s="101" t="s">
        <v>683</v>
      </c>
      <c r="B46" s="88">
        <v>1</v>
      </c>
      <c r="C46" s="88">
        <v>1</v>
      </c>
      <c r="D46" s="88">
        <v>1</v>
      </c>
      <c r="E46" s="88">
        <v>2</v>
      </c>
      <c r="F46" s="88">
        <v>2</v>
      </c>
      <c r="G46" s="88">
        <v>2</v>
      </c>
      <c r="H46" s="88">
        <v>2</v>
      </c>
      <c r="I46" s="88">
        <v>1</v>
      </c>
      <c r="J46" s="88">
        <v>1</v>
      </c>
      <c r="K46" s="88">
        <v>1</v>
      </c>
      <c r="L46" s="88">
        <v>1</v>
      </c>
      <c r="M46" s="88">
        <v>1</v>
      </c>
      <c r="N46" s="114"/>
    </row>
    <row r="47" spans="1:14" s="65" customFormat="1" ht="21" customHeight="1">
      <c r="A47" s="99" t="s">
        <v>454</v>
      </c>
      <c r="B47" s="93">
        <f>SUM(B45:B46)</f>
        <v>20</v>
      </c>
      <c r="C47" s="93">
        <f aca="true" t="shared" si="1" ref="C47:M47">SUM(C45:C46)</f>
        <v>20</v>
      </c>
      <c r="D47" s="93">
        <f t="shared" si="1"/>
        <v>21</v>
      </c>
      <c r="E47" s="93">
        <f t="shared" si="1"/>
        <v>21</v>
      </c>
      <c r="F47" s="93">
        <f t="shared" si="1"/>
        <v>21</v>
      </c>
      <c r="G47" s="93">
        <f t="shared" si="1"/>
        <v>21</v>
      </c>
      <c r="H47" s="93">
        <f t="shared" si="1"/>
        <v>21</v>
      </c>
      <c r="I47" s="93">
        <f t="shared" si="1"/>
        <v>21</v>
      </c>
      <c r="J47" s="93">
        <f t="shared" si="1"/>
        <v>21</v>
      </c>
      <c r="K47" s="93">
        <f t="shared" si="1"/>
        <v>21</v>
      </c>
      <c r="L47" s="93">
        <f t="shared" si="1"/>
        <v>21</v>
      </c>
      <c r="M47" s="93">
        <f t="shared" si="1"/>
        <v>21</v>
      </c>
      <c r="N47" s="90"/>
    </row>
    <row r="48" spans="1:13" s="90" customFormat="1" ht="14.25" customHeight="1">
      <c r="A48" s="102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</row>
    <row r="49" spans="1:14" s="65" customFormat="1" ht="22.5" customHeight="1">
      <c r="A49" s="109" t="s">
        <v>431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90"/>
    </row>
    <row r="50" spans="1:14" s="113" customFormat="1" ht="22.5" customHeight="1">
      <c r="A50" s="110" t="s">
        <v>684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2"/>
    </row>
    <row r="51" spans="1:14" s="64" customFormat="1" ht="12.75">
      <c r="A51" s="101" t="s">
        <v>565</v>
      </c>
      <c r="B51" s="88">
        <v>1</v>
      </c>
      <c r="C51" s="88">
        <v>1</v>
      </c>
      <c r="D51" s="88">
        <v>1</v>
      </c>
      <c r="E51" s="88">
        <v>1</v>
      </c>
      <c r="F51" s="88">
        <v>1</v>
      </c>
      <c r="G51" s="88">
        <v>1</v>
      </c>
      <c r="H51" s="88">
        <v>1</v>
      </c>
      <c r="I51" s="88">
        <v>1</v>
      </c>
      <c r="J51" s="88">
        <v>1</v>
      </c>
      <c r="K51" s="88">
        <v>1</v>
      </c>
      <c r="L51" s="88">
        <v>1</v>
      </c>
      <c r="M51" s="88">
        <v>1</v>
      </c>
      <c r="N51" s="114"/>
    </row>
    <row r="52" spans="1:14" s="64" customFormat="1" ht="12.75">
      <c r="A52" s="103" t="s">
        <v>566</v>
      </c>
      <c r="B52" s="88">
        <v>1</v>
      </c>
      <c r="C52" s="88">
        <v>1</v>
      </c>
      <c r="D52" s="88">
        <v>1</v>
      </c>
      <c r="E52" s="88">
        <v>1</v>
      </c>
      <c r="F52" s="88">
        <v>1</v>
      </c>
      <c r="G52" s="88">
        <v>1</v>
      </c>
      <c r="H52" s="88">
        <v>1</v>
      </c>
      <c r="I52" s="88">
        <v>1</v>
      </c>
      <c r="J52" s="88">
        <v>1</v>
      </c>
      <c r="K52" s="88">
        <v>1</v>
      </c>
      <c r="L52" s="88">
        <v>1</v>
      </c>
      <c r="M52" s="88">
        <v>1</v>
      </c>
      <c r="N52" s="114"/>
    </row>
    <row r="53" spans="1:14" s="113" customFormat="1" ht="22.5" customHeight="1">
      <c r="A53" s="110" t="s">
        <v>688</v>
      </c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2"/>
    </row>
    <row r="54" spans="1:14" s="64" customFormat="1" ht="15" customHeight="1">
      <c r="A54" s="101" t="s">
        <v>719</v>
      </c>
      <c r="B54" s="88">
        <v>1</v>
      </c>
      <c r="C54" s="88">
        <v>1</v>
      </c>
      <c r="D54" s="88">
        <v>1</v>
      </c>
      <c r="E54" s="88">
        <v>1</v>
      </c>
      <c r="F54" s="88">
        <v>1</v>
      </c>
      <c r="G54" s="88">
        <v>1</v>
      </c>
      <c r="H54" s="88">
        <v>1</v>
      </c>
      <c r="I54" s="88">
        <v>1</v>
      </c>
      <c r="J54" s="88">
        <v>1</v>
      </c>
      <c r="K54" s="88">
        <v>1</v>
      </c>
      <c r="L54" s="88">
        <v>1</v>
      </c>
      <c r="M54" s="88">
        <v>1</v>
      </c>
      <c r="N54" s="114"/>
    </row>
    <row r="55" spans="1:14" s="113" customFormat="1" ht="22.5" customHeight="1">
      <c r="A55" s="110" t="s">
        <v>685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2"/>
    </row>
    <row r="56" spans="1:14" s="64" customFormat="1" ht="12.75">
      <c r="A56" s="101" t="s">
        <v>686</v>
      </c>
      <c r="B56" s="88">
        <v>1</v>
      </c>
      <c r="C56" s="88">
        <v>1</v>
      </c>
      <c r="D56" s="88">
        <v>1</v>
      </c>
      <c r="E56" s="88">
        <v>1</v>
      </c>
      <c r="F56" s="88">
        <v>1</v>
      </c>
      <c r="G56" s="88">
        <v>1</v>
      </c>
      <c r="H56" s="88">
        <v>1</v>
      </c>
      <c r="I56" s="88">
        <v>1</v>
      </c>
      <c r="J56" s="88">
        <v>1</v>
      </c>
      <c r="K56" s="88">
        <v>1</v>
      </c>
      <c r="L56" s="88">
        <v>1</v>
      </c>
      <c r="M56" s="88">
        <v>1</v>
      </c>
      <c r="N56" s="114"/>
    </row>
    <row r="57" spans="1:14" s="64" customFormat="1" ht="12.75">
      <c r="A57" s="101" t="s">
        <v>687</v>
      </c>
      <c r="B57" s="88">
        <v>1</v>
      </c>
      <c r="C57" s="88">
        <v>1</v>
      </c>
      <c r="D57" s="88">
        <v>1</v>
      </c>
      <c r="E57" s="88">
        <v>1</v>
      </c>
      <c r="F57" s="88">
        <v>1</v>
      </c>
      <c r="G57" s="88">
        <v>1</v>
      </c>
      <c r="H57" s="88">
        <v>1</v>
      </c>
      <c r="I57" s="88">
        <v>1</v>
      </c>
      <c r="J57" s="88">
        <v>1</v>
      </c>
      <c r="K57" s="88">
        <v>1</v>
      </c>
      <c r="L57" s="88">
        <v>1</v>
      </c>
      <c r="M57" s="88">
        <v>1</v>
      </c>
      <c r="N57" s="114"/>
    </row>
    <row r="58" spans="1:14" s="64" customFormat="1" ht="12.75">
      <c r="A58" s="101" t="s">
        <v>840</v>
      </c>
      <c r="B58" s="88">
        <v>1</v>
      </c>
      <c r="C58" s="88">
        <v>1</v>
      </c>
      <c r="D58" s="88">
        <v>1</v>
      </c>
      <c r="E58" s="88">
        <v>1</v>
      </c>
      <c r="F58" s="88">
        <v>1</v>
      </c>
      <c r="G58" s="88">
        <v>1</v>
      </c>
      <c r="H58" s="88">
        <v>1</v>
      </c>
      <c r="I58" s="88">
        <v>1</v>
      </c>
      <c r="J58" s="88">
        <v>1</v>
      </c>
      <c r="K58" s="88">
        <v>1</v>
      </c>
      <c r="L58" s="88">
        <v>1</v>
      </c>
      <c r="M58" s="88">
        <v>1</v>
      </c>
      <c r="N58" s="114"/>
    </row>
    <row r="59" spans="1:14" s="113" customFormat="1" ht="22.5" customHeight="1">
      <c r="A59" s="110" t="s">
        <v>987</v>
      </c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2"/>
    </row>
    <row r="60" spans="1:14" s="64" customFormat="1" ht="12.75">
      <c r="A60" s="100" t="s">
        <v>988</v>
      </c>
      <c r="B60" s="105">
        <v>0</v>
      </c>
      <c r="C60" s="105">
        <v>0</v>
      </c>
      <c r="D60" s="105">
        <v>0</v>
      </c>
      <c r="E60" s="105">
        <v>0</v>
      </c>
      <c r="F60" s="105">
        <v>0</v>
      </c>
      <c r="G60" s="105">
        <v>0</v>
      </c>
      <c r="H60" s="88">
        <v>1</v>
      </c>
      <c r="I60" s="88">
        <v>1</v>
      </c>
      <c r="J60" s="88">
        <v>1</v>
      </c>
      <c r="K60" s="88">
        <v>1</v>
      </c>
      <c r="L60" s="88">
        <v>1</v>
      </c>
      <c r="M60" s="88">
        <v>1</v>
      </c>
      <c r="N60" s="114"/>
    </row>
    <row r="61" spans="1:14" s="64" customFormat="1" ht="12.75">
      <c r="A61" s="100" t="s">
        <v>989</v>
      </c>
      <c r="B61" s="105">
        <v>0</v>
      </c>
      <c r="C61" s="105">
        <v>0</v>
      </c>
      <c r="D61" s="105">
        <v>0</v>
      </c>
      <c r="E61" s="105">
        <v>0</v>
      </c>
      <c r="F61" s="105">
        <v>0</v>
      </c>
      <c r="G61" s="105">
        <v>0</v>
      </c>
      <c r="H61" s="88">
        <v>3</v>
      </c>
      <c r="I61" s="88">
        <v>3</v>
      </c>
      <c r="J61" s="88">
        <v>3</v>
      </c>
      <c r="K61" s="88">
        <v>3</v>
      </c>
      <c r="L61" s="88">
        <v>3</v>
      </c>
      <c r="M61" s="88">
        <v>3</v>
      </c>
      <c r="N61" s="114"/>
    </row>
    <row r="62" spans="1:14" s="113" customFormat="1" ht="22.5" customHeight="1">
      <c r="A62" s="110" t="s">
        <v>350</v>
      </c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2"/>
    </row>
    <row r="63" spans="1:14" s="64" customFormat="1" ht="12.75">
      <c r="A63" s="100" t="s">
        <v>351</v>
      </c>
      <c r="B63" s="105">
        <v>5</v>
      </c>
      <c r="C63" s="105">
        <v>5</v>
      </c>
      <c r="D63" s="105">
        <v>5</v>
      </c>
      <c r="E63" s="105">
        <v>5</v>
      </c>
      <c r="F63" s="105">
        <v>5</v>
      </c>
      <c r="G63" s="105">
        <v>5</v>
      </c>
      <c r="H63" s="88">
        <v>5</v>
      </c>
      <c r="I63" s="88">
        <v>5</v>
      </c>
      <c r="J63" s="88">
        <v>5</v>
      </c>
      <c r="K63" s="88">
        <v>5</v>
      </c>
      <c r="L63" s="88">
        <v>5</v>
      </c>
      <c r="M63" s="88">
        <v>5</v>
      </c>
      <c r="N63" s="114"/>
    </row>
    <row r="64" spans="1:14" ht="25.5">
      <c r="A64" s="110" t="s">
        <v>767</v>
      </c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/>
    </row>
    <row r="65" spans="1:14" ht="12.75">
      <c r="A65" s="101" t="s">
        <v>841</v>
      </c>
      <c r="B65" s="105">
        <v>0.375</v>
      </c>
      <c r="C65" s="105">
        <v>0.375</v>
      </c>
      <c r="D65" s="105">
        <v>0.375</v>
      </c>
      <c r="E65" s="105">
        <v>0.375</v>
      </c>
      <c r="F65" s="105">
        <v>0.375</v>
      </c>
      <c r="G65" s="105">
        <v>0.375</v>
      </c>
      <c r="H65" s="105">
        <v>0.375</v>
      </c>
      <c r="I65" s="105">
        <v>0.375</v>
      </c>
      <c r="J65" s="105">
        <v>0.375</v>
      </c>
      <c r="K65" s="105">
        <v>0.375</v>
      </c>
      <c r="L65" s="105">
        <v>0.375</v>
      </c>
      <c r="M65" s="105">
        <v>0.375</v>
      </c>
      <c r="N65"/>
    </row>
    <row r="66" spans="1:14" ht="12.75">
      <c r="A66" s="101" t="s">
        <v>842</v>
      </c>
      <c r="B66" s="105">
        <v>0.375</v>
      </c>
      <c r="C66" s="105">
        <v>0.375</v>
      </c>
      <c r="D66" s="105">
        <v>0.375</v>
      </c>
      <c r="E66" s="105">
        <v>0.375</v>
      </c>
      <c r="F66" s="105">
        <v>0.375</v>
      </c>
      <c r="G66" s="105">
        <v>0.375</v>
      </c>
      <c r="H66" s="105">
        <v>0.375</v>
      </c>
      <c r="I66" s="105">
        <v>0.375</v>
      </c>
      <c r="J66" s="105">
        <v>0.375</v>
      </c>
      <c r="K66" s="105">
        <v>0.375</v>
      </c>
      <c r="L66" s="105">
        <v>0.375</v>
      </c>
      <c r="M66" s="105">
        <v>0.375</v>
      </c>
      <c r="N66"/>
    </row>
    <row r="67" spans="1:14" ht="12.75">
      <c r="A67" s="101" t="s">
        <v>562</v>
      </c>
      <c r="B67" s="105">
        <v>1</v>
      </c>
      <c r="C67" s="105">
        <v>1</v>
      </c>
      <c r="D67" s="105">
        <v>1</v>
      </c>
      <c r="E67" s="105">
        <v>1</v>
      </c>
      <c r="F67" s="105">
        <v>1</v>
      </c>
      <c r="G67" s="105">
        <v>1</v>
      </c>
      <c r="H67" s="105">
        <v>1</v>
      </c>
      <c r="I67" s="105">
        <v>1</v>
      </c>
      <c r="J67" s="105">
        <v>1</v>
      </c>
      <c r="K67" s="105">
        <v>1</v>
      </c>
      <c r="L67" s="105">
        <v>1</v>
      </c>
      <c r="M67" s="105">
        <v>1</v>
      </c>
      <c r="N67"/>
    </row>
    <row r="68" spans="1:14" ht="12.75">
      <c r="A68" s="101" t="s">
        <v>843</v>
      </c>
      <c r="B68" s="105">
        <v>0.5</v>
      </c>
      <c r="C68" s="105">
        <v>0.5</v>
      </c>
      <c r="D68" s="105">
        <v>0.5</v>
      </c>
      <c r="E68" s="105">
        <v>0.5</v>
      </c>
      <c r="F68" s="105">
        <v>0.5</v>
      </c>
      <c r="G68" s="105">
        <v>0.5</v>
      </c>
      <c r="H68" s="105">
        <v>0.5</v>
      </c>
      <c r="I68" s="105">
        <v>0.5</v>
      </c>
      <c r="J68" s="105">
        <v>0.5</v>
      </c>
      <c r="K68" s="105">
        <v>0.5</v>
      </c>
      <c r="L68" s="105">
        <v>0.5</v>
      </c>
      <c r="M68" s="105">
        <v>0.5</v>
      </c>
      <c r="N68"/>
    </row>
    <row r="69" spans="1:14" ht="12.75">
      <c r="A69" s="101" t="s">
        <v>793</v>
      </c>
      <c r="B69" s="105">
        <v>1</v>
      </c>
      <c r="C69" s="105">
        <v>1</v>
      </c>
      <c r="D69" s="105">
        <v>1</v>
      </c>
      <c r="E69" s="105">
        <v>1</v>
      </c>
      <c r="F69" s="105">
        <v>1</v>
      </c>
      <c r="G69" s="105">
        <v>1</v>
      </c>
      <c r="H69" s="105">
        <v>1</v>
      </c>
      <c r="I69" s="105">
        <v>1</v>
      </c>
      <c r="J69" s="105">
        <v>1</v>
      </c>
      <c r="K69" s="105">
        <v>1</v>
      </c>
      <c r="L69" s="105">
        <v>1</v>
      </c>
      <c r="M69" s="105">
        <v>1</v>
      </c>
      <c r="N69"/>
    </row>
    <row r="70" spans="1:14" ht="12.75">
      <c r="A70" s="101" t="s">
        <v>665</v>
      </c>
      <c r="B70" s="105">
        <v>2</v>
      </c>
      <c r="C70" s="105">
        <v>2</v>
      </c>
      <c r="D70" s="105">
        <v>2</v>
      </c>
      <c r="E70" s="105">
        <v>2</v>
      </c>
      <c r="F70" s="105">
        <v>2</v>
      </c>
      <c r="G70" s="105">
        <v>2</v>
      </c>
      <c r="H70" s="105">
        <v>2</v>
      </c>
      <c r="I70" s="105">
        <v>2</v>
      </c>
      <c r="J70" s="105">
        <v>2</v>
      </c>
      <c r="K70" s="105">
        <v>2</v>
      </c>
      <c r="L70" s="105">
        <v>2</v>
      </c>
      <c r="M70" s="105">
        <v>2</v>
      </c>
      <c r="N70"/>
    </row>
    <row r="71" spans="1:14" ht="12.75">
      <c r="A71" s="101" t="s">
        <v>774</v>
      </c>
      <c r="B71" s="105">
        <v>1</v>
      </c>
      <c r="C71" s="105">
        <v>1</v>
      </c>
      <c r="D71" s="105">
        <v>1</v>
      </c>
      <c r="E71" s="105">
        <v>1</v>
      </c>
      <c r="F71" s="105">
        <v>1</v>
      </c>
      <c r="G71" s="105">
        <v>1</v>
      </c>
      <c r="H71" s="105">
        <v>1</v>
      </c>
      <c r="I71" s="105">
        <v>1</v>
      </c>
      <c r="J71" s="105">
        <v>1</v>
      </c>
      <c r="K71" s="105">
        <v>1</v>
      </c>
      <c r="L71" s="105">
        <v>1</v>
      </c>
      <c r="M71" s="105">
        <v>1</v>
      </c>
      <c r="N71"/>
    </row>
    <row r="72" spans="1:14" ht="15.75" customHeight="1">
      <c r="A72" s="101" t="s">
        <v>768</v>
      </c>
      <c r="B72" s="105">
        <v>0.5</v>
      </c>
      <c r="C72" s="105">
        <v>0.5</v>
      </c>
      <c r="D72" s="105">
        <v>0.5</v>
      </c>
      <c r="E72" s="105">
        <v>0.5</v>
      </c>
      <c r="F72" s="105">
        <v>0.5</v>
      </c>
      <c r="G72" s="105">
        <v>0.5</v>
      </c>
      <c r="H72" s="105">
        <v>0.5</v>
      </c>
      <c r="I72" s="105">
        <v>0.5</v>
      </c>
      <c r="J72" s="105">
        <v>0.5</v>
      </c>
      <c r="K72" s="105">
        <v>0.5</v>
      </c>
      <c r="L72" s="105">
        <v>0.5</v>
      </c>
      <c r="M72" s="105">
        <v>0.5</v>
      </c>
      <c r="N72"/>
    </row>
    <row r="73" spans="1:14" ht="25.5">
      <c r="A73" s="110" t="s">
        <v>769</v>
      </c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/>
    </row>
    <row r="74" spans="1:14" ht="12.75">
      <c r="A74" s="100" t="s">
        <v>562</v>
      </c>
      <c r="B74" s="105">
        <v>1</v>
      </c>
      <c r="C74" s="105">
        <v>1</v>
      </c>
      <c r="D74" s="105">
        <v>1</v>
      </c>
      <c r="E74" s="105">
        <v>1</v>
      </c>
      <c r="F74" s="105">
        <v>1</v>
      </c>
      <c r="G74" s="105">
        <v>1</v>
      </c>
      <c r="H74" s="105">
        <v>1</v>
      </c>
      <c r="I74" s="105">
        <v>1</v>
      </c>
      <c r="J74" s="105">
        <v>1</v>
      </c>
      <c r="K74" s="105">
        <v>1</v>
      </c>
      <c r="L74" s="105">
        <v>1</v>
      </c>
      <c r="M74" s="105">
        <v>0</v>
      </c>
      <c r="N74"/>
    </row>
    <row r="75" spans="1:14" ht="12.75">
      <c r="A75" s="100" t="s">
        <v>844</v>
      </c>
      <c r="B75" s="105">
        <v>1</v>
      </c>
      <c r="C75" s="105">
        <v>1</v>
      </c>
      <c r="D75" s="105">
        <v>1</v>
      </c>
      <c r="E75" s="105">
        <v>1</v>
      </c>
      <c r="F75" s="105">
        <v>1</v>
      </c>
      <c r="G75" s="105">
        <v>1</v>
      </c>
      <c r="H75" s="105">
        <v>1</v>
      </c>
      <c r="I75" s="105">
        <v>1</v>
      </c>
      <c r="J75" s="105">
        <v>1</v>
      </c>
      <c r="K75" s="105">
        <v>1</v>
      </c>
      <c r="L75" s="105">
        <v>1</v>
      </c>
      <c r="M75" s="105">
        <v>1</v>
      </c>
      <c r="N75"/>
    </row>
    <row r="76" spans="1:14" ht="12.75">
      <c r="A76" s="100" t="s">
        <v>845</v>
      </c>
      <c r="B76" s="105">
        <v>0.5</v>
      </c>
      <c r="C76" s="105">
        <v>0.5</v>
      </c>
      <c r="D76" s="105">
        <v>0.5</v>
      </c>
      <c r="E76" s="105">
        <v>0.5</v>
      </c>
      <c r="F76" s="105">
        <v>0.5</v>
      </c>
      <c r="G76" s="105">
        <v>0.5</v>
      </c>
      <c r="H76" s="105">
        <v>0.5</v>
      </c>
      <c r="I76" s="105">
        <v>0.5</v>
      </c>
      <c r="J76" s="105">
        <v>0.5</v>
      </c>
      <c r="K76" s="105">
        <v>0.5</v>
      </c>
      <c r="L76" s="105">
        <v>0.5</v>
      </c>
      <c r="M76" s="105">
        <v>0</v>
      </c>
      <c r="N76"/>
    </row>
    <row r="77" spans="1:14" ht="12.75">
      <c r="A77" s="100" t="s">
        <v>846</v>
      </c>
      <c r="B77" s="105">
        <v>2.25</v>
      </c>
      <c r="C77" s="105">
        <v>2.25</v>
      </c>
      <c r="D77" s="105">
        <v>2.25</v>
      </c>
      <c r="E77" s="105">
        <v>2.25</v>
      </c>
      <c r="F77" s="105">
        <v>2.25</v>
      </c>
      <c r="G77" s="105">
        <v>2.25</v>
      </c>
      <c r="H77" s="105">
        <v>2.25</v>
      </c>
      <c r="I77" s="105">
        <v>2.25</v>
      </c>
      <c r="J77" s="105">
        <v>2.25</v>
      </c>
      <c r="K77" s="105">
        <v>2.25</v>
      </c>
      <c r="L77" s="105">
        <v>2.25</v>
      </c>
      <c r="M77" s="105">
        <v>0</v>
      </c>
      <c r="N77"/>
    </row>
    <row r="78" spans="1:13" s="624" customFormat="1" ht="12.75">
      <c r="A78" s="622" t="s">
        <v>847</v>
      </c>
      <c r="B78" s="623">
        <v>1</v>
      </c>
      <c r="C78" s="623">
        <v>1</v>
      </c>
      <c r="D78" s="623">
        <v>1</v>
      </c>
      <c r="E78" s="623">
        <v>1</v>
      </c>
      <c r="F78" s="623">
        <v>1</v>
      </c>
      <c r="G78" s="623">
        <v>1</v>
      </c>
      <c r="H78" s="623">
        <v>1</v>
      </c>
      <c r="I78" s="623">
        <v>1</v>
      </c>
      <c r="J78" s="623">
        <v>1</v>
      </c>
      <c r="K78" s="623">
        <v>1</v>
      </c>
      <c r="L78" s="623">
        <v>1</v>
      </c>
      <c r="M78" s="623">
        <v>1</v>
      </c>
    </row>
    <row r="79" spans="1:13" s="624" customFormat="1" ht="12.75">
      <c r="A79" s="622" t="s">
        <v>848</v>
      </c>
      <c r="B79" s="623">
        <v>2</v>
      </c>
      <c r="C79" s="623">
        <v>2</v>
      </c>
      <c r="D79" s="623">
        <v>2</v>
      </c>
      <c r="E79" s="623">
        <v>2</v>
      </c>
      <c r="F79" s="623">
        <v>2</v>
      </c>
      <c r="G79" s="623">
        <v>2</v>
      </c>
      <c r="H79" s="623">
        <v>2</v>
      </c>
      <c r="I79" s="623">
        <v>2</v>
      </c>
      <c r="J79" s="623">
        <v>2</v>
      </c>
      <c r="K79" s="623">
        <v>2</v>
      </c>
      <c r="L79" s="623">
        <v>2</v>
      </c>
      <c r="M79" s="105">
        <v>0</v>
      </c>
    </row>
    <row r="80" spans="1:14" ht="12.75">
      <c r="A80" s="110" t="s">
        <v>770</v>
      </c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/>
    </row>
    <row r="81" spans="1:13" s="614" customFormat="1" ht="12.75">
      <c r="A81" s="100" t="s">
        <v>849</v>
      </c>
      <c r="B81" s="105">
        <v>1</v>
      </c>
      <c r="C81" s="105">
        <v>1</v>
      </c>
      <c r="D81" s="105">
        <v>1</v>
      </c>
      <c r="E81" s="105">
        <v>1</v>
      </c>
      <c r="F81" s="105">
        <v>1</v>
      </c>
      <c r="G81" s="105">
        <v>1</v>
      </c>
      <c r="H81" s="105">
        <v>1</v>
      </c>
      <c r="I81" s="105">
        <v>1</v>
      </c>
      <c r="J81" s="105">
        <v>1</v>
      </c>
      <c r="K81" s="105">
        <v>1</v>
      </c>
      <c r="L81" s="105">
        <v>1</v>
      </c>
      <c r="M81" s="105">
        <v>1</v>
      </c>
    </row>
    <row r="82" spans="1:14" ht="25.5">
      <c r="A82" s="110" t="s">
        <v>771</v>
      </c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/>
    </row>
    <row r="83" spans="1:13" s="614" customFormat="1" ht="12.75">
      <c r="A83" s="100" t="s">
        <v>851</v>
      </c>
      <c r="B83" s="105">
        <v>0.25</v>
      </c>
      <c r="C83" s="105">
        <v>0.25</v>
      </c>
      <c r="D83" s="105">
        <v>0.25</v>
      </c>
      <c r="E83" s="105">
        <v>0.25</v>
      </c>
      <c r="F83" s="105">
        <v>0.25</v>
      </c>
      <c r="G83" s="105">
        <v>0.25</v>
      </c>
      <c r="H83" s="105">
        <v>0.25</v>
      </c>
      <c r="I83" s="105">
        <v>0.25</v>
      </c>
      <c r="J83" s="105">
        <v>0.25</v>
      </c>
      <c r="K83" s="105">
        <v>0.25</v>
      </c>
      <c r="L83" s="105">
        <v>0.25</v>
      </c>
      <c r="M83" s="105">
        <v>0.25</v>
      </c>
    </row>
    <row r="84" spans="1:13" s="614" customFormat="1" ht="12.75">
      <c r="A84" s="100" t="s">
        <v>850</v>
      </c>
      <c r="B84" s="105">
        <v>0.5</v>
      </c>
      <c r="C84" s="105">
        <v>0.5</v>
      </c>
      <c r="D84" s="105">
        <v>0.5</v>
      </c>
      <c r="E84" s="105">
        <v>0.5</v>
      </c>
      <c r="F84" s="105">
        <v>0.5</v>
      </c>
      <c r="G84" s="105">
        <v>0.5</v>
      </c>
      <c r="H84" s="105">
        <v>0.5</v>
      </c>
      <c r="I84" s="105">
        <v>0.5</v>
      </c>
      <c r="J84" s="105">
        <v>0.5</v>
      </c>
      <c r="K84" s="105">
        <v>0.5</v>
      </c>
      <c r="L84" s="105">
        <v>0.5</v>
      </c>
      <c r="M84" s="105">
        <v>0.5</v>
      </c>
    </row>
    <row r="85" spans="1:14" s="65" customFormat="1" ht="21" customHeight="1">
      <c r="A85" s="99" t="s">
        <v>374</v>
      </c>
      <c r="B85" s="93">
        <f aca="true" t="shared" si="2" ref="B85:M85">SUM(B51:B84)</f>
        <v>27.25</v>
      </c>
      <c r="C85" s="93">
        <f t="shared" si="2"/>
        <v>27.25</v>
      </c>
      <c r="D85" s="93">
        <f t="shared" si="2"/>
        <v>27.25</v>
      </c>
      <c r="E85" s="93">
        <f t="shared" si="2"/>
        <v>27.25</v>
      </c>
      <c r="F85" s="93">
        <f t="shared" si="2"/>
        <v>27.25</v>
      </c>
      <c r="G85" s="93">
        <f t="shared" si="2"/>
        <v>27.25</v>
      </c>
      <c r="H85" s="93">
        <f t="shared" si="2"/>
        <v>31.25</v>
      </c>
      <c r="I85" s="93">
        <f t="shared" si="2"/>
        <v>31.25</v>
      </c>
      <c r="J85" s="93">
        <f t="shared" si="2"/>
        <v>31.25</v>
      </c>
      <c r="K85" s="93">
        <f t="shared" si="2"/>
        <v>31.25</v>
      </c>
      <c r="L85" s="93">
        <f t="shared" si="2"/>
        <v>31.25</v>
      </c>
      <c r="M85" s="93">
        <f t="shared" si="2"/>
        <v>25.5</v>
      </c>
      <c r="N85" s="90"/>
    </row>
    <row r="86" spans="1:14" s="64" customFormat="1" ht="14.25" customHeight="1">
      <c r="A86" s="9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114"/>
    </row>
    <row r="87" spans="1:14" s="65" customFormat="1" ht="22.5" customHeight="1">
      <c r="A87" s="109" t="s">
        <v>713</v>
      </c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90"/>
    </row>
    <row r="88" spans="1:14" s="64" customFormat="1" ht="12.75">
      <c r="A88" s="101" t="s">
        <v>794</v>
      </c>
      <c r="B88" s="88">
        <v>1</v>
      </c>
      <c r="C88" s="88">
        <v>1</v>
      </c>
      <c r="D88" s="88">
        <v>1</v>
      </c>
      <c r="E88" s="88">
        <v>1</v>
      </c>
      <c r="F88" s="88">
        <v>1</v>
      </c>
      <c r="G88" s="88">
        <v>1</v>
      </c>
      <c r="H88" s="88">
        <v>1</v>
      </c>
      <c r="I88" s="88">
        <v>1</v>
      </c>
      <c r="J88" s="88">
        <v>1</v>
      </c>
      <c r="K88" s="88">
        <v>1</v>
      </c>
      <c r="L88" s="88">
        <v>1</v>
      </c>
      <c r="M88" s="88">
        <v>1</v>
      </c>
      <c r="N88" s="114"/>
    </row>
    <row r="89" spans="1:14" s="64" customFormat="1" ht="12.75">
      <c r="A89" s="101" t="s">
        <v>689</v>
      </c>
      <c r="B89" s="88">
        <v>1</v>
      </c>
      <c r="C89" s="88">
        <v>1</v>
      </c>
      <c r="D89" s="88">
        <v>1</v>
      </c>
      <c r="E89" s="88">
        <v>1</v>
      </c>
      <c r="F89" s="88">
        <v>1</v>
      </c>
      <c r="G89" s="88">
        <v>1</v>
      </c>
      <c r="H89" s="88">
        <v>1</v>
      </c>
      <c r="I89" s="88">
        <v>1</v>
      </c>
      <c r="J89" s="88">
        <v>1</v>
      </c>
      <c r="K89" s="88">
        <v>1</v>
      </c>
      <c r="L89" s="88">
        <v>1</v>
      </c>
      <c r="M89" s="88">
        <v>1</v>
      </c>
      <c r="N89" s="114"/>
    </row>
    <row r="90" spans="1:14" s="64" customFormat="1" ht="12.75">
      <c r="A90" s="101" t="s">
        <v>795</v>
      </c>
      <c r="B90" s="88">
        <v>1</v>
      </c>
      <c r="C90" s="88">
        <v>1</v>
      </c>
      <c r="D90" s="88">
        <v>1</v>
      </c>
      <c r="E90" s="88">
        <v>1</v>
      </c>
      <c r="F90" s="88">
        <v>1</v>
      </c>
      <c r="G90" s="88">
        <v>1</v>
      </c>
      <c r="H90" s="88">
        <v>1</v>
      </c>
      <c r="I90" s="88">
        <v>1</v>
      </c>
      <c r="J90" s="88">
        <v>1</v>
      </c>
      <c r="K90" s="88">
        <v>1</v>
      </c>
      <c r="L90" s="88">
        <v>1</v>
      </c>
      <c r="M90" s="88">
        <v>1</v>
      </c>
      <c r="N90" s="114"/>
    </row>
    <row r="91" spans="1:14" s="64" customFormat="1" ht="12.75">
      <c r="A91" s="101" t="s">
        <v>796</v>
      </c>
      <c r="B91" s="88">
        <v>1</v>
      </c>
      <c r="C91" s="88">
        <v>1</v>
      </c>
      <c r="D91" s="88">
        <v>1</v>
      </c>
      <c r="E91" s="88">
        <v>1</v>
      </c>
      <c r="F91" s="88">
        <v>1</v>
      </c>
      <c r="G91" s="88">
        <v>1</v>
      </c>
      <c r="H91" s="88">
        <v>1</v>
      </c>
      <c r="I91" s="88">
        <v>1</v>
      </c>
      <c r="J91" s="88">
        <v>1</v>
      </c>
      <c r="K91" s="88">
        <v>1</v>
      </c>
      <c r="L91" s="88">
        <v>1</v>
      </c>
      <c r="M91" s="88">
        <v>1</v>
      </c>
      <c r="N91" s="114"/>
    </row>
    <row r="92" spans="1:14" s="64" customFormat="1" ht="12.75">
      <c r="A92" s="101" t="s">
        <v>797</v>
      </c>
      <c r="B92" s="88">
        <v>0</v>
      </c>
      <c r="C92" s="88">
        <v>0</v>
      </c>
      <c r="D92" s="88">
        <v>2</v>
      </c>
      <c r="E92" s="88">
        <v>2</v>
      </c>
      <c r="F92" s="88">
        <v>2</v>
      </c>
      <c r="G92" s="88">
        <v>2</v>
      </c>
      <c r="H92" s="88">
        <v>2</v>
      </c>
      <c r="I92" s="88">
        <v>2</v>
      </c>
      <c r="J92" s="88">
        <v>2</v>
      </c>
      <c r="K92" s="88">
        <v>2</v>
      </c>
      <c r="L92" s="88">
        <v>2</v>
      </c>
      <c r="M92" s="88">
        <v>2</v>
      </c>
      <c r="N92" s="114"/>
    </row>
    <row r="93" spans="1:14" ht="12.75">
      <c r="A93" s="110" t="s">
        <v>772</v>
      </c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/>
    </row>
    <row r="94" spans="1:14" ht="12.75">
      <c r="A94" s="100" t="s">
        <v>852</v>
      </c>
      <c r="B94" s="105">
        <v>0.5</v>
      </c>
      <c r="C94" s="105">
        <v>0.5</v>
      </c>
      <c r="D94" s="105">
        <v>0.5</v>
      </c>
      <c r="E94" s="105">
        <v>0.5</v>
      </c>
      <c r="F94" s="105">
        <v>0.5</v>
      </c>
      <c r="G94" s="105">
        <v>0</v>
      </c>
      <c r="H94" s="105">
        <v>0</v>
      </c>
      <c r="I94" s="105">
        <v>0</v>
      </c>
      <c r="J94" s="105">
        <v>0</v>
      </c>
      <c r="K94" s="105">
        <v>0</v>
      </c>
      <c r="L94" s="105">
        <v>0</v>
      </c>
      <c r="M94" s="105">
        <v>0</v>
      </c>
      <c r="N94"/>
    </row>
    <row r="95" spans="1:14" s="65" customFormat="1" ht="21" customHeight="1">
      <c r="A95" s="99" t="s">
        <v>714</v>
      </c>
      <c r="B95" s="93">
        <f>SUM(B89:B94)</f>
        <v>3.5</v>
      </c>
      <c r="C95" s="93">
        <f aca="true" t="shared" si="3" ref="C95:M95">SUM(C89:C94)</f>
        <v>3.5</v>
      </c>
      <c r="D95" s="93">
        <f t="shared" si="3"/>
        <v>5.5</v>
      </c>
      <c r="E95" s="93">
        <f t="shared" si="3"/>
        <v>5.5</v>
      </c>
      <c r="F95" s="93">
        <f t="shared" si="3"/>
        <v>5.5</v>
      </c>
      <c r="G95" s="93">
        <f t="shared" si="3"/>
        <v>5</v>
      </c>
      <c r="H95" s="93">
        <f t="shared" si="3"/>
        <v>5</v>
      </c>
      <c r="I95" s="93">
        <f t="shared" si="3"/>
        <v>5</v>
      </c>
      <c r="J95" s="93">
        <f t="shared" si="3"/>
        <v>5</v>
      </c>
      <c r="K95" s="93">
        <f t="shared" si="3"/>
        <v>5</v>
      </c>
      <c r="L95" s="93">
        <f t="shared" si="3"/>
        <v>5</v>
      </c>
      <c r="M95" s="93">
        <f t="shared" si="3"/>
        <v>5</v>
      </c>
      <c r="N95" s="90"/>
    </row>
    <row r="96" spans="1:14" s="94" customFormat="1" ht="30.75" customHeight="1">
      <c r="A96" s="655" t="s">
        <v>410</v>
      </c>
      <c r="B96" s="403">
        <f>SUM(B95,B85,B47,B42)</f>
        <v>99.07499999999999</v>
      </c>
      <c r="C96" s="403">
        <f aca="true" t="shared" si="4" ref="C96:M96">SUM(C95,C85,C47,C42)</f>
        <v>99.07499999999999</v>
      </c>
      <c r="D96" s="403">
        <f t="shared" si="4"/>
        <v>102.07499999999999</v>
      </c>
      <c r="E96" s="403">
        <f t="shared" si="4"/>
        <v>102.07499999999999</v>
      </c>
      <c r="F96" s="403">
        <f t="shared" si="4"/>
        <v>102.07499999999999</v>
      </c>
      <c r="G96" s="403">
        <f t="shared" si="4"/>
        <v>101.57499999999999</v>
      </c>
      <c r="H96" s="403">
        <f t="shared" si="4"/>
        <v>105.57499999999999</v>
      </c>
      <c r="I96" s="403">
        <f t="shared" si="4"/>
        <v>105.57499999999999</v>
      </c>
      <c r="J96" s="403">
        <f t="shared" si="4"/>
        <v>105.57499999999999</v>
      </c>
      <c r="K96" s="403">
        <f t="shared" si="4"/>
        <v>105.57499999999999</v>
      </c>
      <c r="L96" s="403">
        <f t="shared" si="4"/>
        <v>105.57499999999999</v>
      </c>
      <c r="M96" s="403">
        <f t="shared" si="4"/>
        <v>99.82499999999999</v>
      </c>
      <c r="N96" s="116"/>
    </row>
    <row r="97" spans="1:14" s="64" customFormat="1" ht="6" customHeight="1">
      <c r="A97" s="98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114"/>
    </row>
    <row r="98" spans="1:14" s="65" customFormat="1" ht="25.5" customHeight="1">
      <c r="A98" s="109" t="s">
        <v>349</v>
      </c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90"/>
    </row>
    <row r="99" spans="1:14" s="496" customFormat="1" ht="37.5" customHeight="1">
      <c r="A99" s="493" t="s">
        <v>884</v>
      </c>
      <c r="B99" s="494"/>
      <c r="C99" s="494"/>
      <c r="D99" s="494"/>
      <c r="E99" s="494"/>
      <c r="F99" s="494"/>
      <c r="G99" s="494"/>
      <c r="H99" s="494"/>
      <c r="I99" s="494"/>
      <c r="J99" s="494"/>
      <c r="K99" s="494"/>
      <c r="L99" s="494"/>
      <c r="M99" s="494"/>
      <c r="N99" s="495"/>
    </row>
    <row r="100" spans="1:14" s="64" customFormat="1" ht="20.25" customHeight="1">
      <c r="A100" s="401" t="s">
        <v>790</v>
      </c>
      <c r="B100" s="402">
        <v>15</v>
      </c>
      <c r="C100" s="402">
        <v>15</v>
      </c>
      <c r="D100" s="402">
        <v>0</v>
      </c>
      <c r="E100" s="402">
        <v>0</v>
      </c>
      <c r="F100" s="402">
        <v>0</v>
      </c>
      <c r="G100" s="402">
        <v>0</v>
      </c>
      <c r="H100" s="402">
        <v>0</v>
      </c>
      <c r="I100" s="402">
        <v>0</v>
      </c>
      <c r="J100" s="402">
        <v>0</v>
      </c>
      <c r="K100" s="402">
        <v>0</v>
      </c>
      <c r="L100" s="402">
        <v>0</v>
      </c>
      <c r="M100" s="402">
        <v>0</v>
      </c>
      <c r="N100" s="114"/>
    </row>
    <row r="101" spans="1:14" s="496" customFormat="1" ht="36" customHeight="1">
      <c r="A101" s="493" t="s">
        <v>791</v>
      </c>
      <c r="B101" s="494"/>
      <c r="C101" s="494"/>
      <c r="D101" s="494"/>
      <c r="E101" s="494"/>
      <c r="F101" s="494"/>
      <c r="G101" s="494"/>
      <c r="H101" s="494"/>
      <c r="I101" s="494"/>
      <c r="J101" s="494"/>
      <c r="K101" s="494"/>
      <c r="L101" s="494"/>
      <c r="M101" s="494"/>
      <c r="N101" s="495"/>
    </row>
    <row r="102" spans="1:14" s="64" customFormat="1" ht="20.25" customHeight="1">
      <c r="A102" s="401" t="s">
        <v>792</v>
      </c>
      <c r="B102" s="402">
        <v>48</v>
      </c>
      <c r="C102" s="402">
        <v>48</v>
      </c>
      <c r="D102" s="402">
        <v>0</v>
      </c>
      <c r="E102" s="402">
        <v>0</v>
      </c>
      <c r="F102" s="402">
        <v>0</v>
      </c>
      <c r="G102" s="402">
        <v>0</v>
      </c>
      <c r="H102" s="402">
        <v>0</v>
      </c>
      <c r="I102" s="402">
        <v>0</v>
      </c>
      <c r="J102" s="402">
        <v>0</v>
      </c>
      <c r="K102" s="402">
        <v>0</v>
      </c>
      <c r="L102" s="402">
        <v>0</v>
      </c>
      <c r="M102" s="402">
        <v>0</v>
      </c>
      <c r="N102" s="114"/>
    </row>
    <row r="103" spans="1:14" s="496" customFormat="1" ht="37.5" customHeight="1">
      <c r="A103" s="493" t="s">
        <v>885</v>
      </c>
      <c r="B103" s="494"/>
      <c r="C103" s="494"/>
      <c r="D103" s="494"/>
      <c r="E103" s="494"/>
      <c r="F103" s="494"/>
      <c r="G103" s="494"/>
      <c r="H103" s="494"/>
      <c r="I103" s="494"/>
      <c r="J103" s="494"/>
      <c r="K103" s="494"/>
      <c r="L103" s="494"/>
      <c r="M103" s="494"/>
      <c r="N103" s="495"/>
    </row>
    <row r="104" spans="1:14" s="64" customFormat="1" ht="20.25" customHeight="1">
      <c r="A104" s="401" t="s">
        <v>790</v>
      </c>
      <c r="B104" s="402">
        <v>0</v>
      </c>
      <c r="C104" s="402">
        <v>0</v>
      </c>
      <c r="D104" s="402">
        <v>15</v>
      </c>
      <c r="E104" s="402">
        <v>15</v>
      </c>
      <c r="F104" s="402">
        <v>15</v>
      </c>
      <c r="G104" s="402">
        <v>15</v>
      </c>
      <c r="H104" s="402">
        <v>15</v>
      </c>
      <c r="I104" s="402">
        <v>15</v>
      </c>
      <c r="J104" s="402">
        <v>15</v>
      </c>
      <c r="K104" s="402">
        <v>15</v>
      </c>
      <c r="L104" s="402">
        <v>15</v>
      </c>
      <c r="M104" s="402">
        <v>15</v>
      </c>
      <c r="N104" s="114"/>
    </row>
    <row r="105" spans="1:14" s="496" customFormat="1" ht="36" customHeight="1">
      <c r="A105" s="493" t="s">
        <v>886</v>
      </c>
      <c r="B105" s="494"/>
      <c r="C105" s="494"/>
      <c r="D105" s="494"/>
      <c r="E105" s="494"/>
      <c r="F105" s="494"/>
      <c r="G105" s="494"/>
      <c r="H105" s="494"/>
      <c r="I105" s="494"/>
      <c r="J105" s="494"/>
      <c r="K105" s="494"/>
      <c r="L105" s="494"/>
      <c r="M105" s="494"/>
      <c r="N105" s="495"/>
    </row>
    <row r="106" spans="1:14" s="64" customFormat="1" ht="20.25" customHeight="1">
      <c r="A106" s="401" t="s">
        <v>887</v>
      </c>
      <c r="B106" s="402">
        <v>0</v>
      </c>
      <c r="C106" s="402">
        <v>0</v>
      </c>
      <c r="D106" s="402">
        <v>31</v>
      </c>
      <c r="E106" s="402">
        <v>31</v>
      </c>
      <c r="F106" s="402">
        <v>31</v>
      </c>
      <c r="G106" s="402">
        <v>31</v>
      </c>
      <c r="H106" s="402">
        <v>31</v>
      </c>
      <c r="I106" s="402">
        <v>31</v>
      </c>
      <c r="J106" s="402">
        <v>31</v>
      </c>
      <c r="K106" s="402">
        <v>31</v>
      </c>
      <c r="L106" s="402">
        <v>31</v>
      </c>
      <c r="M106" s="402">
        <v>31</v>
      </c>
      <c r="N106" s="114"/>
    </row>
    <row r="107" spans="1:14" s="496" customFormat="1" ht="36" customHeight="1">
      <c r="A107" s="493" t="s">
        <v>985</v>
      </c>
      <c r="B107" s="494"/>
      <c r="C107" s="494"/>
      <c r="D107" s="494"/>
      <c r="E107" s="494"/>
      <c r="F107" s="494"/>
      <c r="G107" s="494"/>
      <c r="H107" s="494"/>
      <c r="I107" s="494"/>
      <c r="J107" s="494"/>
      <c r="K107" s="494"/>
      <c r="L107" s="494"/>
      <c r="M107" s="494"/>
      <c r="N107" s="495"/>
    </row>
    <row r="108" spans="1:14" s="64" customFormat="1" ht="20.25" customHeight="1">
      <c r="A108" s="401" t="s">
        <v>986</v>
      </c>
      <c r="B108" s="402">
        <v>0</v>
      </c>
      <c r="C108" s="402">
        <v>0</v>
      </c>
      <c r="D108" s="402">
        <v>0</v>
      </c>
      <c r="E108" s="402">
        <v>0</v>
      </c>
      <c r="F108" s="402">
        <v>0</v>
      </c>
      <c r="G108" s="402">
        <v>10</v>
      </c>
      <c r="H108" s="402">
        <v>10</v>
      </c>
      <c r="I108" s="402">
        <v>10</v>
      </c>
      <c r="J108" s="402">
        <v>10</v>
      </c>
      <c r="K108" s="402">
        <v>10</v>
      </c>
      <c r="L108" s="402">
        <v>10</v>
      </c>
      <c r="M108" s="402">
        <v>0</v>
      </c>
      <c r="N108" s="114"/>
    </row>
    <row r="109" spans="1:14" s="496" customFormat="1" ht="36" customHeight="1">
      <c r="A109" s="493" t="s">
        <v>1115</v>
      </c>
      <c r="B109" s="494"/>
      <c r="C109" s="494"/>
      <c r="D109" s="494"/>
      <c r="E109" s="494"/>
      <c r="F109" s="494"/>
      <c r="G109" s="494"/>
      <c r="H109" s="494"/>
      <c r="I109" s="494"/>
      <c r="J109" s="494"/>
      <c r="K109" s="494"/>
      <c r="L109" s="494"/>
      <c r="M109" s="494"/>
      <c r="N109" s="495"/>
    </row>
    <row r="110" spans="1:14" s="64" customFormat="1" ht="20.25" customHeight="1">
      <c r="A110" s="401" t="s">
        <v>1116</v>
      </c>
      <c r="B110" s="402">
        <v>0</v>
      </c>
      <c r="C110" s="402">
        <v>0</v>
      </c>
      <c r="D110" s="402">
        <v>0</v>
      </c>
      <c r="E110" s="402">
        <v>0</v>
      </c>
      <c r="F110" s="402">
        <v>0</v>
      </c>
      <c r="G110" s="402">
        <v>0</v>
      </c>
      <c r="H110" s="402">
        <v>0</v>
      </c>
      <c r="I110" s="402">
        <v>0</v>
      </c>
      <c r="J110" s="402">
        <v>0</v>
      </c>
      <c r="K110" s="402">
        <v>0</v>
      </c>
      <c r="L110" s="402">
        <v>7</v>
      </c>
      <c r="M110" s="402">
        <v>7</v>
      </c>
      <c r="N110" s="114"/>
    </row>
    <row r="111" spans="1:14" s="94" customFormat="1" ht="32.25" customHeight="1">
      <c r="A111" s="655" t="s">
        <v>474</v>
      </c>
      <c r="B111" s="403">
        <f>SUM(B99:B110)</f>
        <v>63</v>
      </c>
      <c r="C111" s="403">
        <f aca="true" t="shared" si="5" ref="C111:M111">SUM(C99:C110)</f>
        <v>63</v>
      </c>
      <c r="D111" s="403">
        <f t="shared" si="5"/>
        <v>46</v>
      </c>
      <c r="E111" s="403">
        <f t="shared" si="5"/>
        <v>46</v>
      </c>
      <c r="F111" s="403">
        <f t="shared" si="5"/>
        <v>46</v>
      </c>
      <c r="G111" s="403">
        <f t="shared" si="5"/>
        <v>56</v>
      </c>
      <c r="H111" s="403">
        <f t="shared" si="5"/>
        <v>56</v>
      </c>
      <c r="I111" s="403">
        <f t="shared" si="5"/>
        <v>56</v>
      </c>
      <c r="J111" s="403">
        <f t="shared" si="5"/>
        <v>56</v>
      </c>
      <c r="K111" s="403">
        <f t="shared" si="5"/>
        <v>56</v>
      </c>
      <c r="L111" s="403">
        <f t="shared" si="5"/>
        <v>63</v>
      </c>
      <c r="M111" s="403">
        <f t="shared" si="5"/>
        <v>53</v>
      </c>
      <c r="N111" s="116"/>
    </row>
    <row r="113" spans="1:14" s="94" customFormat="1" ht="32.25" customHeight="1">
      <c r="A113" s="855" t="s">
        <v>978</v>
      </c>
      <c r="B113" s="403"/>
      <c r="C113" s="403"/>
      <c r="D113" s="403"/>
      <c r="E113" s="403"/>
      <c r="F113" s="403"/>
      <c r="G113" s="403"/>
      <c r="H113" s="403"/>
      <c r="I113" s="403"/>
      <c r="J113" s="403"/>
      <c r="K113" s="403"/>
      <c r="L113" s="403"/>
      <c r="M113" s="403"/>
      <c r="N113" s="116"/>
    </row>
    <row r="114" spans="1:13" ht="12.75">
      <c r="A114" s="949" t="s">
        <v>431</v>
      </c>
      <c r="B114" s="949">
        <v>0</v>
      </c>
      <c r="C114" s="949">
        <v>0</v>
      </c>
      <c r="D114" s="949">
        <v>0</v>
      </c>
      <c r="E114" s="949">
        <v>0</v>
      </c>
      <c r="F114" s="949">
        <v>0</v>
      </c>
      <c r="G114" s="949">
        <v>0</v>
      </c>
      <c r="H114" s="949">
        <v>1</v>
      </c>
      <c r="I114" s="949">
        <v>2</v>
      </c>
      <c r="J114" s="949">
        <v>0</v>
      </c>
      <c r="K114" s="949">
        <v>0</v>
      </c>
      <c r="L114" s="949">
        <v>0</v>
      </c>
      <c r="M114" s="949">
        <v>0</v>
      </c>
    </row>
    <row r="115" spans="1:13" ht="12.75">
      <c r="A115" s="949" t="s">
        <v>676</v>
      </c>
      <c r="B115" s="949">
        <v>0</v>
      </c>
      <c r="C115" s="949">
        <v>0</v>
      </c>
      <c r="D115" s="949">
        <v>0</v>
      </c>
      <c r="E115" s="949">
        <v>0</v>
      </c>
      <c r="F115" s="949">
        <v>0</v>
      </c>
      <c r="G115" s="949">
        <v>0</v>
      </c>
      <c r="H115" s="949">
        <v>7</v>
      </c>
      <c r="I115" s="949">
        <v>7</v>
      </c>
      <c r="J115" s="949">
        <v>0</v>
      </c>
      <c r="K115" s="949">
        <v>0</v>
      </c>
      <c r="L115" s="949">
        <v>0</v>
      </c>
      <c r="M115" s="949">
        <v>0</v>
      </c>
    </row>
    <row r="116" spans="1:13" ht="12.75">
      <c r="A116" s="949" t="s">
        <v>713</v>
      </c>
      <c r="B116" s="949">
        <v>0</v>
      </c>
      <c r="C116" s="949">
        <v>0</v>
      </c>
      <c r="D116" s="949">
        <v>0</v>
      </c>
      <c r="E116" s="949">
        <v>0</v>
      </c>
      <c r="F116" s="949">
        <v>0</v>
      </c>
      <c r="G116" s="949">
        <v>0</v>
      </c>
      <c r="H116" s="949">
        <v>0</v>
      </c>
      <c r="I116" s="949">
        <v>2</v>
      </c>
      <c r="J116" s="949">
        <v>0</v>
      </c>
      <c r="K116" s="949">
        <v>0</v>
      </c>
      <c r="L116" s="949">
        <v>0</v>
      </c>
      <c r="M116" s="949">
        <v>0</v>
      </c>
    </row>
    <row r="117" spans="1:14" s="94" customFormat="1" ht="32.25" customHeight="1">
      <c r="A117" s="855" t="s">
        <v>984</v>
      </c>
      <c r="B117" s="403">
        <f>SUM(B114:B116)</f>
        <v>0</v>
      </c>
      <c r="C117" s="403">
        <f aca="true" t="shared" si="6" ref="C117:M117">SUM(C114:C116)</f>
        <v>0</v>
      </c>
      <c r="D117" s="403">
        <f t="shared" si="6"/>
        <v>0</v>
      </c>
      <c r="E117" s="403">
        <f t="shared" si="6"/>
        <v>0</v>
      </c>
      <c r="F117" s="403">
        <f t="shared" si="6"/>
        <v>0</v>
      </c>
      <c r="G117" s="403">
        <f t="shared" si="6"/>
        <v>0</v>
      </c>
      <c r="H117" s="403">
        <f t="shared" si="6"/>
        <v>8</v>
      </c>
      <c r="I117" s="403">
        <f t="shared" si="6"/>
        <v>11</v>
      </c>
      <c r="J117" s="403">
        <f t="shared" si="6"/>
        <v>0</v>
      </c>
      <c r="K117" s="403">
        <f t="shared" si="6"/>
        <v>0</v>
      </c>
      <c r="L117" s="403">
        <f t="shared" si="6"/>
        <v>0</v>
      </c>
      <c r="M117" s="403">
        <f t="shared" si="6"/>
        <v>0</v>
      </c>
      <c r="N117" s="116"/>
    </row>
  </sheetData>
  <sheetProtection/>
  <mergeCells count="3">
    <mergeCell ref="A4:M4"/>
    <mergeCell ref="A5:M5"/>
    <mergeCell ref="A6:M6"/>
  </mergeCells>
  <printOptions horizontalCentered="1" verticalCentered="1"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70" r:id="rId1"/>
  <rowBreaks count="2" manualBreakCount="2">
    <brk id="42" max="12" man="1"/>
    <brk id="85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H101"/>
  <sheetViews>
    <sheetView zoomScaleSheetLayoutView="100" zoomScalePageLayoutView="0" workbookViewId="0" topLeftCell="A1">
      <selection activeCell="C2" sqref="C2"/>
    </sheetView>
  </sheetViews>
  <sheetFormatPr defaultColWidth="8.875" defaultRowHeight="12.75"/>
  <cols>
    <col min="1" max="1" width="4.125" style="67" bestFit="1" customWidth="1"/>
    <col min="2" max="2" width="2.375" style="3" customWidth="1"/>
    <col min="3" max="3" width="88.625" style="3" customWidth="1"/>
    <col min="4" max="4" width="17.25390625" style="3" bestFit="1" customWidth="1"/>
    <col min="5" max="16384" width="8.875" style="3" customWidth="1"/>
  </cols>
  <sheetData>
    <row r="1" spans="3:5" ht="15">
      <c r="C1" s="994" t="s">
        <v>1133</v>
      </c>
      <c r="D1" s="1226"/>
      <c r="E1" s="66"/>
    </row>
    <row r="2" spans="3:5" ht="15">
      <c r="C2" s="6"/>
      <c r="D2" s="104"/>
      <c r="E2" s="66"/>
    </row>
    <row r="3" spans="2:4" ht="15.75">
      <c r="B3" s="1229" t="s">
        <v>798</v>
      </c>
      <c r="C3" s="1229"/>
      <c r="D3" s="1229"/>
    </row>
    <row r="4" spans="2:4" ht="15">
      <c r="B4" s="117"/>
      <c r="C4" s="117"/>
      <c r="D4" s="117"/>
    </row>
    <row r="5" ht="15.75" thickBot="1">
      <c r="D5" s="6"/>
    </row>
    <row r="6" spans="1:4" s="4" customFormat="1" ht="14.25">
      <c r="A6" s="1236" t="s">
        <v>422</v>
      </c>
      <c r="B6" s="1230" t="s">
        <v>352</v>
      </c>
      <c r="C6" s="1231"/>
      <c r="D6" s="7" t="s">
        <v>363</v>
      </c>
    </row>
    <row r="7" spans="1:4" s="78" customFormat="1" ht="12">
      <c r="A7" s="1237"/>
      <c r="B7" s="1232" t="s">
        <v>416</v>
      </c>
      <c r="C7" s="1232"/>
      <c r="D7" s="77" t="s">
        <v>417</v>
      </c>
    </row>
    <row r="8" spans="1:4" s="4" customFormat="1" ht="14.25">
      <c r="A8" s="84">
        <v>1</v>
      </c>
      <c r="B8" s="79" t="s">
        <v>357</v>
      </c>
      <c r="C8" s="11"/>
      <c r="D8" s="245"/>
    </row>
    <row r="9" spans="1:4" s="13" customFormat="1" ht="15">
      <c r="A9" s="84">
        <v>2</v>
      </c>
      <c r="B9" s="80" t="s">
        <v>431</v>
      </c>
      <c r="C9" s="12"/>
      <c r="D9" s="246"/>
    </row>
    <row r="10" spans="1:6" ht="18.75" customHeight="1">
      <c r="A10" s="84">
        <v>3</v>
      </c>
      <c r="B10" s="69" t="s">
        <v>364</v>
      </c>
      <c r="C10" s="96" t="s">
        <v>756</v>
      </c>
      <c r="D10" s="625">
        <f>42654146+1-13005804+22387266</f>
        <v>52035609</v>
      </c>
      <c r="F10" s="626"/>
    </row>
    <row r="11" spans="1:4" ht="30">
      <c r="A11" s="84">
        <v>4</v>
      </c>
      <c r="B11" s="69" t="s">
        <v>364</v>
      </c>
      <c r="C11" s="96" t="s">
        <v>757</v>
      </c>
      <c r="D11" s="563">
        <f>187978206-911000-7744917</f>
        <v>179322289</v>
      </c>
    </row>
    <row r="12" spans="1:4" ht="18.75" customHeight="1">
      <c r="A12" s="84">
        <v>5</v>
      </c>
      <c r="B12" s="69" t="s">
        <v>364</v>
      </c>
      <c r="C12" s="96" t="s">
        <v>758</v>
      </c>
      <c r="D12" s="563">
        <f>404687022+2197500</f>
        <v>406884522</v>
      </c>
    </row>
    <row r="13" spans="1:4" ht="18.75" customHeight="1">
      <c r="A13" s="84">
        <v>6</v>
      </c>
      <c r="B13" s="69" t="s">
        <v>364</v>
      </c>
      <c r="C13" s="96" t="s">
        <v>1102</v>
      </c>
      <c r="D13" s="563">
        <f>363120+436880</f>
        <v>800000</v>
      </c>
    </row>
    <row r="14" spans="1:4" ht="18.75" customHeight="1">
      <c r="A14" s="84">
        <v>7</v>
      </c>
      <c r="B14" s="69" t="s">
        <v>364</v>
      </c>
      <c r="C14" s="96" t="s">
        <v>759</v>
      </c>
      <c r="D14" s="563">
        <f>100932090-3817843-5373648-366000+6795254-12040142</f>
        <v>86129711</v>
      </c>
    </row>
    <row r="15" spans="1:4" ht="18.75" customHeight="1">
      <c r="A15" s="84">
        <v>8</v>
      </c>
      <c r="B15" s="69" t="s">
        <v>364</v>
      </c>
      <c r="C15" s="96" t="s">
        <v>853</v>
      </c>
      <c r="D15" s="563">
        <v>750000</v>
      </c>
    </row>
    <row r="16" spans="1:4" ht="18.75" customHeight="1">
      <c r="A16" s="84">
        <v>9</v>
      </c>
      <c r="B16" s="69" t="s">
        <v>364</v>
      </c>
      <c r="C16" s="96" t="s">
        <v>799</v>
      </c>
      <c r="D16" s="563">
        <f>1940000+27230</f>
        <v>1967230</v>
      </c>
    </row>
    <row r="17" spans="1:4" ht="18.75" customHeight="1">
      <c r="A17" s="84">
        <v>10</v>
      </c>
      <c r="B17" s="69" t="s">
        <v>364</v>
      </c>
      <c r="C17" s="96" t="s">
        <v>904</v>
      </c>
      <c r="D17" s="563">
        <f>400000+100000</f>
        <v>500000</v>
      </c>
    </row>
    <row r="18" spans="1:4" ht="18.75" customHeight="1">
      <c r="A18" s="84">
        <v>11</v>
      </c>
      <c r="B18" s="69" t="s">
        <v>364</v>
      </c>
      <c r="C18" s="96" t="s">
        <v>854</v>
      </c>
      <c r="D18" s="563">
        <v>600000</v>
      </c>
    </row>
    <row r="19" spans="1:4" ht="18.75" customHeight="1">
      <c r="A19" s="84">
        <v>12</v>
      </c>
      <c r="B19" s="69" t="s">
        <v>364</v>
      </c>
      <c r="C19" s="96" t="s">
        <v>803</v>
      </c>
      <c r="D19" s="563">
        <v>600000</v>
      </c>
    </row>
    <row r="20" spans="1:4" ht="18.75" customHeight="1">
      <c r="A20" s="84">
        <v>13</v>
      </c>
      <c r="B20" s="69" t="s">
        <v>364</v>
      </c>
      <c r="C20" s="96" t="s">
        <v>804</v>
      </c>
      <c r="D20" s="563">
        <v>500000</v>
      </c>
    </row>
    <row r="21" spans="1:4" ht="18.75" customHeight="1">
      <c r="A21" s="84">
        <v>14</v>
      </c>
      <c r="B21" s="69" t="s">
        <v>364</v>
      </c>
      <c r="C21" s="96" t="s">
        <v>805</v>
      </c>
      <c r="D21" s="563">
        <v>650000</v>
      </c>
    </row>
    <row r="22" spans="1:4" ht="18.75" customHeight="1">
      <c r="A22" s="84">
        <v>15</v>
      </c>
      <c r="B22" s="69" t="s">
        <v>364</v>
      </c>
      <c r="C22" s="96" t="s">
        <v>856</v>
      </c>
      <c r="D22" s="563">
        <v>190500</v>
      </c>
    </row>
    <row r="23" spans="1:4" ht="18.75" customHeight="1">
      <c r="A23" s="84">
        <v>16</v>
      </c>
      <c r="B23" s="69" t="s">
        <v>364</v>
      </c>
      <c r="C23" s="96" t="s">
        <v>855</v>
      </c>
      <c r="D23" s="563">
        <v>730250</v>
      </c>
    </row>
    <row r="24" spans="1:4" ht="18.75" customHeight="1">
      <c r="A24" s="84">
        <v>17</v>
      </c>
      <c r="B24" s="69" t="s">
        <v>364</v>
      </c>
      <c r="C24" s="96" t="s">
        <v>857</v>
      </c>
      <c r="D24" s="563">
        <v>74930</v>
      </c>
    </row>
    <row r="25" spans="1:4" ht="18.75" customHeight="1">
      <c r="A25" s="84">
        <v>18</v>
      </c>
      <c r="B25" s="69" t="s">
        <v>364</v>
      </c>
      <c r="C25" s="96" t="s">
        <v>880</v>
      </c>
      <c r="D25" s="563">
        <v>1000000</v>
      </c>
    </row>
    <row r="26" spans="1:4" ht="31.5" customHeight="1">
      <c r="A26" s="84">
        <v>19</v>
      </c>
      <c r="B26" s="69" t="s">
        <v>364</v>
      </c>
      <c r="C26" s="96" t="s">
        <v>858</v>
      </c>
      <c r="D26" s="563">
        <v>2460790</v>
      </c>
    </row>
    <row r="27" spans="1:4" ht="18.75" customHeight="1">
      <c r="A27" s="84">
        <v>20</v>
      </c>
      <c r="B27" s="69" t="s">
        <v>364</v>
      </c>
      <c r="C27" s="96" t="s">
        <v>905</v>
      </c>
      <c r="D27" s="563">
        <v>6000000</v>
      </c>
    </row>
    <row r="28" spans="1:4" ht="18.75" customHeight="1">
      <c r="A28" s="84">
        <v>21</v>
      </c>
      <c r="B28" s="69" t="s">
        <v>364</v>
      </c>
      <c r="C28" s="96" t="s">
        <v>859</v>
      </c>
      <c r="D28" s="563">
        <f>973100-755546</f>
        <v>217554</v>
      </c>
    </row>
    <row r="29" spans="1:4" ht="30" customHeight="1">
      <c r="A29" s="84">
        <v>22</v>
      </c>
      <c r="B29" s="69" t="s">
        <v>364</v>
      </c>
      <c r="C29" s="96" t="s">
        <v>1112</v>
      </c>
      <c r="D29" s="563">
        <f>4790554+1500000</f>
        <v>6290554</v>
      </c>
    </row>
    <row r="30" spans="1:4" ht="18.75" customHeight="1">
      <c r="A30" s="84">
        <v>23</v>
      </c>
      <c r="B30" s="69" t="s">
        <v>364</v>
      </c>
      <c r="C30" s="96" t="s">
        <v>1100</v>
      </c>
      <c r="D30" s="563">
        <f>74295-57150</f>
        <v>17145</v>
      </c>
    </row>
    <row r="31" spans="1:4" ht="18.75" customHeight="1">
      <c r="A31" s="84">
        <v>24</v>
      </c>
      <c r="B31" s="69" t="s">
        <v>364</v>
      </c>
      <c r="C31" s="96" t="s">
        <v>888</v>
      </c>
      <c r="D31" s="563">
        <v>190500</v>
      </c>
    </row>
    <row r="32" spans="1:4" ht="18.75" customHeight="1">
      <c r="A32" s="84">
        <v>25</v>
      </c>
      <c r="B32" s="830" t="s">
        <v>364</v>
      </c>
      <c r="C32" s="829" t="s">
        <v>965</v>
      </c>
      <c r="D32" s="563">
        <f>810000+225760-237338</f>
        <v>798422</v>
      </c>
    </row>
    <row r="33" spans="1:4" ht="18.75" customHeight="1">
      <c r="A33" s="84">
        <v>26</v>
      </c>
      <c r="B33" s="830" t="s">
        <v>364</v>
      </c>
      <c r="C33" s="829" t="s">
        <v>1101</v>
      </c>
      <c r="D33" s="563">
        <v>79700</v>
      </c>
    </row>
    <row r="34" spans="1:4" ht="18.75" customHeight="1">
      <c r="A34" s="84">
        <v>27</v>
      </c>
      <c r="B34" s="830" t="s">
        <v>364</v>
      </c>
      <c r="C34" s="829" t="s">
        <v>1103</v>
      </c>
      <c r="D34" s="563">
        <v>20000</v>
      </c>
    </row>
    <row r="35" spans="1:4" s="21" customFormat="1" ht="15">
      <c r="A35" s="84">
        <v>28</v>
      </c>
      <c r="B35" s="69"/>
      <c r="C35" s="15" t="s">
        <v>374</v>
      </c>
      <c r="D35" s="247">
        <f>SUM(D10:D34)</f>
        <v>748809706</v>
      </c>
    </row>
    <row r="36" spans="1:4" s="21" customFormat="1" ht="15">
      <c r="A36" s="84">
        <v>29</v>
      </c>
      <c r="B36" s="1233" t="s">
        <v>361</v>
      </c>
      <c r="C36" s="1234"/>
      <c r="D36" s="1235"/>
    </row>
    <row r="37" spans="1:4" ht="18.75" customHeight="1">
      <c r="A37" s="84">
        <v>30</v>
      </c>
      <c r="B37" s="69" t="s">
        <v>364</v>
      </c>
      <c r="C37" s="96" t="s">
        <v>860</v>
      </c>
      <c r="D37" s="563">
        <f>706500-103077</f>
        <v>603423</v>
      </c>
    </row>
    <row r="38" spans="1:4" ht="18.75" customHeight="1">
      <c r="A38" s="84">
        <v>31</v>
      </c>
      <c r="B38" s="69" t="s">
        <v>364</v>
      </c>
      <c r="C38" s="96" t="s">
        <v>806</v>
      </c>
      <c r="D38" s="563">
        <v>127000</v>
      </c>
    </row>
    <row r="39" spans="1:4" ht="27" customHeight="1">
      <c r="A39" s="84">
        <v>32</v>
      </c>
      <c r="B39" s="69" t="s">
        <v>364</v>
      </c>
      <c r="C39" s="96" t="s">
        <v>1105</v>
      </c>
      <c r="D39" s="563">
        <v>130000</v>
      </c>
    </row>
    <row r="40" spans="1:4" ht="18.75" customHeight="1">
      <c r="A40" s="84">
        <v>33</v>
      </c>
      <c r="B40" s="69" t="s">
        <v>364</v>
      </c>
      <c r="C40" s="96" t="s">
        <v>1106</v>
      </c>
      <c r="D40" s="563">
        <v>81892</v>
      </c>
    </row>
    <row r="41" spans="1:4" ht="18.75" customHeight="1">
      <c r="A41" s="84">
        <v>34</v>
      </c>
      <c r="B41" s="69" t="s">
        <v>364</v>
      </c>
      <c r="C41" s="96" t="s">
        <v>1104</v>
      </c>
      <c r="D41" s="563">
        <v>200000</v>
      </c>
    </row>
    <row r="42" spans="1:4" s="21" customFormat="1" ht="15">
      <c r="A42" s="84">
        <v>35</v>
      </c>
      <c r="B42" s="95"/>
      <c r="C42" s="15" t="s">
        <v>454</v>
      </c>
      <c r="D42" s="247">
        <f>SUM(D37:D41)</f>
        <v>1142315</v>
      </c>
    </row>
    <row r="43" spans="1:4" s="21" customFormat="1" ht="15">
      <c r="A43" s="84">
        <v>36</v>
      </c>
      <c r="B43" s="1233" t="s">
        <v>713</v>
      </c>
      <c r="C43" s="1234"/>
      <c r="D43" s="1235"/>
    </row>
    <row r="44" spans="1:4" ht="15" customHeight="1">
      <c r="A44" s="84">
        <v>37</v>
      </c>
      <c r="B44" s="69" t="s">
        <v>364</v>
      </c>
      <c r="C44" s="96" t="s">
        <v>861</v>
      </c>
      <c r="D44" s="563">
        <v>127000</v>
      </c>
    </row>
    <row r="45" spans="1:4" ht="15" customHeight="1">
      <c r="A45" s="84">
        <v>38</v>
      </c>
      <c r="B45" s="69" t="s">
        <v>364</v>
      </c>
      <c r="C45" s="96" t="s">
        <v>889</v>
      </c>
      <c r="D45" s="563">
        <v>800000</v>
      </c>
    </row>
    <row r="46" spans="1:4" ht="15" customHeight="1">
      <c r="A46" s="84">
        <v>39</v>
      </c>
      <c r="B46" s="69" t="s">
        <v>364</v>
      </c>
      <c r="C46" s="96" t="s">
        <v>1107</v>
      </c>
      <c r="D46" s="563">
        <v>145000</v>
      </c>
    </row>
    <row r="47" spans="1:4" ht="30">
      <c r="A47" s="84">
        <v>40</v>
      </c>
      <c r="B47" s="69" t="s">
        <v>364</v>
      </c>
      <c r="C47" s="96" t="s">
        <v>906</v>
      </c>
      <c r="D47" s="563">
        <f>700000+500000</f>
        <v>1200000</v>
      </c>
    </row>
    <row r="48" spans="1:4" s="21" customFormat="1" ht="15">
      <c r="A48" s="84">
        <v>41</v>
      </c>
      <c r="B48" s="95"/>
      <c r="C48" s="15" t="s">
        <v>714</v>
      </c>
      <c r="D48" s="247">
        <f>SUM(D44:D47)</f>
        <v>2272000</v>
      </c>
    </row>
    <row r="49" spans="1:4" s="21" customFormat="1" ht="15">
      <c r="A49" s="84">
        <v>42</v>
      </c>
      <c r="B49" s="1233" t="s">
        <v>676</v>
      </c>
      <c r="C49" s="1234"/>
      <c r="D49" s="1235"/>
    </row>
    <row r="50" spans="1:4" ht="28.5" customHeight="1">
      <c r="A50" s="84">
        <v>43</v>
      </c>
      <c r="B50" s="69" t="s">
        <v>364</v>
      </c>
      <c r="C50" s="96" t="s">
        <v>1124</v>
      </c>
      <c r="D50" s="563">
        <f>309245+1130000</f>
        <v>1439245</v>
      </c>
    </row>
    <row r="51" spans="1:4" ht="15" customHeight="1">
      <c r="A51" s="84">
        <v>44</v>
      </c>
      <c r="B51" s="69" t="s">
        <v>364</v>
      </c>
      <c r="C51" s="96" t="s">
        <v>864</v>
      </c>
      <c r="D51" s="563">
        <v>95250</v>
      </c>
    </row>
    <row r="52" spans="1:4" ht="28.5" customHeight="1">
      <c r="A52" s="84">
        <v>45</v>
      </c>
      <c r="B52" s="69" t="s">
        <v>364</v>
      </c>
      <c r="C52" s="96" t="s">
        <v>865</v>
      </c>
      <c r="D52" s="563">
        <v>304800</v>
      </c>
    </row>
    <row r="53" spans="1:4" ht="27.75" customHeight="1">
      <c r="A53" s="84">
        <v>46</v>
      </c>
      <c r="B53" s="69" t="s">
        <v>364</v>
      </c>
      <c r="C53" s="96" t="s">
        <v>866</v>
      </c>
      <c r="D53" s="563">
        <v>401320</v>
      </c>
    </row>
    <row r="54" spans="1:4" ht="28.5" customHeight="1">
      <c r="A54" s="84">
        <v>47</v>
      </c>
      <c r="B54" s="69" t="s">
        <v>364</v>
      </c>
      <c r="C54" s="96" t="s">
        <v>907</v>
      </c>
      <c r="D54" s="563">
        <f>63500+47925</f>
        <v>111425</v>
      </c>
    </row>
    <row r="55" spans="1:4" s="21" customFormat="1" ht="15">
      <c r="A55" s="84">
        <v>48</v>
      </c>
      <c r="B55" s="95"/>
      <c r="C55" s="15" t="s">
        <v>775</v>
      </c>
      <c r="D55" s="247">
        <f>SUM(D50:D54)</f>
        <v>2352040</v>
      </c>
    </row>
    <row r="56" spans="1:4" s="4" customFormat="1" ht="15" thickBot="1">
      <c r="A56" s="85">
        <v>49</v>
      </c>
      <c r="B56" s="16" t="s">
        <v>355</v>
      </c>
      <c r="C56" s="16"/>
      <c r="D56" s="248">
        <f>SUM(D55+D48+D42+D35)</f>
        <v>754576061</v>
      </c>
    </row>
    <row r="57" spans="1:4" ht="15">
      <c r="A57" s="491">
        <v>50</v>
      </c>
      <c r="B57" s="1227" t="s">
        <v>362</v>
      </c>
      <c r="C57" s="1227"/>
      <c r="D57" s="1228"/>
    </row>
    <row r="58" spans="1:4" s="13" customFormat="1" ht="15">
      <c r="A58" s="84">
        <v>51</v>
      </c>
      <c r="B58" s="91" t="s">
        <v>431</v>
      </c>
      <c r="C58" s="14"/>
      <c r="D58" s="8"/>
    </row>
    <row r="59" spans="1:4" ht="18.75" customHeight="1">
      <c r="A59" s="84">
        <v>52</v>
      </c>
      <c r="B59" s="69" t="s">
        <v>364</v>
      </c>
      <c r="C59" s="96" t="s">
        <v>548</v>
      </c>
      <c r="D59" s="563">
        <f>500000-79700</f>
        <v>420300</v>
      </c>
    </row>
    <row r="60" spans="1:4" ht="18.75" customHeight="1">
      <c r="A60" s="84">
        <v>53</v>
      </c>
      <c r="B60" s="69" t="s">
        <v>364</v>
      </c>
      <c r="C60" s="96" t="s">
        <v>867</v>
      </c>
      <c r="D60" s="563">
        <f>8294813-5098639-1500000</f>
        <v>1696174</v>
      </c>
    </row>
    <row r="61" spans="1:4" ht="30">
      <c r="A61" s="84">
        <v>54</v>
      </c>
      <c r="B61" s="69" t="s">
        <v>364</v>
      </c>
      <c r="C61" s="96" t="s">
        <v>755</v>
      </c>
      <c r="D61" s="563">
        <f>21830061+829010</f>
        <v>22659071</v>
      </c>
    </row>
    <row r="62" spans="1:4" ht="18.75" customHeight="1">
      <c r="A62" s="84">
        <v>55</v>
      </c>
      <c r="B62" s="69" t="s">
        <v>364</v>
      </c>
      <c r="C62" s="96" t="s">
        <v>801</v>
      </c>
      <c r="D62" s="563">
        <v>2794000</v>
      </c>
    </row>
    <row r="63" spans="1:4" ht="18.75" customHeight="1">
      <c r="A63" s="84">
        <v>56</v>
      </c>
      <c r="B63" s="69" t="s">
        <v>364</v>
      </c>
      <c r="C63" s="96" t="s">
        <v>802</v>
      </c>
      <c r="D63" s="563">
        <v>2000000</v>
      </c>
    </row>
    <row r="64" spans="1:4" ht="18.75" customHeight="1">
      <c r="A64" s="84">
        <v>57</v>
      </c>
      <c r="B64" s="69" t="s">
        <v>364</v>
      </c>
      <c r="C64" s="96" t="s">
        <v>868</v>
      </c>
      <c r="D64" s="563">
        <f>91442680+863600+28000</f>
        <v>92334280</v>
      </c>
    </row>
    <row r="65" spans="1:4" ht="25.5" customHeight="1">
      <c r="A65" s="84">
        <v>58</v>
      </c>
      <c r="B65" s="69" t="s">
        <v>364</v>
      </c>
      <c r="C65" s="96" t="s">
        <v>760</v>
      </c>
      <c r="D65" s="563">
        <f>523290+7292340</f>
        <v>7815630</v>
      </c>
    </row>
    <row r="66" spans="1:4" ht="30">
      <c r="A66" s="84">
        <v>59</v>
      </c>
      <c r="B66" s="69" t="s">
        <v>364</v>
      </c>
      <c r="C66" s="96" t="s">
        <v>800</v>
      </c>
      <c r="D66" s="563">
        <v>6759599</v>
      </c>
    </row>
    <row r="67" spans="1:4" ht="15">
      <c r="A67" s="84">
        <v>60</v>
      </c>
      <c r="B67" s="69" t="s">
        <v>364</v>
      </c>
      <c r="C67" s="96" t="s">
        <v>863</v>
      </c>
      <c r="D67" s="563">
        <v>31599998</v>
      </c>
    </row>
    <row r="68" spans="1:4" ht="15.75" customHeight="1">
      <c r="A68" s="84">
        <v>61</v>
      </c>
      <c r="B68" s="69" t="s">
        <v>364</v>
      </c>
      <c r="C68" s="96" t="s">
        <v>1111</v>
      </c>
      <c r="D68" s="563">
        <v>4700000</v>
      </c>
    </row>
    <row r="69" spans="1:4" ht="15.75" customHeight="1">
      <c r="A69" s="84">
        <v>62</v>
      </c>
      <c r="B69" s="69" t="s">
        <v>364</v>
      </c>
      <c r="C69" s="96" t="s">
        <v>1118</v>
      </c>
      <c r="D69" s="563">
        <v>3261523</v>
      </c>
    </row>
    <row r="70" spans="1:4" ht="32.25" customHeight="1">
      <c r="A70" s="84">
        <v>63</v>
      </c>
      <c r="B70" s="69" t="s">
        <v>364</v>
      </c>
      <c r="C70" s="96" t="s">
        <v>1117</v>
      </c>
      <c r="D70" s="563">
        <v>19846252</v>
      </c>
    </row>
    <row r="71" spans="1:4" s="13" customFormat="1" ht="15">
      <c r="A71" s="84">
        <v>64</v>
      </c>
      <c r="B71" s="82"/>
      <c r="C71" s="5" t="s">
        <v>374</v>
      </c>
      <c r="D71" s="249">
        <f>SUM(D57:D70)</f>
        <v>195886827</v>
      </c>
    </row>
    <row r="72" spans="1:4" s="21" customFormat="1" ht="15">
      <c r="A72" s="84">
        <v>65</v>
      </c>
      <c r="B72" s="1233" t="s">
        <v>361</v>
      </c>
      <c r="C72" s="1234"/>
      <c r="D72" s="1235"/>
    </row>
    <row r="73" spans="1:4" ht="18.75" customHeight="1">
      <c r="A73" s="84">
        <v>66</v>
      </c>
      <c r="B73" s="69" t="s">
        <v>364</v>
      </c>
      <c r="C73" s="96" t="s">
        <v>990</v>
      </c>
      <c r="D73" s="563">
        <v>1204167</v>
      </c>
    </row>
    <row r="74" spans="1:4" s="21" customFormat="1" ht="15">
      <c r="A74" s="84">
        <v>67</v>
      </c>
      <c r="B74" s="95"/>
      <c r="C74" s="15" t="s">
        <v>991</v>
      </c>
      <c r="D74" s="247">
        <f>SUM(D73)</f>
        <v>1204167</v>
      </c>
    </row>
    <row r="75" spans="1:4" s="21" customFormat="1" ht="15">
      <c r="A75" s="84">
        <v>68</v>
      </c>
      <c r="B75" s="1233" t="s">
        <v>676</v>
      </c>
      <c r="C75" s="1234"/>
      <c r="D75" s="1235"/>
    </row>
    <row r="76" spans="1:4" ht="18.75" customHeight="1">
      <c r="A76" s="84">
        <v>69</v>
      </c>
      <c r="B76" s="69" t="s">
        <v>364</v>
      </c>
      <c r="C76" s="96" t="s">
        <v>992</v>
      </c>
      <c r="D76" s="563">
        <v>507849</v>
      </c>
    </row>
    <row r="77" spans="1:4" ht="18.75" customHeight="1">
      <c r="A77" s="84">
        <v>70</v>
      </c>
      <c r="B77" s="69" t="s">
        <v>364</v>
      </c>
      <c r="C77" s="96" t="s">
        <v>862</v>
      </c>
      <c r="D77" s="563">
        <v>508000</v>
      </c>
    </row>
    <row r="78" spans="1:4" s="21" customFormat="1" ht="15">
      <c r="A78" s="84">
        <v>71</v>
      </c>
      <c r="B78" s="95"/>
      <c r="C78" s="15" t="s">
        <v>775</v>
      </c>
      <c r="D78" s="247">
        <f>SUM(D76:D77)</f>
        <v>1015849</v>
      </c>
    </row>
    <row r="79" spans="1:4" ht="15.75" thickBot="1">
      <c r="A79" s="85">
        <v>72</v>
      </c>
      <c r="B79" s="81" t="s">
        <v>355</v>
      </c>
      <c r="C79" s="16"/>
      <c r="D79" s="250">
        <f>SUM(D71+D74+D78)</f>
        <v>198106843</v>
      </c>
    </row>
    <row r="80" spans="1:4" ht="15">
      <c r="A80" s="84">
        <v>73</v>
      </c>
      <c r="B80" s="1227" t="s">
        <v>107</v>
      </c>
      <c r="C80" s="1227"/>
      <c r="D80" s="1228"/>
    </row>
    <row r="81" spans="1:4" s="13" customFormat="1" ht="15">
      <c r="A81" s="84">
        <v>74</v>
      </c>
      <c r="B81" s="17" t="s">
        <v>431</v>
      </c>
      <c r="C81" s="14"/>
      <c r="D81" s="9"/>
    </row>
    <row r="82" spans="1:4" s="21" customFormat="1" ht="20.25" customHeight="1">
      <c r="A82" s="84">
        <v>75</v>
      </c>
      <c r="B82" s="69" t="s">
        <v>364</v>
      </c>
      <c r="C82" s="96" t="s">
        <v>412</v>
      </c>
      <c r="D82" s="564">
        <f>449520+63900</f>
        <v>513420</v>
      </c>
    </row>
    <row r="83" spans="1:4" ht="18.75" customHeight="1">
      <c r="A83" s="84">
        <v>76</v>
      </c>
      <c r="B83" s="69" t="s">
        <v>364</v>
      </c>
      <c r="C83" s="96" t="s">
        <v>754</v>
      </c>
      <c r="D83" s="563">
        <v>5000000</v>
      </c>
    </row>
    <row r="84" spans="1:4" s="4" customFormat="1" ht="15" thickBot="1">
      <c r="A84" s="85">
        <v>77</v>
      </c>
      <c r="B84" s="18" t="s">
        <v>355</v>
      </c>
      <c r="C84" s="16"/>
      <c r="D84" s="251">
        <f>SUM(D82:D83)</f>
        <v>5513420</v>
      </c>
    </row>
    <row r="85" spans="1:4" ht="15" hidden="1">
      <c r="A85" s="491">
        <v>45</v>
      </c>
      <c r="B85" s="1227" t="s">
        <v>413</v>
      </c>
      <c r="C85" s="1227"/>
      <c r="D85" s="1228"/>
    </row>
    <row r="86" spans="1:4" s="13" customFormat="1" ht="15" hidden="1">
      <c r="A86" s="84">
        <v>46</v>
      </c>
      <c r="B86" s="69"/>
      <c r="C86" s="20"/>
      <c r="D86" s="19"/>
    </row>
    <row r="87" spans="1:4" s="4" customFormat="1" ht="15" hidden="1" thickBot="1">
      <c r="A87" s="84">
        <v>47</v>
      </c>
      <c r="B87" s="18" t="s">
        <v>355</v>
      </c>
      <c r="C87" s="16"/>
      <c r="D87" s="10">
        <f>SUM(D86:D86)</f>
        <v>0</v>
      </c>
    </row>
    <row r="88" spans="1:4" ht="15" hidden="1">
      <c r="A88" s="84">
        <v>64</v>
      </c>
      <c r="B88" s="1227" t="s">
        <v>414</v>
      </c>
      <c r="C88" s="1227"/>
      <c r="D88" s="1228"/>
    </row>
    <row r="89" spans="1:4" ht="15" hidden="1">
      <c r="A89" s="84">
        <v>65</v>
      </c>
      <c r="B89" s="17"/>
      <c r="C89" s="76"/>
      <c r="D89" s="75"/>
    </row>
    <row r="90" spans="1:4" s="4" customFormat="1" ht="15" hidden="1" thickBot="1">
      <c r="A90" s="85">
        <v>66</v>
      </c>
      <c r="B90" s="18" t="s">
        <v>355</v>
      </c>
      <c r="C90" s="16"/>
      <c r="D90" s="251">
        <v>0</v>
      </c>
    </row>
    <row r="91" spans="1:4" ht="15">
      <c r="A91" s="84">
        <v>78</v>
      </c>
      <c r="B91" s="1227" t="s">
        <v>414</v>
      </c>
      <c r="C91" s="1227"/>
      <c r="D91" s="1228"/>
    </row>
    <row r="92" spans="1:4" ht="15">
      <c r="A92" s="84">
        <v>79</v>
      </c>
      <c r="B92" s="17" t="s">
        <v>431</v>
      </c>
      <c r="C92" s="76"/>
      <c r="D92" s="75"/>
    </row>
    <row r="93" spans="1:4" s="21" customFormat="1" ht="20.25" customHeight="1">
      <c r="A93" s="84">
        <v>80</v>
      </c>
      <c r="B93" s="69" t="s">
        <v>364</v>
      </c>
      <c r="C93" s="96" t="s">
        <v>993</v>
      </c>
      <c r="D93" s="564">
        <v>15055017</v>
      </c>
    </row>
    <row r="94" spans="1:4" s="4" customFormat="1" ht="15" thickBot="1">
      <c r="A94" s="85">
        <v>81</v>
      </c>
      <c r="B94" s="18" t="s">
        <v>355</v>
      </c>
      <c r="C94" s="16"/>
      <c r="D94" s="251">
        <f>SUM(D92:D93)</f>
        <v>15055017</v>
      </c>
    </row>
    <row r="95" spans="1:4" ht="21" customHeight="1" thickBot="1">
      <c r="A95" s="85">
        <v>82</v>
      </c>
      <c r="B95" s="83" t="s">
        <v>356</v>
      </c>
      <c r="C95" s="18"/>
      <c r="D95" s="251">
        <f>SUM(D90+D84+D79+D94+D56)</f>
        <v>973251341</v>
      </c>
    </row>
    <row r="97" ht="21" customHeight="1"/>
    <row r="99" spans="2:4" ht="15">
      <c r="B99" s="1238"/>
      <c r="C99" s="1238"/>
      <c r="D99" s="1238"/>
    </row>
    <row r="101" ht="15">
      <c r="H101" s="68"/>
    </row>
  </sheetData>
  <sheetProtection/>
  <mergeCells count="16">
    <mergeCell ref="A6:A7"/>
    <mergeCell ref="B85:D85"/>
    <mergeCell ref="B88:D88"/>
    <mergeCell ref="B99:D99"/>
    <mergeCell ref="B49:D49"/>
    <mergeCell ref="B91:D91"/>
    <mergeCell ref="C1:D1"/>
    <mergeCell ref="B80:D80"/>
    <mergeCell ref="B3:D3"/>
    <mergeCell ref="B6:C6"/>
    <mergeCell ref="B57:D57"/>
    <mergeCell ref="B7:C7"/>
    <mergeCell ref="B36:D36"/>
    <mergeCell ref="B72:D72"/>
    <mergeCell ref="B43:D43"/>
    <mergeCell ref="B75:D7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64" r:id="rId1"/>
  <rowBreaks count="1" manualBreakCount="1">
    <brk id="5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OTP Bank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Tóth Erika</cp:lastModifiedBy>
  <cp:lastPrinted>2020-10-30T07:46:54Z</cp:lastPrinted>
  <dcterms:created xsi:type="dcterms:W3CDTF">2001-11-30T10:27:10Z</dcterms:created>
  <dcterms:modified xsi:type="dcterms:W3CDTF">2020-10-30T07:47:11Z</dcterms:modified>
  <cp:category/>
  <cp:version/>
  <cp:contentType/>
  <cp:contentStatus/>
</cp:coreProperties>
</file>