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feladatos Önk. " sheetId="1" r:id="rId1"/>
  </sheets>
  <calcPr calcId="145621"/>
</workbook>
</file>

<file path=xl/calcChain.xml><?xml version="1.0" encoding="utf-8"?>
<calcChain xmlns="http://schemas.openxmlformats.org/spreadsheetml/2006/main">
  <c r="N53" i="1" l="1"/>
  <c r="N51" i="1"/>
  <c r="I51" i="1"/>
  <c r="G51" i="1"/>
  <c r="I50" i="1"/>
  <c r="N50" i="1" s="1"/>
  <c r="G50" i="1"/>
  <c r="N49" i="1"/>
  <c r="I49" i="1"/>
  <c r="G49" i="1"/>
  <c r="J48" i="1"/>
  <c r="N48" i="1" s="1"/>
  <c r="G48" i="1"/>
  <c r="J47" i="1"/>
  <c r="I47" i="1"/>
  <c r="N47" i="1" s="1"/>
  <c r="C47" i="1"/>
  <c r="B47" i="1"/>
  <c r="G47" i="1" s="1"/>
  <c r="N46" i="1"/>
  <c r="G46" i="1"/>
  <c r="J45" i="1"/>
  <c r="I45" i="1"/>
  <c r="N45" i="1" s="1"/>
  <c r="C45" i="1"/>
  <c r="B45" i="1"/>
  <c r="G45" i="1" s="1"/>
  <c r="J44" i="1"/>
  <c r="I44" i="1"/>
  <c r="N44" i="1" s="1"/>
  <c r="C44" i="1"/>
  <c r="G44" i="1" s="1"/>
  <c r="J43" i="1"/>
  <c r="I43" i="1"/>
  <c r="N43" i="1" s="1"/>
  <c r="G43" i="1"/>
  <c r="B43" i="1"/>
  <c r="N42" i="1"/>
  <c r="I42" i="1"/>
  <c r="G42" i="1"/>
  <c r="N41" i="1"/>
  <c r="G41" i="1"/>
  <c r="N40" i="1"/>
  <c r="G40" i="1"/>
  <c r="I39" i="1"/>
  <c r="N39" i="1" s="1"/>
  <c r="G39" i="1"/>
  <c r="N38" i="1"/>
  <c r="G38" i="1"/>
  <c r="N37" i="1"/>
  <c r="I37" i="1"/>
  <c r="G37" i="1"/>
  <c r="N36" i="1"/>
  <c r="G36" i="1"/>
  <c r="J35" i="1"/>
  <c r="I35" i="1"/>
  <c r="N35" i="1" s="1"/>
  <c r="G35" i="1"/>
  <c r="N34" i="1"/>
  <c r="G34" i="1"/>
  <c r="N33" i="1"/>
  <c r="G33" i="1"/>
  <c r="M32" i="1"/>
  <c r="I32" i="1"/>
  <c r="N32" i="1" s="1"/>
  <c r="E32" i="1"/>
  <c r="G32" i="1" s="1"/>
  <c r="C31" i="1"/>
  <c r="G31" i="1" s="1"/>
  <c r="I30" i="1"/>
  <c r="N30" i="1" s="1"/>
  <c r="B30" i="1"/>
  <c r="G30" i="1" s="1"/>
  <c r="I29" i="1"/>
  <c r="N29" i="1" s="1"/>
  <c r="B29" i="1"/>
  <c r="G29" i="1" s="1"/>
  <c r="G28" i="1" s="1"/>
  <c r="M28" i="1"/>
  <c r="M52" i="1" s="1"/>
  <c r="M54" i="1" s="1"/>
  <c r="L28" i="1"/>
  <c r="L52" i="1" s="1"/>
  <c r="L54" i="1" s="1"/>
  <c r="K28" i="1"/>
  <c r="J28" i="1"/>
  <c r="I28" i="1"/>
  <c r="N28" i="1" s="1"/>
  <c r="F28" i="1"/>
  <c r="F52" i="1" s="1"/>
  <c r="F54" i="1" s="1"/>
  <c r="E28" i="1"/>
  <c r="E52" i="1" s="1"/>
  <c r="E54" i="1" s="1"/>
  <c r="D28" i="1"/>
  <c r="C28" i="1"/>
  <c r="B28" i="1"/>
  <c r="J27" i="1"/>
  <c r="I27" i="1"/>
  <c r="N27" i="1" s="1"/>
  <c r="B27" i="1"/>
  <c r="G27" i="1" s="1"/>
  <c r="J26" i="1"/>
  <c r="N26" i="1" s="1"/>
  <c r="G26" i="1"/>
  <c r="N25" i="1"/>
  <c r="I25" i="1"/>
  <c r="G25" i="1"/>
  <c r="I24" i="1"/>
  <c r="N24" i="1" s="1"/>
  <c r="G24" i="1"/>
  <c r="N23" i="1"/>
  <c r="G23" i="1"/>
  <c r="N22" i="1"/>
  <c r="G22" i="1"/>
  <c r="N21" i="1"/>
  <c r="D21" i="1"/>
  <c r="G21" i="1" s="1"/>
  <c r="G20" i="1" s="1"/>
  <c r="K20" i="1"/>
  <c r="K52" i="1" s="1"/>
  <c r="K54" i="1" s="1"/>
  <c r="D20" i="1"/>
  <c r="D52" i="1" s="1"/>
  <c r="D54" i="1" s="1"/>
  <c r="C20" i="1"/>
  <c r="B20" i="1"/>
  <c r="I19" i="1"/>
  <c r="N19" i="1" s="1"/>
  <c r="G19" i="1"/>
  <c r="N18" i="1"/>
  <c r="I18" i="1"/>
  <c r="G18" i="1"/>
  <c r="N17" i="1"/>
  <c r="G17" i="1"/>
  <c r="I16" i="1"/>
  <c r="N16" i="1" s="1"/>
  <c r="G16" i="1"/>
  <c r="J15" i="1"/>
  <c r="I15" i="1"/>
  <c r="N15" i="1" s="1"/>
  <c r="G15" i="1"/>
  <c r="N14" i="1"/>
  <c r="I14" i="1"/>
  <c r="I52" i="1" s="1"/>
  <c r="I54" i="1" s="1"/>
  <c r="G14" i="1"/>
  <c r="B14" i="1"/>
  <c r="B52" i="1" s="1"/>
  <c r="B54" i="1" s="1"/>
  <c r="N13" i="1"/>
  <c r="H13" i="1"/>
  <c r="H52" i="1" s="1"/>
  <c r="H54" i="1" s="1"/>
  <c r="G13" i="1"/>
  <c r="N12" i="1"/>
  <c r="J12" i="1"/>
  <c r="G12" i="1"/>
  <c r="C12" i="1"/>
  <c r="C52" i="1" s="1"/>
  <c r="C54" i="1" s="1"/>
  <c r="N11" i="1"/>
  <c r="G11" i="1"/>
  <c r="N10" i="1"/>
  <c r="G10" i="1"/>
  <c r="N9" i="1"/>
  <c r="J9" i="1"/>
  <c r="J52" i="1" s="1"/>
  <c r="J54" i="1" s="1"/>
  <c r="G9" i="1"/>
  <c r="G52" i="1" s="1"/>
  <c r="G54" i="1" s="1"/>
  <c r="N52" i="1" l="1"/>
  <c r="N20" i="1"/>
  <c r="N54" i="1" l="1"/>
  <c r="O52" i="1"/>
</calcChain>
</file>

<file path=xl/sharedStrings.xml><?xml version="1.0" encoding="utf-8"?>
<sst xmlns="http://schemas.openxmlformats.org/spreadsheetml/2006/main" count="73" uniqueCount="69">
  <si>
    <t>Az önkormányzat 2017.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</si>
  <si>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</si>
  <si>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</si>
  <si>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</si>
  <si>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</si>
  <si>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</si>
  <si>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</si>
  <si>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</si>
  <si>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</si>
  <si>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</si>
  <si>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</si>
  <si>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2017 év</t>
  </si>
  <si>
    <t>Intézmény</t>
  </si>
  <si>
    <t>Hitel</t>
  </si>
  <si>
    <t>Tartalék</t>
  </si>
  <si>
    <t>2017.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</si>
  <si>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</si>
  <si>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</si>
  <si>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</si>
  <si>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</si>
  <si>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</si>
  <si>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</si>
  <si>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</si>
  <si>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</si>
  <si>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</si>
  <si>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</si>
  <si>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</si>
  <si>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</si>
  <si>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</si>
  <si>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</si>
  <si>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</si>
  <si>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</si>
  <si>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</si>
  <si>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</si>
  <si>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</si>
  <si>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</si>
  <si>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</si>
  <si>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</si>
  <si>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</si>
  <si>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</si>
  <si>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</si>
  <si>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</si>
  <si>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</si>
  <si>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</si>
  <si>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</si>
  <si>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</si>
  <si>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</si>
  <si>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</si>
  <si>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</si>
  <si>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</si>
  <si>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Oktatás, közművelődés</t>
  </si>
  <si>
    <t>Kiemelt állami és önkormányzati rendezvények</t>
  </si>
  <si>
    <t>Fertőző megbetegedések megelőzése</t>
  </si>
  <si>
    <t>Települési támogatás</t>
  </si>
  <si>
    <t>Halgatói és oktatói ösztöndíjak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</si>
  <si>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</si>
  <si>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</si>
  <si>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</si>
  <si>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</si>
  <si>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</si>
  <si>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 xml:space="preserve">Hosszabb id. közfogl. 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</si>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</sst>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i/>
      <sz val="9"/>
      <color rgb="FFFF0000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2" borderId="0" applyNumberFormat="0" applyBorder="0" applyAlignment="0" applyProtection="0"/>
    <xf numFmtId="0" fontId="25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7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/>
    <xf numFmtId="3" fontId="18" fillId="0" borderId="4" xfId="1" applyNumberFormat="1" applyFont="1" applyBorder="1"/>
    <xf numFmtId="0" fontId="19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8" fillId="0" borderId="23" xfId="1" applyNumberFormat="1" applyFont="1" applyBorder="1"/>
    <xf numFmtId="3" fontId="14" fillId="0" borderId="0" xfId="1" applyNumberFormat="1" applyFont="1" applyBorder="1"/>
    <xf numFmtId="3" fontId="17" fillId="0" borderId="22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7" fillId="0" borderId="21" xfId="1" applyNumberFormat="1" applyFont="1" applyBorder="1"/>
    <xf numFmtId="3" fontId="20" fillId="0" borderId="22" xfId="1" applyNumberFormat="1" applyFont="1" applyBorder="1"/>
    <xf numFmtId="3" fontId="17" fillId="0" borderId="24" xfId="1" applyNumberFormat="1" applyFont="1" applyBorder="1"/>
    <xf numFmtId="3" fontId="20" fillId="0" borderId="21" xfId="1" applyNumberFormat="1" applyFont="1" applyBorder="1"/>
    <xf numFmtId="3" fontId="8" fillId="0" borderId="10" xfId="1" applyNumberFormat="1" applyFont="1" applyBorder="1"/>
    <xf numFmtId="3" fontId="20" fillId="0" borderId="24" xfId="1" applyNumberFormat="1" applyFont="1" applyBorder="1"/>
    <xf numFmtId="49" fontId="20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3" fontId="21" fillId="0" borderId="24" xfId="1" applyNumberFormat="1" applyFont="1" applyBorder="1"/>
    <xf numFmtId="0" fontId="22" fillId="0" borderId="20" xfId="1" applyFont="1" applyBorder="1"/>
    <xf numFmtId="3" fontId="21" fillId="0" borderId="22" xfId="1" applyNumberFormat="1" applyFont="1" applyBorder="1"/>
    <xf numFmtId="0" fontId="16" fillId="0" borderId="26" xfId="1" applyFont="1" applyBorder="1"/>
    <xf numFmtId="3" fontId="17" fillId="0" borderId="27" xfId="1" applyNumberFormat="1" applyFont="1" applyBorder="1"/>
    <xf numFmtId="3" fontId="16" fillId="0" borderId="8" xfId="1" applyNumberFormat="1" applyFont="1" applyBorder="1"/>
    <xf numFmtId="3" fontId="20" fillId="0" borderId="8" xfId="1" applyNumberFormat="1" applyFont="1" applyBorder="1"/>
    <xf numFmtId="3" fontId="18" fillId="0" borderId="9" xfId="1" applyNumberFormat="1" applyFont="1" applyBorder="1"/>
    <xf numFmtId="3" fontId="17" fillId="0" borderId="7" xfId="1" applyNumberFormat="1" applyFont="1" applyBorder="1"/>
    <xf numFmtId="3" fontId="17" fillId="0" borderId="8" xfId="1" applyNumberFormat="1" applyFont="1" applyBorder="1"/>
    <xf numFmtId="3" fontId="8" fillId="0" borderId="26" xfId="1" applyNumberFormat="1" applyFont="1" applyBorder="1"/>
    <xf numFmtId="3" fontId="17" fillId="0" borderId="21" xfId="1" applyNumberFormat="1" applyFont="1" applyFill="1" applyBorder="1"/>
    <xf numFmtId="3" fontId="16" fillId="0" borderId="21" xfId="1" applyNumberFormat="1" applyFont="1" applyFill="1" applyBorder="1"/>
    <xf numFmtId="3" fontId="16" fillId="0" borderId="27" xfId="1" applyNumberFormat="1" applyFont="1" applyBorder="1"/>
    <xf numFmtId="3" fontId="16" fillId="0" borderId="7" xfId="1" applyNumberFormat="1" applyFont="1" applyBorder="1"/>
    <xf numFmtId="3" fontId="17" fillId="0" borderId="7" xfId="1" applyNumberFormat="1" applyFont="1" applyFill="1" applyBorder="1"/>
    <xf numFmtId="3" fontId="17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3" fontId="16" fillId="0" borderId="27" xfId="1" applyNumberFormat="1" applyFont="1" applyFill="1" applyBorder="1"/>
    <xf numFmtId="0" fontId="14" fillId="0" borderId="2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8" fillId="0" borderId="22" xfId="1" applyNumberFormat="1" applyFont="1" applyBorder="1"/>
    <xf numFmtId="3" fontId="15" fillId="0" borderId="23" xfId="1" applyNumberFormat="1" applyFont="1" applyBorder="1"/>
    <xf numFmtId="0" fontId="14" fillId="0" borderId="29" xfId="1" applyFont="1" applyBorder="1"/>
    <xf numFmtId="3" fontId="14" fillId="0" borderId="30" xfId="1" applyNumberFormat="1" applyFont="1" applyBorder="1"/>
    <xf numFmtId="3" fontId="14" fillId="0" borderId="31" xfId="1" applyNumberFormat="1" applyFont="1" applyBorder="1"/>
    <xf numFmtId="3" fontId="14" fillId="0" borderId="29" xfId="1" applyNumberFormat="1" applyFont="1" applyBorder="1"/>
    <xf numFmtId="3" fontId="14" fillId="0" borderId="32" xfId="1" applyNumberFormat="1" applyFont="1" applyBorder="1"/>
    <xf numFmtId="0" fontId="23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3" fillId="0" borderId="0" xfId="1" applyNumberFormat="1" applyFont="1" applyFill="1" applyBorder="1"/>
    <xf numFmtId="3" fontId="23" fillId="0" borderId="0" xfId="1" applyNumberFormat="1" applyFont="1" applyBorder="1"/>
    <xf numFmtId="3" fontId="24" fillId="0" borderId="0" xfId="1" applyNumberFormat="1" applyFont="1" applyBorder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pageSetUpPr fitToPage="1"/>
  </sheetPr>
  <dimension ref="A1:GL61"/>
  <sheetViews>
    <sheetView tabSelected="1" view="pageLayout" zoomScale="85" zoomScaleNormal="100" zoomScalePageLayoutView="85" workbookViewId="0">
      <selection activeCell="N4" sqref="N4"/>
    </sheetView>
  </sheetViews>
  <sheetFormatPr defaultColWidth="9.140625" defaultRowHeight="12.75" x14ac:dyDescent="0.2"/>
  <cols>
    <col min="1" max="1" width="36.28515625" style="1" customWidth="1"/>
    <col min="2" max="2" width="10.85546875" style="2" bestFit="1" customWidth="1"/>
    <col min="3" max="4" width="9.5703125" style="2" bestFit="1" customWidth="1"/>
    <col min="5" max="5" width="9.7109375" style="2" bestFit="1" customWidth="1"/>
    <col min="6" max="6" width="9.57031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0.8554687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</row>
    <row r="4" spans="1:194" ht="19.5" x14ac:dyDescent="0.35">
      <c r="A4" s="15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</row>
    <row r="5" spans="1:194" ht="0.75" customHeight="1" thickBot="1" x14ac:dyDescent="0.35">
      <c r="A5" s="16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</row>
    <row r="6" spans="1:194" ht="15.75" x14ac:dyDescent="0.25">
      <c r="A6" s="17" t="s">
        <v>3</v>
      </c>
      <c r="B6" s="18" t="s">
        <v>4</v>
      </c>
      <c r="C6" s="19"/>
      <c r="D6" s="19"/>
      <c r="E6" s="19"/>
      <c r="F6" s="19"/>
      <c r="G6" s="20"/>
      <c r="H6" s="21"/>
      <c r="I6" s="18" t="s">
        <v>5</v>
      </c>
      <c r="J6" s="19"/>
      <c r="K6" s="19"/>
      <c r="L6" s="19"/>
      <c r="M6" s="19"/>
      <c r="N6" s="20"/>
    </row>
    <row r="7" spans="1:194" x14ac:dyDescent="0.2">
      <c r="A7" s="22"/>
      <c r="B7" s="23" t="s">
        <v>6</v>
      </c>
      <c r="C7" s="24" t="s">
        <v>7</v>
      </c>
      <c r="D7" s="24" t="s">
        <v>8</v>
      </c>
      <c r="E7" s="24" t="s">
        <v>9</v>
      </c>
      <c r="F7" s="24" t="s">
        <v>10</v>
      </c>
      <c r="G7" s="25" t="s">
        <v>11</v>
      </c>
      <c r="H7" s="26"/>
      <c r="I7" s="23" t="s">
        <v>6</v>
      </c>
      <c r="J7" s="24" t="s">
        <v>7</v>
      </c>
      <c r="K7" s="24" t="s">
        <v>12</v>
      </c>
      <c r="L7" s="24" t="s">
        <v>13</v>
      </c>
      <c r="M7" s="24" t="s">
        <v>14</v>
      </c>
      <c r="N7" s="25" t="s">
        <v>15</v>
      </c>
    </row>
    <row r="8" spans="1:194" ht="13.5" thickBot="1" x14ac:dyDescent="0.25">
      <c r="A8" s="27"/>
      <c r="B8" s="28" t="s">
        <v>16</v>
      </c>
      <c r="C8" s="29" t="s">
        <v>16</v>
      </c>
      <c r="D8" s="29" t="s">
        <v>16</v>
      </c>
      <c r="E8" s="29" t="s">
        <v>17</v>
      </c>
      <c r="F8" s="29"/>
      <c r="G8" s="30" t="s">
        <v>18</v>
      </c>
      <c r="H8" s="31"/>
      <c r="I8" s="32" t="s">
        <v>19</v>
      </c>
      <c r="J8" s="33" t="s">
        <v>20</v>
      </c>
      <c r="K8" s="33" t="s">
        <v>21</v>
      </c>
      <c r="L8" s="33"/>
      <c r="M8" s="33"/>
      <c r="N8" s="34" t="s">
        <v>22</v>
      </c>
    </row>
    <row r="9" spans="1:194" x14ac:dyDescent="0.2">
      <c r="A9" s="35" t="s">
        <v>23</v>
      </c>
      <c r="B9" s="36">
        <v>4075000</v>
      </c>
      <c r="C9" s="37"/>
      <c r="D9" s="38"/>
      <c r="E9" s="37"/>
      <c r="F9" s="37"/>
      <c r="G9" s="39">
        <f>SUM(B9:F9)</f>
        <v>4075000</v>
      </c>
      <c r="H9" s="40"/>
      <c r="I9" s="41"/>
      <c r="J9" s="42">
        <f>291340+78662+283000+76410</f>
        <v>729412</v>
      </c>
      <c r="K9" s="43"/>
      <c r="L9" s="37"/>
      <c r="M9" s="37"/>
      <c r="N9" s="44">
        <f t="shared" ref="N9:N16" si="0">SUM(I9:M9)</f>
        <v>729412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</row>
    <row r="10" spans="1:194" x14ac:dyDescent="0.2">
      <c r="A10" s="46" t="s">
        <v>24</v>
      </c>
      <c r="B10" s="47"/>
      <c r="C10" s="48"/>
      <c r="D10" s="48"/>
      <c r="E10" s="48"/>
      <c r="F10" s="48"/>
      <c r="G10" s="49">
        <f>SUM(B10:F10)</f>
        <v>0</v>
      </c>
      <c r="H10" s="50"/>
      <c r="I10" s="51">
        <v>12011000</v>
      </c>
      <c r="J10" s="48"/>
      <c r="K10" s="48"/>
      <c r="L10" s="48"/>
      <c r="M10" s="48"/>
      <c r="N10" s="52">
        <f t="shared" si="0"/>
        <v>12011000</v>
      </c>
    </row>
    <row r="11" spans="1:194" x14ac:dyDescent="0.2">
      <c r="A11" s="46" t="s">
        <v>25</v>
      </c>
      <c r="B11" s="47"/>
      <c r="C11" s="48"/>
      <c r="D11" s="48"/>
      <c r="E11" s="48"/>
      <c r="F11" s="48"/>
      <c r="G11" s="49">
        <f>SUM(B11:F11)</f>
        <v>0</v>
      </c>
      <c r="H11" s="50"/>
      <c r="I11" s="51"/>
      <c r="J11" s="48"/>
      <c r="K11" s="48"/>
      <c r="L11" s="48"/>
      <c r="M11" s="48"/>
      <c r="N11" s="52">
        <f t="shared" si="0"/>
        <v>0</v>
      </c>
    </row>
    <row r="12" spans="1:194" x14ac:dyDescent="0.2">
      <c r="A12" s="46" t="s">
        <v>26</v>
      </c>
      <c r="B12" s="47"/>
      <c r="C12" s="48">
        <f>15690532-15690532</f>
        <v>0</v>
      </c>
      <c r="D12" s="48"/>
      <c r="E12" s="48"/>
      <c r="F12" s="48"/>
      <c r="G12" s="49">
        <f>SUM(B12:F12)</f>
        <v>0</v>
      </c>
      <c r="H12" s="53"/>
      <c r="I12" s="51"/>
      <c r="J12" s="54">
        <f>6621000+4226991-2180250-588668+14535000+3924450+2122000+572940-3500000-945000</f>
        <v>24788463</v>
      </c>
      <c r="K12" s="48"/>
      <c r="L12" s="48"/>
      <c r="M12" s="48"/>
      <c r="N12" s="52">
        <f t="shared" si="0"/>
        <v>24788463</v>
      </c>
    </row>
    <row r="13" spans="1:194" x14ac:dyDescent="0.2">
      <c r="A13" s="46" t="s">
        <v>27</v>
      </c>
      <c r="B13" s="47"/>
      <c r="C13" s="55"/>
      <c r="D13" s="48"/>
      <c r="E13" s="48"/>
      <c r="F13" s="48"/>
      <c r="G13" s="49">
        <f t="shared" ref="G13:G19" si="1">SUM(B13:F13)</f>
        <v>0</v>
      </c>
      <c r="H13" s="56" t="e">
        <f>SUM(#REF!)</f>
        <v>#REF!</v>
      </c>
      <c r="I13" s="51"/>
      <c r="J13" s="48"/>
      <c r="K13" s="48"/>
      <c r="L13" s="48"/>
      <c r="M13" s="48"/>
      <c r="N13" s="52">
        <f t="shared" si="0"/>
        <v>0</v>
      </c>
    </row>
    <row r="14" spans="1:194" x14ac:dyDescent="0.2">
      <c r="A14" s="57" t="s">
        <v>28</v>
      </c>
      <c r="B14" s="58">
        <f>7285000+5500000+1485000+3483000+3954000-2548000</f>
        <v>19159000</v>
      </c>
      <c r="C14" s="59"/>
      <c r="D14" s="48"/>
      <c r="E14" s="59"/>
      <c r="F14" s="59"/>
      <c r="G14" s="52">
        <f t="shared" si="1"/>
        <v>19159000</v>
      </c>
      <c r="H14" s="50"/>
      <c r="I14" s="60">
        <f>4801000+5200000+1647000+900000-162000+46000-760000+2514325-493801</f>
        <v>13692524</v>
      </c>
      <c r="J14" s="48"/>
      <c r="K14" s="59"/>
      <c r="L14" s="59"/>
      <c r="M14" s="59"/>
      <c r="N14" s="52">
        <f t="shared" si="0"/>
        <v>13692524</v>
      </c>
    </row>
    <row r="15" spans="1:194" x14ac:dyDescent="0.2">
      <c r="A15" s="46" t="s">
        <v>29</v>
      </c>
      <c r="B15" s="47"/>
      <c r="C15" s="48"/>
      <c r="D15" s="48"/>
      <c r="E15" s="48"/>
      <c r="F15" s="48"/>
      <c r="G15" s="49">
        <f t="shared" si="1"/>
        <v>0</v>
      </c>
      <c r="H15" s="50"/>
      <c r="I15" s="60">
        <f>8715000+638680+172444-2122000-572940-167519-45230</f>
        <v>6618435</v>
      </c>
      <c r="J15" s="48">
        <f>529000+141000+39000</f>
        <v>709000</v>
      </c>
      <c r="K15" s="48"/>
      <c r="L15" s="48"/>
      <c r="M15" s="48"/>
      <c r="N15" s="52">
        <f t="shared" si="0"/>
        <v>7327435</v>
      </c>
    </row>
    <row r="16" spans="1:194" x14ac:dyDescent="0.2">
      <c r="A16" s="46" t="s">
        <v>30</v>
      </c>
      <c r="B16" s="47">
        <v>100000</v>
      </c>
      <c r="C16" s="48"/>
      <c r="D16" s="48"/>
      <c r="E16" s="48"/>
      <c r="F16" s="48"/>
      <c r="G16" s="49">
        <f t="shared" si="1"/>
        <v>100000</v>
      </c>
      <c r="H16" s="50"/>
      <c r="I16" s="51">
        <f>1817000+300000+81000</f>
        <v>2198000</v>
      </c>
      <c r="J16" s="48">
        <v>1513000</v>
      </c>
      <c r="K16" s="48"/>
      <c r="L16" s="48"/>
      <c r="M16" s="48"/>
      <c r="N16" s="52">
        <f t="shared" si="0"/>
        <v>3711000</v>
      </c>
    </row>
    <row r="17" spans="1:14" x14ac:dyDescent="0.2">
      <c r="A17" s="46" t="s">
        <v>31</v>
      </c>
      <c r="B17" s="47"/>
      <c r="C17" s="48"/>
      <c r="D17" s="48"/>
      <c r="E17" s="48"/>
      <c r="F17" s="48"/>
      <c r="G17" s="49">
        <f t="shared" si="1"/>
        <v>0</v>
      </c>
      <c r="H17" s="50"/>
      <c r="I17" s="51"/>
      <c r="J17" s="48"/>
      <c r="K17" s="48"/>
      <c r="L17" s="48"/>
      <c r="M17" s="48"/>
      <c r="N17" s="52">
        <f t="shared" ref="N17:N51" si="2">SUM(I17:M17)</f>
        <v>0</v>
      </c>
    </row>
    <row r="18" spans="1:14" x14ac:dyDescent="0.2">
      <c r="A18" s="46" t="s">
        <v>32</v>
      </c>
      <c r="B18" s="61">
        <v>6840000</v>
      </c>
      <c r="C18" s="59">
        <v>2160000</v>
      </c>
      <c r="D18" s="59"/>
      <c r="E18" s="59"/>
      <c r="F18" s="59"/>
      <c r="G18" s="52">
        <f t="shared" si="1"/>
        <v>9000000</v>
      </c>
      <c r="H18" s="62"/>
      <c r="I18" s="60">
        <f>31466000+66000-231000-45738+6840000-132000-26136-198000-39204+127000</f>
        <v>37826922</v>
      </c>
      <c r="J18" s="48">
        <v>2160000</v>
      </c>
      <c r="K18" s="59"/>
      <c r="L18" s="59"/>
      <c r="M18" s="59"/>
      <c r="N18" s="52">
        <f t="shared" si="2"/>
        <v>39986922</v>
      </c>
    </row>
    <row r="19" spans="1:14" x14ac:dyDescent="0.2">
      <c r="A19" s="57" t="s">
        <v>33</v>
      </c>
      <c r="B19" s="61"/>
      <c r="C19" s="59"/>
      <c r="D19" s="59"/>
      <c r="E19" s="59"/>
      <c r="F19" s="59"/>
      <c r="G19" s="52">
        <f t="shared" si="1"/>
        <v>0</v>
      </c>
      <c r="H19" s="62"/>
      <c r="I19" s="60">
        <f>300000+6294578+1699536+241138+65107+500000+135000-72105-19468</f>
        <v>9143786</v>
      </c>
      <c r="J19" s="59"/>
      <c r="K19" s="59"/>
      <c r="L19" s="59"/>
      <c r="M19" s="59"/>
      <c r="N19" s="52">
        <f t="shared" si="2"/>
        <v>9143786</v>
      </c>
    </row>
    <row r="20" spans="1:14" x14ac:dyDescent="0.2">
      <c r="A20" s="46" t="s">
        <v>34</v>
      </c>
      <c r="B20" s="47">
        <f>SUM(B21:B23)</f>
        <v>0</v>
      </c>
      <c r="C20" s="48">
        <f>SUM(C21:C23)</f>
        <v>0</v>
      </c>
      <c r="D20" s="48">
        <f>SUM(D21:D23)</f>
        <v>354390000</v>
      </c>
      <c r="E20" s="48"/>
      <c r="F20" s="48"/>
      <c r="G20" s="52">
        <f>SUM(G21:G23)</f>
        <v>354390000</v>
      </c>
      <c r="H20" s="62"/>
      <c r="I20" s="63"/>
      <c r="J20" s="59"/>
      <c r="K20" s="59">
        <f>SUM(K21:K23)</f>
        <v>0</v>
      </c>
      <c r="L20" s="59"/>
      <c r="M20" s="59"/>
      <c r="N20" s="52">
        <f t="shared" si="2"/>
        <v>0</v>
      </c>
    </row>
    <row r="21" spans="1:14" x14ac:dyDescent="0.2">
      <c r="A21" s="64" t="s">
        <v>35</v>
      </c>
      <c r="B21" s="47"/>
      <c r="C21" s="59"/>
      <c r="D21" s="47">
        <f>282890000+3500000+35000000</f>
        <v>321390000</v>
      </c>
      <c r="E21" s="59"/>
      <c r="F21" s="59"/>
      <c r="G21" s="65">
        <f t="shared" ref="G21:G27" si="3">SUM(B21:F21)</f>
        <v>321390000</v>
      </c>
      <c r="H21" s="62"/>
      <c r="I21" s="63"/>
      <c r="J21" s="59"/>
      <c r="K21" s="59"/>
      <c r="L21" s="59"/>
      <c r="M21" s="59"/>
      <c r="N21" s="66">
        <f t="shared" si="2"/>
        <v>0</v>
      </c>
    </row>
    <row r="22" spans="1:14" x14ac:dyDescent="0.2">
      <c r="A22" s="64" t="s">
        <v>36</v>
      </c>
      <c r="B22" s="47"/>
      <c r="C22" s="59"/>
      <c r="D22" s="47">
        <v>27000000</v>
      </c>
      <c r="E22" s="59"/>
      <c r="F22" s="59"/>
      <c r="G22" s="65">
        <f t="shared" si="3"/>
        <v>27000000</v>
      </c>
      <c r="H22" s="62"/>
      <c r="I22" s="63"/>
      <c r="J22" s="59"/>
      <c r="K22" s="59"/>
      <c r="L22" s="59"/>
      <c r="M22" s="59"/>
      <c r="N22" s="66">
        <f t="shared" si="2"/>
        <v>0</v>
      </c>
    </row>
    <row r="23" spans="1:14" x14ac:dyDescent="0.2">
      <c r="A23" s="64" t="s">
        <v>37</v>
      </c>
      <c r="B23" s="47"/>
      <c r="C23" s="59"/>
      <c r="D23" s="47">
        <v>6000000</v>
      </c>
      <c r="E23" s="59"/>
      <c r="F23" s="59"/>
      <c r="G23" s="65">
        <f t="shared" si="3"/>
        <v>6000000</v>
      </c>
      <c r="H23" s="62"/>
      <c r="I23" s="67">
        <v>1565437</v>
      </c>
      <c r="J23" s="59"/>
      <c r="K23" s="59"/>
      <c r="L23" s="59"/>
      <c r="M23" s="59"/>
      <c r="N23" s="66">
        <f t="shared" si="2"/>
        <v>1565437</v>
      </c>
    </row>
    <row r="24" spans="1:14" x14ac:dyDescent="0.2">
      <c r="A24" s="68" t="s">
        <v>38</v>
      </c>
      <c r="B24" s="61"/>
      <c r="C24" s="59"/>
      <c r="D24" s="59"/>
      <c r="E24" s="59"/>
      <c r="F24" s="59"/>
      <c r="G24" s="65">
        <f t="shared" si="3"/>
        <v>0</v>
      </c>
      <c r="H24" s="62"/>
      <c r="I24" s="51">
        <f>26600000-19000000</f>
        <v>7600000</v>
      </c>
      <c r="J24" s="48"/>
      <c r="K24" s="59"/>
      <c r="L24" s="59"/>
      <c r="M24" s="59"/>
      <c r="N24" s="52">
        <f t="shared" si="2"/>
        <v>7600000</v>
      </c>
    </row>
    <row r="25" spans="1:14" x14ac:dyDescent="0.2">
      <c r="A25" s="46" t="s">
        <v>39</v>
      </c>
      <c r="B25" s="61"/>
      <c r="C25" s="59"/>
      <c r="D25" s="59"/>
      <c r="E25" s="59"/>
      <c r="F25" s="59"/>
      <c r="G25" s="52">
        <f t="shared" si="3"/>
        <v>0</v>
      </c>
      <c r="H25" s="62"/>
      <c r="I25" s="51">
        <f>835000+1200000+324000</f>
        <v>2359000</v>
      </c>
      <c r="J25" s="59"/>
      <c r="K25" s="59"/>
      <c r="L25" s="59"/>
      <c r="M25" s="59"/>
      <c r="N25" s="52">
        <f t="shared" si="2"/>
        <v>2359000</v>
      </c>
    </row>
    <row r="26" spans="1:14" x14ac:dyDescent="0.2">
      <c r="A26" s="46" t="s">
        <v>40</v>
      </c>
      <c r="B26" s="61"/>
      <c r="C26" s="59"/>
      <c r="D26" s="59"/>
      <c r="E26" s="59"/>
      <c r="F26" s="59"/>
      <c r="G26" s="52">
        <f t="shared" si="3"/>
        <v>0</v>
      </c>
      <c r="H26" s="62"/>
      <c r="I26" s="51">
        <v>34925000</v>
      </c>
      <c r="J26" s="69">
        <f>2237000-1418000-382860</f>
        <v>436140</v>
      </c>
      <c r="K26" s="59"/>
      <c r="L26" s="59"/>
      <c r="M26" s="59"/>
      <c r="N26" s="52">
        <f t="shared" si="2"/>
        <v>35361140</v>
      </c>
    </row>
    <row r="27" spans="1:14" ht="13.5" customHeight="1" x14ac:dyDescent="0.2">
      <c r="A27" s="70" t="s">
        <v>41</v>
      </c>
      <c r="B27" s="71">
        <f>210000+1060845+383000+8458000+378000+723064+195228+3111000+1770000+2100000-4705000+11811+3189</f>
        <v>13699137</v>
      </c>
      <c r="C27" s="72"/>
      <c r="D27" s="73"/>
      <c r="E27" s="73"/>
      <c r="F27" s="72"/>
      <c r="G27" s="74">
        <f t="shared" si="3"/>
        <v>13699137</v>
      </c>
      <c r="H27" s="62"/>
      <c r="I27" s="75">
        <f>40773000+6010000+1233000+3429000+16678000+589000+117000+315000+86000+812000+3500000+1982000+91440+918292+6600000+1905000+600000+361225+723064+195228+208420+56274+3191000+163000+4568000+2037000+448140+594094+267717+72000+62992+249697+7351000-4705000+200000+54000+165000+44550+22000+132448+100000-23622+157480+65694+24000-24000+4250-4250+3000000+60000+3261000-77165+110236-42000+8929+15000+2970+3189+119000+32130-52967-14301</f>
        <v>108826154</v>
      </c>
      <c r="J27" s="76">
        <f>6604000+2400000+1348000+5000+157480+1974646+575674-157480-42520-54000+1079500+283500+76545</f>
        <v>14250345</v>
      </c>
      <c r="K27" s="72"/>
      <c r="L27" s="73"/>
      <c r="M27" s="73"/>
      <c r="N27" s="74">
        <f t="shared" si="2"/>
        <v>123076499</v>
      </c>
    </row>
    <row r="28" spans="1:14" x14ac:dyDescent="0.2">
      <c r="A28" s="46" t="s">
        <v>42</v>
      </c>
      <c r="B28" s="47">
        <f t="shared" ref="B28:G28" si="4">SUM(B29:B31)</f>
        <v>1366494383</v>
      </c>
      <c r="C28" s="47">
        <f t="shared" si="4"/>
        <v>15690532</v>
      </c>
      <c r="D28" s="47">
        <f t="shared" si="4"/>
        <v>0</v>
      </c>
      <c r="E28" s="47">
        <f t="shared" si="4"/>
        <v>0</v>
      </c>
      <c r="F28" s="47">
        <f t="shared" si="4"/>
        <v>0</v>
      </c>
      <c r="G28" s="52">
        <f t="shared" si="4"/>
        <v>1382184915</v>
      </c>
      <c r="H28" s="77"/>
      <c r="I28" s="63">
        <f>SUM(I29:I30)</f>
        <v>45362389</v>
      </c>
      <c r="J28" s="63">
        <f>SUM(J29:J30)</f>
        <v>0</v>
      </c>
      <c r="K28" s="63">
        <f>SUM(K29:K30)</f>
        <v>0</v>
      </c>
      <c r="L28" s="63">
        <f>SUM(L29:L30)</f>
        <v>0</v>
      </c>
      <c r="M28" s="63">
        <f>SUM(M29:M30)</f>
        <v>0</v>
      </c>
      <c r="N28" s="52">
        <f t="shared" si="2"/>
        <v>45362389</v>
      </c>
    </row>
    <row r="29" spans="1:14" x14ac:dyDescent="0.2">
      <c r="A29" s="64" t="s">
        <v>43</v>
      </c>
      <c r="B29" s="58">
        <f>996138958+24250000-24250000+413944+9514709+49094027+4501192+10461768+4203818-8925800-4278000-1921230+31350000</f>
        <v>1090553386</v>
      </c>
      <c r="C29" s="48"/>
      <c r="D29" s="59"/>
      <c r="E29" s="59"/>
      <c r="F29" s="59"/>
      <c r="G29" s="65">
        <f t="shared" ref="G29:G51" si="5">SUM(B29:F29)</f>
        <v>1090553386</v>
      </c>
      <c r="H29" s="62"/>
      <c r="I29" s="51">
        <f>6098534+1143510+40446+2792500</f>
        <v>10074990</v>
      </c>
      <c r="J29" s="59"/>
      <c r="K29" s="59"/>
      <c r="L29" s="59"/>
      <c r="M29" s="59"/>
      <c r="N29" s="66">
        <f t="shared" si="2"/>
        <v>10074990</v>
      </c>
    </row>
    <row r="30" spans="1:14" x14ac:dyDescent="0.2">
      <c r="A30" s="64" t="s">
        <v>44</v>
      </c>
      <c r="B30" s="78">
        <f>110446000+168707597+58000+128000+24250000-15000000+3969000+22113080+1882700+1038248-3969000-22113080-1882700+4682000+306000+12549488-21350000-6245860-3628476</f>
        <v>275940997</v>
      </c>
      <c r="C30" s="48"/>
      <c r="D30" s="48"/>
      <c r="E30" s="59"/>
      <c r="F30" s="59"/>
      <c r="G30" s="65">
        <f t="shared" si="5"/>
        <v>275940997</v>
      </c>
      <c r="H30" s="62"/>
      <c r="I30" s="51">
        <f>35164932+1500+60754+114463-60754+6504</f>
        <v>35287399</v>
      </c>
      <c r="J30" s="59"/>
      <c r="K30" s="59"/>
      <c r="L30" s="59"/>
      <c r="M30" s="59"/>
      <c r="N30" s="52">
        <f t="shared" si="2"/>
        <v>35287399</v>
      </c>
    </row>
    <row r="31" spans="1:14" x14ac:dyDescent="0.2">
      <c r="A31" s="64" t="s">
        <v>45</v>
      </c>
      <c r="B31" s="79"/>
      <c r="C31" s="48">
        <f>15690532</f>
        <v>15690532</v>
      </c>
      <c r="D31" s="48"/>
      <c r="E31" s="59"/>
      <c r="F31" s="59"/>
      <c r="G31" s="65">
        <f t="shared" si="5"/>
        <v>15690532</v>
      </c>
      <c r="H31" s="62"/>
      <c r="I31" s="51"/>
      <c r="J31" s="59"/>
      <c r="K31" s="59"/>
      <c r="L31" s="59"/>
      <c r="M31" s="59"/>
      <c r="N31" s="52"/>
    </row>
    <row r="32" spans="1:14" x14ac:dyDescent="0.2">
      <c r="A32" s="46" t="s">
        <v>46</v>
      </c>
      <c r="B32" s="47">
        <v>30000</v>
      </c>
      <c r="C32" s="48"/>
      <c r="D32" s="48"/>
      <c r="E32" s="48">
        <f>144100000+37900000+5500000</f>
        <v>187500000</v>
      </c>
      <c r="F32" s="48">
        <v>289331423</v>
      </c>
      <c r="G32" s="49">
        <f t="shared" si="5"/>
        <v>476861423</v>
      </c>
      <c r="H32" s="50"/>
      <c r="I32" s="60">
        <f>11212000+13374+55000+620000-620000</f>
        <v>11280374</v>
      </c>
      <c r="J32" s="48"/>
      <c r="K32" s="54">
        <v>1287732953</v>
      </c>
      <c r="L32" s="48">
        <v>103161000</v>
      </c>
      <c r="M32" s="54">
        <f>94769820+3000000</f>
        <v>97769820</v>
      </c>
      <c r="N32" s="52">
        <f t="shared" si="2"/>
        <v>1499944147</v>
      </c>
    </row>
    <row r="33" spans="1:14" x14ac:dyDescent="0.2">
      <c r="A33" s="46" t="s">
        <v>47</v>
      </c>
      <c r="B33" s="61"/>
      <c r="C33" s="59"/>
      <c r="D33" s="59"/>
      <c r="E33" s="59"/>
      <c r="F33" s="59"/>
      <c r="G33" s="52">
        <f t="shared" si="5"/>
        <v>0</v>
      </c>
      <c r="H33" s="62"/>
      <c r="I33" s="51"/>
      <c r="J33" s="48"/>
      <c r="K33" s="48"/>
      <c r="L33" s="48"/>
      <c r="M33" s="48"/>
      <c r="N33" s="52">
        <f t="shared" si="2"/>
        <v>0</v>
      </c>
    </row>
    <row r="34" spans="1:14" x14ac:dyDescent="0.2">
      <c r="A34" s="46" t="s">
        <v>48</v>
      </c>
      <c r="B34" s="47"/>
      <c r="C34" s="48"/>
      <c r="D34" s="48"/>
      <c r="E34" s="48"/>
      <c r="F34" s="48"/>
      <c r="G34" s="52">
        <f t="shared" si="5"/>
        <v>0</v>
      </c>
      <c r="H34" s="62"/>
      <c r="I34" s="51">
        <v>590000</v>
      </c>
      <c r="J34" s="48"/>
      <c r="K34" s="48"/>
      <c r="L34" s="48"/>
      <c r="M34" s="48"/>
      <c r="N34" s="52">
        <f t="shared" si="2"/>
        <v>590000</v>
      </c>
    </row>
    <row r="35" spans="1:14" x14ac:dyDescent="0.2">
      <c r="A35" s="70" t="s">
        <v>49</v>
      </c>
      <c r="B35" s="80"/>
      <c r="C35" s="72">
        <v>75588869</v>
      </c>
      <c r="D35" s="72"/>
      <c r="E35" s="72"/>
      <c r="F35" s="72"/>
      <c r="G35" s="52">
        <f t="shared" si="5"/>
        <v>75588869</v>
      </c>
      <c r="H35" s="62"/>
      <c r="I35" s="81">
        <f>3351000+3939600+1577323+312310</f>
        <v>9180233</v>
      </c>
      <c r="J35" s="76">
        <f>56542894+15266582-1487900-401733+2330274+629174</f>
        <v>72879291</v>
      </c>
      <c r="K35" s="72"/>
      <c r="L35" s="72"/>
      <c r="M35" s="72"/>
      <c r="N35" s="52">
        <f t="shared" si="2"/>
        <v>82059524</v>
      </c>
    </row>
    <row r="36" spans="1:14" x14ac:dyDescent="0.2">
      <c r="A36" s="70" t="s">
        <v>50</v>
      </c>
      <c r="B36" s="80"/>
      <c r="C36" s="72"/>
      <c r="D36" s="72"/>
      <c r="E36" s="72"/>
      <c r="F36" s="72"/>
      <c r="G36" s="52">
        <f t="shared" si="5"/>
        <v>0</v>
      </c>
      <c r="H36" s="62"/>
      <c r="I36" s="81"/>
      <c r="J36" s="72"/>
      <c r="K36" s="72"/>
      <c r="L36" s="72"/>
      <c r="M36" s="72"/>
      <c r="N36" s="52">
        <f t="shared" si="2"/>
        <v>0</v>
      </c>
    </row>
    <row r="37" spans="1:14" x14ac:dyDescent="0.2">
      <c r="A37" s="70" t="s">
        <v>51</v>
      </c>
      <c r="B37" s="80"/>
      <c r="C37" s="72"/>
      <c r="D37" s="72"/>
      <c r="E37" s="72"/>
      <c r="F37" s="72"/>
      <c r="G37" s="52">
        <f t="shared" si="5"/>
        <v>0</v>
      </c>
      <c r="H37" s="62"/>
      <c r="I37" s="81">
        <f>7083000+24000+4600+6200+113984+481496+143504+124996+85225</f>
        <v>8067005</v>
      </c>
      <c r="J37" s="72">
        <v>301000</v>
      </c>
      <c r="K37" s="72"/>
      <c r="L37" s="72"/>
      <c r="M37" s="72"/>
      <c r="N37" s="52">
        <f t="shared" si="2"/>
        <v>8368005</v>
      </c>
    </row>
    <row r="38" spans="1:14" x14ac:dyDescent="0.2">
      <c r="A38" s="70" t="s">
        <v>52</v>
      </c>
      <c r="B38" s="80">
        <v>947000</v>
      </c>
      <c r="C38" s="72"/>
      <c r="D38" s="72"/>
      <c r="E38" s="72"/>
      <c r="F38" s="72"/>
      <c r="G38" s="52">
        <f t="shared" si="5"/>
        <v>947000</v>
      </c>
      <c r="H38" s="62"/>
      <c r="I38" s="81">
        <v>16980000</v>
      </c>
      <c r="J38" s="72"/>
      <c r="K38" s="72"/>
      <c r="L38" s="72"/>
      <c r="M38" s="72"/>
      <c r="N38" s="52">
        <f t="shared" si="2"/>
        <v>16980000</v>
      </c>
    </row>
    <row r="39" spans="1:14" x14ac:dyDescent="0.2">
      <c r="A39" s="70" t="s">
        <v>53</v>
      </c>
      <c r="B39" s="80">
        <v>704000</v>
      </c>
      <c r="C39" s="72"/>
      <c r="D39" s="72"/>
      <c r="E39" s="72"/>
      <c r="F39" s="72"/>
      <c r="G39" s="52">
        <f t="shared" si="5"/>
        <v>704000</v>
      </c>
      <c r="H39" s="62"/>
      <c r="I39" s="82">
        <f>70980000-780000-6906260+785000-5080000-4000000</f>
        <v>54998740</v>
      </c>
      <c r="J39" s="72"/>
      <c r="K39" s="72"/>
      <c r="L39" s="72"/>
      <c r="M39" s="72"/>
      <c r="N39" s="52">
        <f t="shared" si="2"/>
        <v>54998740</v>
      </c>
    </row>
    <row r="40" spans="1:14" x14ac:dyDescent="0.2">
      <c r="A40" s="70" t="s">
        <v>54</v>
      </c>
      <c r="B40" s="80"/>
      <c r="C40" s="72"/>
      <c r="D40" s="72"/>
      <c r="E40" s="72"/>
      <c r="F40" s="72"/>
      <c r="G40" s="52">
        <f t="shared" si="5"/>
        <v>0</v>
      </c>
      <c r="H40" s="62"/>
      <c r="I40" s="81">
        <v>0</v>
      </c>
      <c r="J40" s="72"/>
      <c r="K40" s="72"/>
      <c r="L40" s="72"/>
      <c r="M40" s="72"/>
      <c r="N40" s="52">
        <f t="shared" si="2"/>
        <v>0</v>
      </c>
    </row>
    <row r="41" spans="1:14" x14ac:dyDescent="0.2">
      <c r="A41" s="70" t="s">
        <v>55</v>
      </c>
      <c r="B41" s="80"/>
      <c r="C41" s="72"/>
      <c r="D41" s="72"/>
      <c r="E41" s="72"/>
      <c r="F41" s="72"/>
      <c r="G41" s="52">
        <f t="shared" si="5"/>
        <v>0</v>
      </c>
      <c r="H41" s="62"/>
      <c r="I41" s="81">
        <v>1600000</v>
      </c>
      <c r="J41" s="72"/>
      <c r="K41" s="72"/>
      <c r="L41" s="72"/>
      <c r="M41" s="72"/>
      <c r="N41" s="52">
        <f t="shared" si="2"/>
        <v>1600000</v>
      </c>
    </row>
    <row r="42" spans="1:14" x14ac:dyDescent="0.2">
      <c r="A42" s="70" t="s">
        <v>56</v>
      </c>
      <c r="B42" s="80">
        <v>6350000</v>
      </c>
      <c r="C42" s="72"/>
      <c r="D42" s="72"/>
      <c r="E42" s="72"/>
      <c r="F42" s="72"/>
      <c r="G42" s="52">
        <f t="shared" si="5"/>
        <v>6350000</v>
      </c>
      <c r="H42" s="62"/>
      <c r="I42" s="81">
        <f>1350000+250000</f>
        <v>1600000</v>
      </c>
      <c r="J42" s="72"/>
      <c r="K42" s="72"/>
      <c r="L42" s="72"/>
      <c r="M42" s="72"/>
      <c r="N42" s="52">
        <f t="shared" si="2"/>
        <v>1600000</v>
      </c>
    </row>
    <row r="43" spans="1:14" x14ac:dyDescent="0.2">
      <c r="A43" s="46" t="s">
        <v>57</v>
      </c>
      <c r="B43" s="83">
        <f>1566000+1020434</f>
        <v>2586434</v>
      </c>
      <c r="C43" s="72"/>
      <c r="D43" s="72"/>
      <c r="E43" s="72"/>
      <c r="F43" s="72"/>
      <c r="G43" s="52">
        <f t="shared" si="5"/>
        <v>2586434</v>
      </c>
      <c r="H43" s="62"/>
      <c r="I43" s="81">
        <f>20327000+2000000+4000000+2975000+80000</f>
        <v>29382000</v>
      </c>
      <c r="J43" s="76">
        <f>42072000+1000000</f>
        <v>43072000</v>
      </c>
      <c r="K43" s="84"/>
      <c r="L43" s="72"/>
      <c r="M43" s="72"/>
      <c r="N43" s="52">
        <f t="shared" si="2"/>
        <v>72454000</v>
      </c>
    </row>
    <row r="44" spans="1:14" x14ac:dyDescent="0.2">
      <c r="A44" s="85" t="s">
        <v>58</v>
      </c>
      <c r="B44" s="86"/>
      <c r="C44" s="72">
        <f>3797300+214128350+199720812</f>
        <v>417646462</v>
      </c>
      <c r="D44" s="72"/>
      <c r="E44" s="72"/>
      <c r="F44" s="72"/>
      <c r="G44" s="52">
        <f t="shared" si="5"/>
        <v>417646462</v>
      </c>
      <c r="H44" s="62"/>
      <c r="I44" s="81">
        <f>3666988-2092900-774087-629922-170079+2921000+578359</f>
        <v>3499359</v>
      </c>
      <c r="J44" s="72">
        <f>92095700+168605000+45523350+2092900+774087+629922+170079+14095000+3805650+2988224+806820+5929+149157230+40272452+3375000+911250+138750-160035-43209+185830-185830-2921000</f>
        <v>522323099</v>
      </c>
      <c r="K44" s="84"/>
      <c r="L44" s="72"/>
      <c r="M44" s="72"/>
      <c r="N44" s="52">
        <f t="shared" si="2"/>
        <v>525822458</v>
      </c>
    </row>
    <row r="45" spans="1:14" x14ac:dyDescent="0.2">
      <c r="A45" s="46" t="s">
        <v>59</v>
      </c>
      <c r="B45" s="86">
        <f>16176000+682000+555000+150000+206000+56000+1924793+7128864+1924793</f>
        <v>28803450</v>
      </c>
      <c r="C45" s="72">
        <f>31032000+22270000</f>
        <v>53302000</v>
      </c>
      <c r="D45" s="72"/>
      <c r="E45" s="72"/>
      <c r="F45" s="72"/>
      <c r="G45" s="52">
        <f t="shared" si="5"/>
        <v>82105450</v>
      </c>
      <c r="H45" s="62"/>
      <c r="I45" s="81">
        <f>17736000+8485000+411000+270000-6684000-1804680+682000+24000+198000+123000+20000+92000+62000-62000+326000+1784000+481680-320000-120000-118800+1924793</f>
        <v>23509993</v>
      </c>
      <c r="J45" s="72">
        <f>5906000+771000+208170+5913000+1596510+4452920+1113432-1013000-273510-771000-208170-125000-33750+915000+247050-350000-94500+7128864+1924793+157480+42520+123498-123498+63000+17010</f>
        <v>27587819</v>
      </c>
      <c r="K45" s="72"/>
      <c r="L45" s="72"/>
      <c r="M45" s="72"/>
      <c r="N45" s="52">
        <f t="shared" si="2"/>
        <v>51097812</v>
      </c>
    </row>
    <row r="46" spans="1:14" x14ac:dyDescent="0.2">
      <c r="A46" s="46" t="s">
        <v>60</v>
      </c>
      <c r="B46" s="80"/>
      <c r="C46" s="72"/>
      <c r="D46" s="72"/>
      <c r="E46" s="72"/>
      <c r="F46" s="72"/>
      <c r="G46" s="52">
        <f t="shared" si="5"/>
        <v>0</v>
      </c>
      <c r="H46" s="62"/>
      <c r="I46" s="81"/>
      <c r="J46" s="72"/>
      <c r="K46" s="72"/>
      <c r="L46" s="72"/>
      <c r="M46" s="72"/>
      <c r="N46" s="52">
        <f t="shared" si="2"/>
        <v>0</v>
      </c>
    </row>
    <row r="47" spans="1:14" x14ac:dyDescent="0.2">
      <c r="A47" s="85" t="s">
        <v>61</v>
      </c>
      <c r="B47" s="71">
        <f>69942000+9665887+291175856+94906504+240000+27000-323735435-2941522-516228+18000000+300000+81000</f>
        <v>157145062</v>
      </c>
      <c r="C47" s="72">
        <f>15179276+158027+40410-15179276</f>
        <v>198437</v>
      </c>
      <c r="D47" s="72"/>
      <c r="E47" s="72"/>
      <c r="F47" s="72"/>
      <c r="G47" s="52">
        <f t="shared" si="5"/>
        <v>157343499</v>
      </c>
      <c r="H47" s="62"/>
      <c r="I47" s="75">
        <f>189014000+58000+8708008+957879+232903371+25618911+28972366+7822538+20000+400000+312000+94906504+869950+21074276+5690055+4124820+1113701+140000-1905000+137360-1170915-142327-30660-235888-410000-888000-350460+8195741+2212850+1500000+405000-140000+240000+27000+27000+188976+51024+2045+1500000+405000-279139483-31590193-25690917-234672-7230493+1240000+4000000+1080000+388424-388424-8195741+8195741+300000+81000+140001+6224087+1680503</f>
        <v>303184958</v>
      </c>
      <c r="J47" s="72">
        <f>204000+11952186+3227090+300000+275000+74250+170000+44000-100000-27000+3938000+1063260-4255460-7419036-3219790</f>
        <v>6226500</v>
      </c>
      <c r="K47" s="72"/>
      <c r="L47" s="72"/>
      <c r="M47" s="72"/>
      <c r="N47" s="52">
        <f t="shared" si="2"/>
        <v>309411458</v>
      </c>
    </row>
    <row r="48" spans="1:14" x14ac:dyDescent="0.2">
      <c r="A48" s="46" t="s">
        <v>62</v>
      </c>
      <c r="B48" s="80"/>
      <c r="C48" s="72">
        <v>15956160</v>
      </c>
      <c r="D48" s="72"/>
      <c r="E48" s="72"/>
      <c r="F48" s="72"/>
      <c r="G48" s="52">
        <f t="shared" si="5"/>
        <v>15956160</v>
      </c>
      <c r="H48" s="62"/>
      <c r="I48" s="81"/>
      <c r="J48" s="72">
        <f>12170205+393701+3392254</f>
        <v>15956160</v>
      </c>
      <c r="K48" s="72"/>
      <c r="L48" s="72"/>
      <c r="M48" s="72"/>
      <c r="N48" s="52">
        <f t="shared" si="2"/>
        <v>15956160</v>
      </c>
    </row>
    <row r="49" spans="1:15" x14ac:dyDescent="0.2">
      <c r="A49" s="70" t="s">
        <v>63</v>
      </c>
      <c r="B49" s="80"/>
      <c r="C49" s="72"/>
      <c r="D49" s="72"/>
      <c r="E49" s="72"/>
      <c r="F49" s="72"/>
      <c r="G49" s="74">
        <f t="shared" si="5"/>
        <v>0</v>
      </c>
      <c r="H49" s="62"/>
      <c r="I49" s="75">
        <f>46750042+1126000+304020</f>
        <v>48180062</v>
      </c>
      <c r="J49" s="72"/>
      <c r="K49" s="72"/>
      <c r="L49" s="72"/>
      <c r="M49" s="72"/>
      <c r="N49" s="52">
        <f t="shared" si="2"/>
        <v>48180062</v>
      </c>
    </row>
    <row r="50" spans="1:15" x14ac:dyDescent="0.2">
      <c r="A50" s="70" t="s">
        <v>64</v>
      </c>
      <c r="B50" s="80">
        <v>204000</v>
      </c>
      <c r="C50" s="72"/>
      <c r="D50" s="72"/>
      <c r="E50" s="72"/>
      <c r="F50" s="72"/>
      <c r="G50" s="74">
        <f t="shared" si="5"/>
        <v>204000</v>
      </c>
      <c r="H50" s="62"/>
      <c r="I50" s="75">
        <f>1256800-50000+2+3998-4000+23000-17000-6000+15800+4266+2800+4110</f>
        <v>1233776</v>
      </c>
      <c r="J50" s="72">
        <v>90200</v>
      </c>
      <c r="K50" s="72"/>
      <c r="L50" s="72"/>
      <c r="M50" s="72"/>
      <c r="N50" s="74">
        <f t="shared" si="2"/>
        <v>1323976</v>
      </c>
    </row>
    <row r="51" spans="1:15" ht="13.5" thickBot="1" x14ac:dyDescent="0.25">
      <c r="A51" s="46" t="s">
        <v>65</v>
      </c>
      <c r="B51" s="80"/>
      <c r="C51" s="72"/>
      <c r="D51" s="72"/>
      <c r="E51" s="72"/>
      <c r="F51" s="72"/>
      <c r="G51" s="74">
        <f t="shared" si="5"/>
        <v>0</v>
      </c>
      <c r="H51" s="62"/>
      <c r="I51" s="81">
        <f>1200000+600000</f>
        <v>1800000</v>
      </c>
      <c r="J51" s="72"/>
      <c r="K51" s="72"/>
      <c r="L51" s="72"/>
      <c r="M51" s="72"/>
      <c r="N51" s="74">
        <f t="shared" si="2"/>
        <v>1800000</v>
      </c>
    </row>
    <row r="52" spans="1:15" x14ac:dyDescent="0.2">
      <c r="A52" s="87" t="s">
        <v>66</v>
      </c>
      <c r="B52" s="88">
        <f>SUM(B9:B13,B14:B20,B25:B28,B32:B51,B24)</f>
        <v>1607137466</v>
      </c>
      <c r="C52" s="89">
        <f>SUM(C9:C13,C14:C20,C25:C28,C32:C51,C24)</f>
        <v>580542460</v>
      </c>
      <c r="D52" s="89">
        <f>SUM(D9:D13,D14:D20,D25:D28,D32:D51,D24)</f>
        <v>354390000</v>
      </c>
      <c r="E52" s="89">
        <f>SUM(E9:E13,E14:E20,E25:E28,E32:E51,E24)</f>
        <v>187500000</v>
      </c>
      <c r="F52" s="89">
        <f>SUM(F9:F13,F14:F20,F25:F28,F32:F51,F24)</f>
        <v>289331423</v>
      </c>
      <c r="G52" s="89">
        <f>SUM(G9:G13,G14:G20,G24:G28,G32:G38,G39:G51,)</f>
        <v>3018901349</v>
      </c>
      <c r="H52" s="89" t="e">
        <f>SUM(H9:H13,H15:H20,H25:H28,H32:H38,H39:H51)</f>
        <v>#REF!</v>
      </c>
      <c r="I52" s="89">
        <f t="shared" ref="I52:M52" si="6">SUM(I9:I13,I14:I20,I25:I28,I32:I51,I24)</f>
        <v>795649710</v>
      </c>
      <c r="J52" s="89">
        <f t="shared" si="6"/>
        <v>733022429</v>
      </c>
      <c r="K52" s="89">
        <f t="shared" si="6"/>
        <v>1287732953</v>
      </c>
      <c r="L52" s="89">
        <f t="shared" si="6"/>
        <v>103161000</v>
      </c>
      <c r="M52" s="89">
        <f t="shared" si="6"/>
        <v>97769820</v>
      </c>
      <c r="N52" s="90">
        <f>SUM(N9:N13,N14:N20,N25:N28,N32:N51,N24,N23)</f>
        <v>3018901349</v>
      </c>
      <c r="O52" s="91">
        <f>N52-G52</f>
        <v>0</v>
      </c>
    </row>
    <row r="53" spans="1:15" x14ac:dyDescent="0.2">
      <c r="A53" s="92" t="s">
        <v>67</v>
      </c>
      <c r="B53" s="93"/>
      <c r="C53" s="94"/>
      <c r="D53" s="94"/>
      <c r="E53" s="94"/>
      <c r="F53" s="94"/>
      <c r="G53" s="49"/>
      <c r="H53" s="53"/>
      <c r="I53" s="95"/>
      <c r="J53" s="48"/>
      <c r="K53" s="96">
        <v>1287732953</v>
      </c>
      <c r="L53" s="94"/>
      <c r="M53" s="94"/>
      <c r="N53" s="97">
        <f>SUM(I53:M53)</f>
        <v>1287732953</v>
      </c>
      <c r="O53" s="91"/>
    </row>
    <row r="54" spans="1:15" ht="13.5" thickBot="1" x14ac:dyDescent="0.25">
      <c r="A54" s="98" t="s">
        <v>68</v>
      </c>
      <c r="B54" s="99">
        <f t="shared" ref="B54:N54" si="7">B52-B53</f>
        <v>1607137466</v>
      </c>
      <c r="C54" s="100">
        <f t="shared" si="7"/>
        <v>580542460</v>
      </c>
      <c r="D54" s="100">
        <f t="shared" si="7"/>
        <v>354390000</v>
      </c>
      <c r="E54" s="100">
        <f t="shared" si="7"/>
        <v>187500000</v>
      </c>
      <c r="F54" s="100">
        <f t="shared" si="7"/>
        <v>289331423</v>
      </c>
      <c r="G54" s="100">
        <f t="shared" si="7"/>
        <v>3018901349</v>
      </c>
      <c r="H54" s="101" t="e">
        <f t="shared" si="7"/>
        <v>#REF!</v>
      </c>
      <c r="I54" s="99">
        <f t="shared" si="7"/>
        <v>795649710</v>
      </c>
      <c r="J54" s="100">
        <f t="shared" si="7"/>
        <v>733022429</v>
      </c>
      <c r="K54" s="100">
        <f t="shared" si="7"/>
        <v>0</v>
      </c>
      <c r="L54" s="100">
        <f t="shared" si="7"/>
        <v>103161000</v>
      </c>
      <c r="M54" s="100">
        <f t="shared" si="7"/>
        <v>97769820</v>
      </c>
      <c r="N54" s="102">
        <f t="shared" si="7"/>
        <v>1731168396</v>
      </c>
      <c r="O54" s="91"/>
    </row>
    <row r="55" spans="1:15" x14ac:dyDescent="0.2">
      <c r="A55" s="103"/>
      <c r="B55" s="104"/>
      <c r="C55" s="104"/>
      <c r="D55" s="104"/>
      <c r="E55" s="104"/>
      <c r="F55" s="104"/>
      <c r="G55" s="105"/>
      <c r="H55" s="105"/>
      <c r="I55" s="106"/>
      <c r="J55" s="104"/>
      <c r="K55" s="107"/>
      <c r="L55" s="106"/>
      <c r="M55" s="106"/>
      <c r="N55" s="108"/>
    </row>
    <row r="56" spans="1:15" x14ac:dyDescent="0.2">
      <c r="A56" s="103"/>
      <c r="B56" s="104"/>
      <c r="C56" s="104"/>
      <c r="D56" s="104"/>
      <c r="E56" s="104"/>
      <c r="F56" s="104"/>
      <c r="G56" s="105"/>
      <c r="H56" s="105"/>
      <c r="I56" s="104"/>
      <c r="J56" s="104"/>
      <c r="K56" s="107"/>
      <c r="L56" s="106"/>
      <c r="M56" s="106"/>
      <c r="N56" s="108"/>
    </row>
    <row r="57" spans="1:15" x14ac:dyDescent="0.2">
      <c r="A57" s="103"/>
      <c r="B57" s="104"/>
      <c r="C57" s="104"/>
      <c r="D57" s="104"/>
      <c r="E57" s="104"/>
      <c r="F57" s="104"/>
      <c r="G57" s="105"/>
      <c r="H57" s="105"/>
      <c r="I57" s="109"/>
      <c r="J57" s="104"/>
      <c r="K57" s="108"/>
      <c r="L57" s="104"/>
      <c r="M57" s="104"/>
      <c r="N57" s="108"/>
    </row>
    <row r="58" spans="1:15" x14ac:dyDescent="0.2">
      <c r="A58" s="103"/>
      <c r="B58" s="104"/>
      <c r="C58" s="104"/>
      <c r="D58" s="104"/>
      <c r="E58" s="104"/>
      <c r="F58" s="104"/>
      <c r="G58" s="105"/>
      <c r="H58" s="105"/>
      <c r="I58" s="104"/>
      <c r="J58" s="104"/>
      <c r="K58" s="108"/>
      <c r="L58" s="104"/>
      <c r="M58" s="104"/>
      <c r="N58" s="108"/>
    </row>
    <row r="59" spans="1:15" x14ac:dyDescent="0.2">
      <c r="A59" s="103"/>
      <c r="B59" s="104"/>
      <c r="C59" s="104"/>
      <c r="D59" s="104"/>
      <c r="E59" s="104"/>
      <c r="F59" s="104"/>
      <c r="G59" s="105"/>
      <c r="H59" s="105"/>
      <c r="I59" s="104"/>
      <c r="J59" s="104"/>
      <c r="K59" s="108"/>
      <c r="L59" s="104"/>
      <c r="M59" s="104"/>
      <c r="N59" s="108"/>
    </row>
    <row r="60" spans="1:15" x14ac:dyDescent="0.2">
      <c r="A60" s="103"/>
      <c r="B60" s="104"/>
      <c r="C60" s="104"/>
      <c r="D60" s="104"/>
      <c r="E60" s="104"/>
      <c r="F60" s="104"/>
      <c r="G60" s="105"/>
      <c r="H60" s="105"/>
      <c r="I60" s="104"/>
      <c r="J60" s="104"/>
      <c r="K60" s="108"/>
      <c r="L60" s="104"/>
      <c r="M60" s="104"/>
      <c r="N60" s="108"/>
    </row>
    <row r="61" spans="1:15" x14ac:dyDescent="0.2">
      <c r="A61" s="103"/>
      <c r="B61" s="104"/>
      <c r="C61" s="104"/>
      <c r="D61" s="104"/>
      <c r="E61" s="104"/>
      <c r="F61" s="104"/>
      <c r="G61" s="105"/>
      <c r="H61" s="105"/>
      <c r="I61" s="104"/>
      <c r="J61" s="104"/>
      <c r="K61" s="108"/>
      <c r="L61" s="104"/>
      <c r="M61" s="104"/>
      <c r="N61" s="108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6" orientation="landscape" r:id="rId1"/>
  <headerFooter alignWithMargins="0">
    <oddHeader>&amp;R33. melléklet a 30/2017.(XI.30.)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2017-12-04T10:58:18Z</dcterms:created>
  <dcterms:modified xsi:type="dcterms:W3CDTF">2017-12-04T10:58:18Z</dcterms:modified>
</cp:coreProperties>
</file>