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390" windowWidth="10725" windowHeight="8400" tabRatio="904" activeTab="0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 melléklet " sheetId="6" r:id="rId6"/>
    <sheet name="6. melléklet" sheetId="7" r:id="rId7"/>
  </sheets>
  <definedNames>
    <definedName name="_xlnm.Print_Titles" localSheetId="2">'2. melléklet'!$1:$4</definedName>
    <definedName name="_xlnm.Print_Titles" localSheetId="3">'3. melléklet '!$A:$A</definedName>
    <definedName name="_xlnm.Print_Area" localSheetId="1">'1. melléklet'!$A$1:$E$49</definedName>
    <definedName name="_xlnm.Print_Area" localSheetId="3">'3. melléklet '!$A$1:$AM$54</definedName>
    <definedName name="_xlnm.Print_Area" localSheetId="5">'5. melléklet '!$A$1:$F$101</definedName>
    <definedName name="_xlnm.Print_Area" localSheetId="6">'6. melléklet'!$A$1:$E$111</definedName>
  </definedNames>
  <calcPr calcMode="manual" fullCalcOnLoad="1"/>
</workbook>
</file>

<file path=xl/sharedStrings.xml><?xml version="1.0" encoding="utf-8"?>
<sst xmlns="http://schemas.openxmlformats.org/spreadsheetml/2006/main" count="621" uniqueCount="298">
  <si>
    <t>Jogcím</t>
  </si>
  <si>
    <t>I.</t>
  </si>
  <si>
    <t>II.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</si>
  <si>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</si>
  <si>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</si>
  <si>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</si>
  <si>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</si>
  <si>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</si>
  <si>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</si>
  <si>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</si>
  <si>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</si>
  <si>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</si>
  <si>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</si>
  <si>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</si>
  <si>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</si>
  <si>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</si>
  <si>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</si>
  <si>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</si>
  <si>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</si>
  <si>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</si>
  <si>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</si>
  <si>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</si>
  <si>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</si>
  <si>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</si>
  <si>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</si>
  <si>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</si>
  <si>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</si>
  <si>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</si>
  <si>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</si>
  <si>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</si>
  <si>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</si>
  <si>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</si>
  <si>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</si>
  <si>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</si>
  <si>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</si>
  <si>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</si>
  <si>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</si>
  <si>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</si>
  <si>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</si>
  <si>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</si>
  <si>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</si>
  <si>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</si>
  <si>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</si>
  <si>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</si>
  <si>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</si>
  <si>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</si>
  <si>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</si>
  <si>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</si>
  <si>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</si>
  <si>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</si>
  <si>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</si>
  <si>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9.</t>
  </si>
  <si>
    <t>10.</t>
  </si>
  <si>
    <t>Városrehabilitációs kölcsön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</si>
  <si>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</si>
  <si>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</si>
  <si>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</si>
  <si>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</si>
  <si>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</si>
  <si>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</si>
  <si>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</si>
  <si>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</si>
  <si>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</si>
  <si>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</si>
  <si>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</si>
  <si>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</si>
  <si>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</si>
  <si>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</si>
  <si>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</si>
  <si>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</si>
  <si>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</si>
  <si>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</si>
  <si>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Vagyonhasznosító bevétele</t>
  </si>
  <si>
    <t>Központi Óvoda fejlesztési hozzájárulás</t>
  </si>
  <si>
    <t>Vasivíz Zrt-től átvett vagyon értékeltetése</t>
  </si>
  <si>
    <t>Kőszegfalvi lakóparkhoz vezető út kisajátítása</t>
  </si>
  <si>
    <t>Vonal alatti tételek (nem kerültek beépítésre)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</si>
  <si>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</si>
  <si>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</si>
  <si>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</si>
  <si>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</si>
  <si>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</si>
  <si>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</si>
  <si>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</si>
  <si>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</si>
  <si>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</si>
  <si>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</si>
  <si>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</si>
  <si>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</si>
  <si>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</si>
  <si>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</si>
  <si>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</si>
  <si>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</si>
  <si>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</si>
  <si>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</si>
  <si>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</si>
  <si>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</si>
  <si>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</si>
  <si>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</si>
  <si>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</si>
  <si>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</si>
  <si>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</si>
  <si>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</si>
  <si>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</si>
  <si>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</si>
  <si>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</si>
  <si>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</si>
  <si>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</si>
  <si>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</si>
  <si>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</si>
  <si>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</si>
  <si>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</si>
  <si>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</si>
  <si>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</si>
  <si>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</si>
  <si>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</si>
  <si>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</si>
  <si>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</si>
  <si>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</si>
  <si>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</si>
  <si>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</si>
  <si>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</si>
  <si>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</si>
  <si>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</si>
  <si>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</si>
  <si>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</si>
  <si>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</si>
  <si>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</si>
  <si>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</si>
  <si>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</si>
  <si>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</si>
  <si>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</si>
  <si>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</si>
  <si>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</si>
  <si>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KIMUTATÁS</t>
  </si>
  <si>
    <t xml:space="preserve">I.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</si>
  <si>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</si>
  <si>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</si>
  <si>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</si>
  <si>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</si>
  <si>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</si>
  <si>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</si>
  <si>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</si>
  <si>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 xml:space="preserve"> 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</si>
  <si>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</si>
  <si>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</si>
  <si>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</si>
  <si>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</si>
  <si>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</si>
  <si>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>Rendezési terv módosításának tervezése</t>
  </si>
  <si>
    <t>Posztó utcai parkoló kialakítása</t>
  </si>
  <si>
    <t>Központi irányítószervi támogatás</t>
  </si>
  <si>
    <t xml:space="preserve">Kőszeg Város Önkormányzata és intézményei 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</si>
  <si>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</si>
  <si>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</si>
  <si>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</si>
  <si>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</si>
  <si>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</si>
  <si>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>Hirdetőtábla kiépítése (testületi döntés alapján)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</si>
  <si>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</si>
  <si>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</si>
  <si>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</si>
  <si>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13.</t>
  </si>
  <si>
    <t>feladatjelleg szerint: - kötelező feladatok</t>
  </si>
  <si>
    <t>LÉTSZÁM (engedélyezett létszámkeret közfogalkoztatottak nélkül)</t>
  </si>
  <si>
    <t>KÖZFOGLALKOZTATOTTAK létszáma</t>
  </si>
  <si>
    <t>feladatjelleg szerint: - önként vállalt feladatok</t>
  </si>
  <si>
    <t>feladatjelleg szerint: - államigazgatási feladatok</t>
  </si>
  <si>
    <t>7. Kiegészító támogatás a bölcsődében folgalkoztatott, felsőfokú végzettségű kisgyermeknevelők béréhez</t>
  </si>
  <si>
    <t>Kőszegi Szociális Gondozási Központ</t>
  </si>
  <si>
    <t>2017. években</t>
  </si>
  <si>
    <t>2017. évi eredeti előirányzat</t>
  </si>
  <si>
    <t>Támogatás összege 2017. 01. 01.             ( Ft)</t>
  </si>
  <si>
    <t>4.  Pedagógus II. kategóriába sorolt óvodapedagógusok kiegészítő támogatása</t>
  </si>
  <si>
    <t>Kőszeg Város Önkormányzata és intézményei bevételei és kiadásai 2017. évben</t>
  </si>
  <si>
    <t xml:space="preserve">          2017. évi felhalmozási célú bevételek </t>
  </si>
  <si>
    <t>2017. évi felhalmozási  kiadások (E Ft)</t>
  </si>
  <si>
    <t>Az európai uniós támogatással megvalósuló programok, projektek bevételeiről és kiadásairól, valamint az önkormányzaton kívüli ilyen projektekhez való hozzájárulásról 2017. évben</t>
  </si>
  <si>
    <t>Kőszeg Város Önkormányzata 2017. évi költségvetésében európai uniós forrásból megvalósítandó projektek, fejlesztések:</t>
  </si>
  <si>
    <t>2017.</t>
  </si>
  <si>
    <t xml:space="preserve">A helyi önkormányzatok általános müködésének és ágazati feladatainak támogatása (2016. évi XC. törvény 2. melléklete szerint)  </t>
  </si>
  <si>
    <t xml:space="preserve">Eszterházy oltár restraurálására megítélt  támogatás </t>
  </si>
  <si>
    <t>Eszterházy oltár restraurálására kapott támogatás maradványa</t>
  </si>
  <si>
    <t>Kőszegi tűzoltóság áthelyezése (állami támogatásból)</t>
  </si>
  <si>
    <t xml:space="preserve">Rohonci úton járda építés az Dr. Ambró Gy. utcáig </t>
  </si>
  <si>
    <t>Kőszegfalvi temetőben illemhely kialakítása (ÁNTSZ kötelezése alapján)</t>
  </si>
  <si>
    <t>Cherenel u. 12. csapadékvíz elvezetés</t>
  </si>
  <si>
    <t>15.</t>
  </si>
  <si>
    <t>16.</t>
  </si>
  <si>
    <t>Jurisics-vár Művelődési Központ és Várszínház érdekeltségnövelő pályázat saját erő</t>
  </si>
  <si>
    <t>Kőszegi Közös Önkormányzati Hivatal kisértékű tárgyi eszköz beszerzés</t>
  </si>
  <si>
    <t xml:space="preserve">Eitner zsilip felújítása </t>
  </si>
  <si>
    <t>Eszterházy oltár restraurálása</t>
  </si>
  <si>
    <t>Munkás u. betonjárda építés</t>
  </si>
  <si>
    <t>Strandsétány u. betonjárda építése</t>
  </si>
  <si>
    <t>Szökőkutak elbontás Főtéren (3 db)</t>
  </si>
  <si>
    <t>Rákóczi u. 70. sz. előtti buszmegálló útpálya és csapdékelvezető rendszer korrekciója</t>
  </si>
  <si>
    <t>Chernel u. 6. sz. alatti 2 vendégszoba felújítása</t>
  </si>
  <si>
    <t>Űrhajósok u. útpálya rekonstrukció és járda megépítése (kisebb műszaki tartalommal)</t>
  </si>
  <si>
    <t>Városüzemeltető Kft részére 1 db 100-140 LE-s univerzális seprőgép</t>
  </si>
  <si>
    <t>Városüzemeltető Kft részére 1 db  nagyteljesítményű fűnyíró traktor</t>
  </si>
  <si>
    <t>17.</t>
  </si>
  <si>
    <t>Munkácsy u. 17. felújítása Városüzemeltetési Kft. átköltöztetése miatt</t>
  </si>
  <si>
    <t>Alpannónia pályázat támogatása (fejlesztési rész)</t>
  </si>
  <si>
    <t>TOP 5.2.1. Foglalkoztatási paktum pályázat támogatása (fejlesztési rész)</t>
  </si>
  <si>
    <t>Alpannónia pályázat keretén belül- Koronaőrző emlékhely fejlesztése</t>
  </si>
  <si>
    <t>Alpannónia pályázat keretén belül- Szulejmán-kilátó környékének (Királyvölgy) és az óriás gesztenyefa bemutatóhely fejlesztése</t>
  </si>
  <si>
    <t>Alpannónia pályázat keretén belül- Fejlesztés a Csónakázó-tónál: aqua-alpannonia® bemutatóhely és szabadtéri sportcentrum kialakítása</t>
  </si>
  <si>
    <t>Alpannónia pályázat keretén belül-  Trianoni-kereszt emlékhely fejlesztése és az egykori Vörös-kőfejtő bemutatása</t>
  </si>
  <si>
    <t>Alpannónia pályázat keretén belül-   Ördögárok - geológiai tanösvény kialakítása</t>
  </si>
  <si>
    <t>18.</t>
  </si>
  <si>
    <t>20.</t>
  </si>
  <si>
    <t>Új köztemető kialakításához terület vásárlás</t>
  </si>
  <si>
    <t>KFC fejlesztéseihez hozzájárulás</t>
  </si>
  <si>
    <t>TOP 5.2.1. Foglalkoztatási paktum pályázat keretében beszerzendő eszközök</t>
  </si>
  <si>
    <t>12.</t>
  </si>
  <si>
    <t>19.</t>
  </si>
  <si>
    <t>Bérlakás értékesítési bevétele</t>
  </si>
  <si>
    <t>Alpannónai pályázat</t>
  </si>
  <si>
    <t>TOP-5.2..1 Helyi foglalkoztatási együttműködés pályázat (Foglalkoztatási paktum)</t>
  </si>
  <si>
    <t xml:space="preserve">Egyéb kiadás/ tartalék </t>
  </si>
  <si>
    <t>Kőszeg Város Önkormányzatának központilag szabályozott bevételei 2017. évben</t>
  </si>
  <si>
    <t>Rohonci u. 42-44.  szám alatti játszótéren játékok pótlása</t>
  </si>
  <si>
    <t>Munkácsy u. 17. szám alatti vendéglakás kialakítása</t>
  </si>
  <si>
    <t>TOP projektek előkészítési költségei (ÖBB vasútpálya megvásárlásával együtt)</t>
  </si>
  <si>
    <t>2017. 06.30. módosított előirányzat</t>
  </si>
  <si>
    <t>Változás</t>
  </si>
  <si>
    <t>Támogatás összege 2017. 06. 30.             ( Ft)</t>
  </si>
  <si>
    <t xml:space="preserve">Változsás </t>
  </si>
  <si>
    <t>eredeti előirányzat</t>
  </si>
  <si>
    <t>módosított ei. 2017.06.30.</t>
  </si>
  <si>
    <t>változás</t>
  </si>
  <si>
    <t>5. A 2016. évről áthúzódó bérkompenzáció támogatása</t>
  </si>
  <si>
    <t>Bölcsődei pótlék</t>
  </si>
  <si>
    <t>1.Szociális ágazati összevont pótlék</t>
  </si>
  <si>
    <t>1. i) A települési önkormányzatok könyvtári célú érdekeltségnövelő támogatása</t>
  </si>
  <si>
    <t>Kulturális pótlék</t>
  </si>
  <si>
    <t>2017. évi bérkompenzáció</t>
  </si>
  <si>
    <t>Szociális ágazat minimálbér emelés fedezete</t>
  </si>
  <si>
    <t xml:space="preserve">Rendkívüli önkormányzati támogatás </t>
  </si>
  <si>
    <t>Polgármester béremelésének támogatása</t>
  </si>
  <si>
    <t>Működési célú  önkormányzati támogatások összesen (2016. évi XC. törvény 2. és 3. melléklete szerint):</t>
  </si>
  <si>
    <t xml:space="preserve">A helyi önkormányzatok kiegészítő támogatásai  (2016. évi XC. törvény 3. melléklete szerint)  </t>
  </si>
  <si>
    <t xml:space="preserve">I.) Felhalmozási célú támogatások </t>
  </si>
  <si>
    <t>I.) Működési célú  támogatások</t>
  </si>
  <si>
    <t>1818/2016. (XII.22.) Korm. hat. kapott támogatása (tűzoltóság áthelyezésére)</t>
  </si>
  <si>
    <t>Felhalmozási célú  önkormányzati támogatások összesen (2016. évi XC. törvény 2. és 3. melléklete szerint):</t>
  </si>
  <si>
    <t>1115/2017. (III. 7.) Korm. hat. kapott támogatása (Sraffitosház felújítására)</t>
  </si>
  <si>
    <t>TOP-2.1.3-15-VS1-2016-00019 Kőszeg város csapadékvíz-elvezetési rendszerének fejlesztése projekt támogatása</t>
  </si>
  <si>
    <t>TOP-1.4.1-15-VS1-2016-00021 Gyermekellátási szolgáltatások fejlesztésének megvalósítása Kőszegen – Központi és Felsővárosi óvoda projekt támogatása</t>
  </si>
  <si>
    <t>TOP-1.4.1-15-VS1-2016-00023 Gyermekellátási szolgáltatások fejlesztésének megvalósítása Kőszegen – Újvárosi és Kőszegfalvi Óvoda projekt támogatása</t>
  </si>
  <si>
    <t>TOP-2.1.2-15-VS1-2016-00006 Kőszegi Városmajor környezettudatos rehabilitációja projekt támogatása</t>
  </si>
  <si>
    <t xml:space="preserve"> 1115/2017. (III. 7.) Korm. hat. alapjánt kapott támogatása a Sgraffitos ház felújítására </t>
  </si>
  <si>
    <t>1818/2016. (XII.22.) Korm. hat. kapott támogatása a tűzoltóság áthelyezésére</t>
  </si>
  <si>
    <t>KÖFOP-1.2.1-VEKOP-16 Csatlakozási konstrukció az önkormányzati ASP rendszer országos kiterjesztéséhez projekt támogatása</t>
  </si>
  <si>
    <t>21.</t>
  </si>
  <si>
    <t>23.</t>
  </si>
  <si>
    <t>24.</t>
  </si>
  <si>
    <t>Pénzeszközátadás Rohonci u. 42-44.  szám alatti játszótéren játékok pótlása miatt</t>
  </si>
  <si>
    <t xml:space="preserve">Pénzeszközátadás Munkácsy u. 17. szám alatti vendéglakás kialakítása miatt </t>
  </si>
  <si>
    <t xml:space="preserve">Pénzeszközátadás Chernel u. 6.  szám alatti vendégszoba kialakítása miatt </t>
  </si>
  <si>
    <t xml:space="preserve">Pénzeszközátadás fő téri hulladékgyűjtő edények vásárlása miatt </t>
  </si>
  <si>
    <t>KSE Síugró szakosztály fejlesztéseihez hozzájárulás</t>
  </si>
  <si>
    <t>Kőszegfalvi Sport Egyesület fejlesztéseihez hozzájárulás</t>
  </si>
  <si>
    <t xml:space="preserve">Temető utca felújítása (beadott pályázat saját  erő része)  </t>
  </si>
  <si>
    <t>11.</t>
  </si>
  <si>
    <t>Vasi Víz Zrt. használati díjaiból megvalósított víz és szennyvíz hálózat rekonstrukciók</t>
  </si>
  <si>
    <t>25.</t>
  </si>
  <si>
    <t>26.</t>
  </si>
  <si>
    <t>Jurisics-vár Művelődési Központ és Várszínház kisértékű eszköz beszerzés közfoglalkoztatás keretében</t>
  </si>
  <si>
    <t>27.</t>
  </si>
  <si>
    <t>Chernel Kálmán Városi Könyvtár  kisértékű eszközbeszerzések érdekeltségnövelő támogatásból (bútor, nyomtató)</t>
  </si>
  <si>
    <t xml:space="preserve">Chernel Kálmán Városi Könyvtár  kisértékű eszközbeszerzések </t>
  </si>
  <si>
    <t>Kőszegi Városi Múzeum 2016. évi maradványból Raktárépületbe riasztórendszer beszerelése, polcrendszer kialakítása, költöztetés költségei</t>
  </si>
  <si>
    <t>28.</t>
  </si>
  <si>
    <t>Kőszegi Városi Múzeum 2016. évi maradványból Járásszékhely települési önkormányzatok által fenntartott múzeumok szakmai támogatása pályázatból beszerzendő eszközök</t>
  </si>
  <si>
    <t>Kőszegi Városi Múzeum 2016. évi maradványból Kubinyi pályázatból beszerzendő eszközök</t>
  </si>
  <si>
    <t>Kőszegi Városi Múzeum kisértékű tárgyi eszközök vásárlása</t>
  </si>
  <si>
    <t>29.</t>
  </si>
  <si>
    <t>30.</t>
  </si>
  <si>
    <t>31.</t>
  </si>
  <si>
    <t>32.</t>
  </si>
  <si>
    <t>Kőszegi Szociális Gondozási Központ  kisértékű tárgyi eszközök vásárlása</t>
  </si>
  <si>
    <t xml:space="preserve">Európai Unios és kormányzati forrás </t>
  </si>
  <si>
    <t>Egyéb kiadás (személyi juttatások, járulékok, tartalék)</t>
  </si>
  <si>
    <t>"</t>
  </si>
  <si>
    <t xml:space="preserve"> "1. melléklet az 1/2017. (II.15) önkormányzati rendelethez</t>
  </si>
  <si>
    <t xml:space="preserve"> "2. melléklet az 1/2017. (II.15) önkormányzati rendelethez</t>
  </si>
  <si>
    <t xml:space="preserve"> "3. melléklet az 1/2017. (II.15) önkormányzati rendelethez</t>
  </si>
  <si>
    <t xml:space="preserve"> "4. melléklet az 1/2017. (II.15) önkormányzati rendelethez</t>
  </si>
  <si>
    <t xml:space="preserve"> "5. melléklet az 1/2017. (II.15) önkormányzati rendelethez</t>
  </si>
  <si>
    <t xml:space="preserve"> "7. melléklet az 1/2017. (II.15) önkormányzati rendelethez</t>
  </si>
  <si>
    <t xml:space="preserve"> 1. melléklet a 12/2017. (IX. 1.) önkormányzati rendelethez</t>
  </si>
  <si>
    <t>2. melléklet a 12/2017. (IX. 1.) önkormányzati rendelethez</t>
  </si>
  <si>
    <t>3. melléklet a 12/2017. (IX. 1.) önkormányzati rendelethez</t>
  </si>
  <si>
    <t>4. melléklet a 12/2017. (IX. 1.) önkormányzati rendelethez</t>
  </si>
  <si>
    <t>5. melléklet a 12/2017. (IX. 1.) önkormányzati rendelethez</t>
  </si>
  <si>
    <t>6. melléklet a 12/2017. (IX. 1.)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</si>
</sst>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#,##0\ &quot;Ft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20" fillId="7" borderId="1" applyNumberFormat="0" applyAlignment="0" applyProtection="0"/>
    <xf numFmtId="0" fontId="34" fillId="20" borderId="1" applyNumberFormat="0" applyAlignment="0" applyProtection="0"/>
    <xf numFmtId="0" fontId="25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0" fillId="7" borderId="1" applyNumberFormat="0" applyAlignment="0" applyProtection="0"/>
    <xf numFmtId="0" fontId="0" fillId="22" borderId="7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8" applyNumberFormat="0" applyAlignment="0" applyProtection="0"/>
    <xf numFmtId="0" fontId="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2" borderId="7" applyNumberFormat="0" applyFon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vertical="top"/>
    </xf>
    <xf numFmtId="3" fontId="4" fillId="0" borderId="0" xfId="95" applyNumberFormat="1" applyFont="1" applyFill="1" applyAlignment="1">
      <alignment vertical="top"/>
      <protection/>
    </xf>
    <xf numFmtId="0" fontId="4" fillId="0" borderId="0" xfId="95" applyFont="1" applyFill="1" applyAlignment="1">
      <alignment vertical="top"/>
      <protection/>
    </xf>
    <xf numFmtId="0" fontId="3" fillId="0" borderId="0" xfId="98" applyFont="1" applyFill="1" applyBorder="1">
      <alignment/>
      <protection/>
    </xf>
    <xf numFmtId="3" fontId="4" fillId="0" borderId="0" xfId="95" applyNumberFormat="1" applyFont="1" applyFill="1">
      <alignment/>
      <protection/>
    </xf>
    <xf numFmtId="0" fontId="4" fillId="0" borderId="0" xfId="95" applyFont="1" applyFill="1">
      <alignment/>
      <protection/>
    </xf>
    <xf numFmtId="0" fontId="3" fillId="0" borderId="0" xfId="95" applyFont="1" applyFill="1">
      <alignment/>
      <protection/>
    </xf>
    <xf numFmtId="3" fontId="17" fillId="0" borderId="0" xfId="95" applyNumberFormat="1" applyFont="1" applyFill="1" applyAlignment="1">
      <alignment horizontal="center" wrapText="1"/>
      <protection/>
    </xf>
    <xf numFmtId="0" fontId="12" fillId="0" borderId="0" xfId="95" applyFont="1" applyFill="1">
      <alignment/>
      <protection/>
    </xf>
    <xf numFmtId="0" fontId="5" fillId="0" borderId="0" xfId="95" applyFont="1" applyFill="1">
      <alignment/>
      <protection/>
    </xf>
    <xf numFmtId="3" fontId="5" fillId="0" borderId="0" xfId="95" applyNumberFormat="1" applyFont="1" applyFill="1">
      <alignment/>
      <protection/>
    </xf>
    <xf numFmtId="0" fontId="6" fillId="0" borderId="0" xfId="95" applyFont="1" applyFill="1">
      <alignment/>
      <protection/>
    </xf>
    <xf numFmtId="0" fontId="7" fillId="20" borderId="0" xfId="95" applyFont="1" applyFill="1" applyBorder="1" applyAlignment="1">
      <alignment horizontal="left"/>
      <protection/>
    </xf>
    <xf numFmtId="3" fontId="4" fillId="20" borderId="0" xfId="95" applyNumberFormat="1" applyFont="1" applyFill="1" applyBorder="1">
      <alignment/>
      <protection/>
    </xf>
    <xf numFmtId="0" fontId="6" fillId="0" borderId="0" xfId="95" applyFont="1" applyFill="1" applyBorder="1" applyAlignment="1">
      <alignment horizontal="left" wrapText="1" indent="3"/>
      <protection/>
    </xf>
    <xf numFmtId="0" fontId="6" fillId="0" borderId="0" xfId="95" applyFont="1" applyFill="1" applyBorder="1" applyAlignment="1">
      <alignment horizontal="left" indent="3"/>
      <protection/>
    </xf>
    <xf numFmtId="0" fontId="4" fillId="0" borderId="0" xfId="95" applyFont="1" applyFill="1" applyBorder="1" applyAlignment="1">
      <alignment horizontal="left" wrapText="1" indent="3"/>
      <protection/>
    </xf>
    <xf numFmtId="0" fontId="4" fillId="0" borderId="0" xfId="95" applyFont="1" applyFill="1" applyBorder="1" applyAlignment="1">
      <alignment horizontal="left" indent="3"/>
      <protection/>
    </xf>
    <xf numFmtId="0" fontId="5" fillId="20" borderId="0" xfId="95" applyFont="1" applyFill="1" applyBorder="1" applyAlignment="1">
      <alignment wrapText="1"/>
      <protection/>
    </xf>
    <xf numFmtId="3" fontId="4" fillId="20" borderId="0" xfId="95" applyNumberFormat="1" applyFont="1" applyFill="1">
      <alignment/>
      <protection/>
    </xf>
    <xf numFmtId="0" fontId="6" fillId="0" borderId="0" xfId="95" applyFont="1" applyFill="1" applyBorder="1" applyAlignment="1">
      <alignment wrapText="1"/>
      <protection/>
    </xf>
    <xf numFmtId="2" fontId="6" fillId="0" borderId="0" xfId="95" applyNumberFormat="1" applyFont="1" applyFill="1" applyBorder="1" applyAlignment="1">
      <alignment horizontal="left" wrapText="1" indent="3"/>
      <protection/>
    </xf>
    <xf numFmtId="0" fontId="13" fillId="0" borderId="0" xfId="95" applyFont="1" applyFill="1" applyBorder="1" applyAlignment="1">
      <alignment wrapText="1"/>
      <protection/>
    </xf>
    <xf numFmtId="0" fontId="8" fillId="0" borderId="0" xfId="95" applyFont="1" applyFill="1">
      <alignment/>
      <protection/>
    </xf>
    <xf numFmtId="0" fontId="7" fillId="0" borderId="0" xfId="95" applyFont="1" applyFill="1" applyAlignment="1">
      <alignment horizontal="right"/>
      <protection/>
    </xf>
    <xf numFmtId="0" fontId="8" fillId="0" borderId="0" xfId="95" applyFont="1" applyFill="1" applyAlignment="1">
      <alignment horizontal="right"/>
      <protection/>
    </xf>
    <xf numFmtId="0" fontId="13" fillId="0" borderId="0" xfId="95" applyFont="1" applyFill="1">
      <alignment/>
      <protection/>
    </xf>
    <xf numFmtId="0" fontId="35" fillId="0" borderId="0" xfId="95" applyFont="1" applyFill="1">
      <alignment/>
      <protection/>
    </xf>
    <xf numFmtId="0" fontId="5" fillId="0" borderId="0" xfId="95" applyFont="1" applyFill="1" applyAlignment="1">
      <alignment/>
      <protection/>
    </xf>
    <xf numFmtId="0" fontId="13" fillId="23" borderId="0" xfId="95" applyFont="1" applyFill="1" applyBorder="1">
      <alignment/>
      <protection/>
    </xf>
    <xf numFmtId="3" fontId="13" fillId="23" borderId="0" xfId="95" applyNumberFormat="1" applyFont="1" applyFill="1">
      <alignment/>
      <protection/>
    </xf>
    <xf numFmtId="0" fontId="12" fillId="4" borderId="0" xfId="95" applyFont="1" applyFill="1">
      <alignment/>
      <protection/>
    </xf>
    <xf numFmtId="3" fontId="12" fillId="4" borderId="0" xfId="95" applyNumberFormat="1" applyFont="1" applyFill="1">
      <alignment/>
      <protection/>
    </xf>
    <xf numFmtId="0" fontId="16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/>
    </xf>
    <xf numFmtId="0" fontId="5" fillId="0" borderId="0" xfId="95" applyFont="1" applyFill="1" applyBorder="1" applyAlignment="1">
      <alignment horizontal="left" wrapText="1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3" fontId="16" fillId="0" borderId="28" xfId="0" applyNumberFormat="1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0" fontId="15" fillId="0" borderId="29" xfId="0" applyFont="1" applyFill="1" applyBorder="1" applyAlignment="1">
      <alignment/>
    </xf>
    <xf numFmtId="0" fontId="36" fillId="0" borderId="23" xfId="0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0" fontId="36" fillId="0" borderId="30" xfId="0" applyFont="1" applyFill="1" applyBorder="1" applyAlignment="1">
      <alignment/>
    </xf>
    <xf numFmtId="3" fontId="36" fillId="0" borderId="31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0" fontId="36" fillId="0" borderId="23" xfId="0" applyFont="1" applyFill="1" applyBorder="1" applyAlignment="1">
      <alignment horizontal="left" wrapText="1" indent="2"/>
    </xf>
    <xf numFmtId="0" fontId="36" fillId="0" borderId="23" xfId="0" applyFont="1" applyFill="1" applyBorder="1" applyAlignment="1">
      <alignment horizontal="left" indent="2"/>
    </xf>
    <xf numFmtId="0" fontId="3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3" fillId="0" borderId="0" xfId="98" applyFont="1" applyFill="1" applyBorder="1" applyAlignment="1">
      <alignment horizontal="left"/>
      <protection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4" fillId="4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36" fillId="0" borderId="33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36" fillId="0" borderId="35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3" fontId="36" fillId="0" borderId="34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36" fillId="0" borderId="37" xfId="0" applyNumberFormat="1" applyFont="1" applyFill="1" applyBorder="1" applyAlignment="1">
      <alignment/>
    </xf>
    <xf numFmtId="0" fontId="16" fillId="0" borderId="38" xfId="0" applyFont="1" applyFill="1" applyBorder="1" applyAlignment="1">
      <alignment/>
    </xf>
    <xf numFmtId="3" fontId="15" fillId="0" borderId="39" xfId="0" applyNumberFormat="1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Fill="1" applyAlignment="1">
      <alignment/>
    </xf>
    <xf numFmtId="0" fontId="4" fillId="0" borderId="0" xfId="97" applyFont="1" applyFill="1" applyBorder="1" applyAlignment="1">
      <alignment horizontal="left" vertical="top"/>
      <protection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9" borderId="0" xfId="97" applyFont="1" applyFill="1" applyAlignment="1">
      <alignment horizontal="left" vertical="top"/>
      <protection/>
    </xf>
    <xf numFmtId="0" fontId="4" fillId="9" borderId="0" xfId="0" applyFont="1" applyFill="1" applyAlignment="1">
      <alignment vertical="top" wrapText="1"/>
    </xf>
    <xf numFmtId="0" fontId="4" fillId="9" borderId="0" xfId="0" applyFont="1" applyFill="1" applyAlignment="1">
      <alignment vertical="top"/>
    </xf>
    <xf numFmtId="0" fontId="4" fillId="9" borderId="0" xfId="0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right" vertical="top"/>
    </xf>
    <xf numFmtId="0" fontId="4" fillId="9" borderId="0" xfId="97" applyFont="1" applyFill="1" applyBorder="1" applyAlignment="1">
      <alignment vertical="top"/>
      <protection/>
    </xf>
    <xf numFmtId="3" fontId="4" fillId="9" borderId="0" xfId="97" applyNumberFormat="1" applyFont="1" applyFill="1" applyBorder="1" applyAlignment="1">
      <alignment horizontal="right" vertical="top"/>
      <protection/>
    </xf>
    <xf numFmtId="0" fontId="5" fillId="9" borderId="0" xfId="0" applyFont="1" applyFill="1" applyAlignment="1">
      <alignment vertical="top"/>
    </xf>
    <xf numFmtId="3" fontId="5" fillId="9" borderId="0" xfId="0" applyNumberFormat="1" applyFont="1" applyFill="1" applyAlignment="1">
      <alignment vertical="top"/>
    </xf>
    <xf numFmtId="0" fontId="4" fillId="9" borderId="0" xfId="0" applyFont="1" applyFill="1" applyBorder="1" applyAlignment="1">
      <alignment vertical="top" wrapText="1"/>
    </xf>
    <xf numFmtId="4" fontId="15" fillId="0" borderId="41" xfId="0" applyNumberFormat="1" applyFont="1" applyFill="1" applyBorder="1" applyAlignment="1">
      <alignment/>
    </xf>
    <xf numFmtId="4" fontId="16" fillId="0" borderId="32" xfId="0" applyNumberFormat="1" applyFont="1" applyFill="1" applyBorder="1" applyAlignment="1">
      <alignment/>
    </xf>
    <xf numFmtId="4" fontId="16" fillId="0" borderId="42" xfId="0" applyNumberFormat="1" applyFont="1" applyFill="1" applyBorder="1" applyAlignment="1">
      <alignment/>
    </xf>
    <xf numFmtId="4" fontId="15" fillId="0" borderId="33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15" fillId="0" borderId="43" xfId="0" applyNumberFormat="1" applyFont="1" applyFill="1" applyBorder="1" applyAlignment="1">
      <alignment/>
    </xf>
    <xf numFmtId="4" fontId="16" fillId="0" borderId="37" xfId="0" applyNumberFormat="1" applyFont="1" applyFill="1" applyBorder="1" applyAlignment="1">
      <alignment/>
    </xf>
    <xf numFmtId="4" fontId="16" fillId="0" borderId="31" xfId="0" applyNumberFormat="1" applyFont="1" applyFill="1" applyBorder="1" applyAlignment="1">
      <alignment/>
    </xf>
    <xf numFmtId="4" fontId="16" fillId="0" borderId="44" xfId="0" applyNumberFormat="1" applyFont="1" applyFill="1" applyBorder="1" applyAlignment="1">
      <alignment/>
    </xf>
    <xf numFmtId="4" fontId="16" fillId="0" borderId="45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27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/>
    </xf>
    <xf numFmtId="0" fontId="36" fillId="0" borderId="39" xfId="0" applyFont="1" applyFill="1" applyBorder="1" applyAlignment="1">
      <alignment horizontal="left" indent="2"/>
    </xf>
    <xf numFmtId="0" fontId="15" fillId="0" borderId="39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36" fillId="0" borderId="39" xfId="0" applyFont="1" applyFill="1" applyBorder="1" applyAlignment="1">
      <alignment/>
    </xf>
    <xf numFmtId="0" fontId="36" fillId="0" borderId="39" xfId="0" applyFont="1" applyFill="1" applyBorder="1" applyAlignment="1">
      <alignment horizontal="left" wrapText="1" indent="2"/>
    </xf>
    <xf numFmtId="0" fontId="15" fillId="0" borderId="38" xfId="0" applyFont="1" applyFill="1" applyBorder="1" applyAlignment="1">
      <alignment wrapText="1"/>
    </xf>
    <xf numFmtId="0" fontId="36" fillId="0" borderId="46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36" fillId="0" borderId="48" xfId="0" applyNumberFormat="1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3" fontId="15" fillId="0" borderId="50" xfId="0" applyNumberFormat="1" applyFont="1" applyFill="1" applyBorder="1" applyAlignment="1">
      <alignment/>
    </xf>
    <xf numFmtId="3" fontId="36" fillId="0" borderId="50" xfId="0" applyNumberFormat="1" applyFont="1" applyFill="1" applyBorder="1" applyAlignment="1">
      <alignment/>
    </xf>
    <xf numFmtId="3" fontId="36" fillId="0" borderId="49" xfId="0" applyNumberFormat="1" applyFont="1" applyFill="1" applyBorder="1" applyAlignment="1">
      <alignment/>
    </xf>
    <xf numFmtId="3" fontId="15" fillId="0" borderId="51" xfId="0" applyNumberFormat="1" applyFont="1" applyFill="1" applyBorder="1" applyAlignment="1">
      <alignment/>
    </xf>
    <xf numFmtId="3" fontId="36" fillId="0" borderId="51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36" fillId="0" borderId="43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52" xfId="0" applyNumberFormat="1" applyFont="1" applyFill="1" applyBorder="1" applyAlignment="1">
      <alignment/>
    </xf>
    <xf numFmtId="3" fontId="15" fillId="0" borderId="53" xfId="0" applyNumberFormat="1" applyFont="1" applyFill="1" applyBorder="1" applyAlignment="1">
      <alignment/>
    </xf>
    <xf numFmtId="3" fontId="36" fillId="0" borderId="53" xfId="0" applyNumberFormat="1" applyFont="1" applyFill="1" applyBorder="1" applyAlignment="1">
      <alignment/>
    </xf>
    <xf numFmtId="3" fontId="36" fillId="0" borderId="52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5" fillId="0" borderId="56" xfId="0" applyFont="1" applyFill="1" applyBorder="1" applyAlignment="1">
      <alignment/>
    </xf>
    <xf numFmtId="4" fontId="16" fillId="20" borderId="16" xfId="0" applyNumberFormat="1" applyFont="1" applyFill="1" applyBorder="1" applyAlignment="1">
      <alignment/>
    </xf>
    <xf numFmtId="4" fontId="15" fillId="20" borderId="23" xfId="0" applyNumberFormat="1" applyFont="1" applyFill="1" applyBorder="1" applyAlignment="1">
      <alignment/>
    </xf>
    <xf numFmtId="4" fontId="16" fillId="20" borderId="30" xfId="0" applyNumberFormat="1" applyFont="1" applyFill="1" applyBorder="1" applyAlignment="1">
      <alignment/>
    </xf>
    <xf numFmtId="4" fontId="16" fillId="20" borderId="21" xfId="0" applyNumberFormat="1" applyFont="1" applyFill="1" applyBorder="1" applyAlignment="1">
      <alignment/>
    </xf>
    <xf numFmtId="4" fontId="15" fillId="20" borderId="11" xfId="0" applyNumberFormat="1" applyFont="1" applyFill="1" applyBorder="1" applyAlignment="1">
      <alignment/>
    </xf>
    <xf numFmtId="4" fontId="16" fillId="20" borderId="12" xfId="0" applyNumberFormat="1" applyFont="1" applyFill="1" applyBorder="1" applyAlignment="1">
      <alignment/>
    </xf>
    <xf numFmtId="0" fontId="16" fillId="6" borderId="57" xfId="0" applyFont="1" applyFill="1" applyBorder="1" applyAlignment="1">
      <alignment/>
    </xf>
    <xf numFmtId="3" fontId="16" fillId="6" borderId="58" xfId="0" applyNumberFormat="1" applyFont="1" applyFill="1" applyBorder="1" applyAlignment="1">
      <alignment/>
    </xf>
    <xf numFmtId="3" fontId="16" fillId="6" borderId="59" xfId="0" applyNumberFormat="1" applyFont="1" applyFill="1" applyBorder="1" applyAlignment="1">
      <alignment/>
    </xf>
    <xf numFmtId="3" fontId="16" fillId="6" borderId="13" xfId="0" applyNumberFormat="1" applyFont="1" applyFill="1" applyBorder="1" applyAlignment="1">
      <alignment/>
    </xf>
    <xf numFmtId="3" fontId="16" fillId="6" borderId="60" xfId="0" applyNumberFormat="1" applyFont="1" applyFill="1" applyBorder="1" applyAlignment="1">
      <alignment/>
    </xf>
    <xf numFmtId="3" fontId="14" fillId="6" borderId="13" xfId="0" applyNumberFormat="1" applyFont="1" applyFill="1" applyBorder="1" applyAlignment="1">
      <alignment/>
    </xf>
    <xf numFmtId="3" fontId="16" fillId="6" borderId="13" xfId="0" applyNumberFormat="1" applyFont="1" applyFill="1" applyBorder="1" applyAlignment="1">
      <alignment/>
    </xf>
    <xf numFmtId="0" fontId="16" fillId="6" borderId="61" xfId="0" applyFont="1" applyFill="1" applyBorder="1" applyAlignment="1">
      <alignment/>
    </xf>
    <xf numFmtId="3" fontId="16" fillId="6" borderId="62" xfId="0" applyNumberFormat="1" applyFont="1" applyFill="1" applyBorder="1" applyAlignment="1">
      <alignment/>
    </xf>
    <xf numFmtId="3" fontId="16" fillId="6" borderId="63" xfId="0" applyNumberFormat="1" applyFont="1" applyFill="1" applyBorder="1" applyAlignment="1">
      <alignment/>
    </xf>
    <xf numFmtId="3" fontId="16" fillId="6" borderId="28" xfId="0" applyNumberFormat="1" applyFont="1" applyFill="1" applyBorder="1" applyAlignment="1">
      <alignment/>
    </xf>
    <xf numFmtId="3" fontId="16" fillId="6" borderId="28" xfId="0" applyNumberFormat="1" applyFont="1" applyFill="1" applyBorder="1" applyAlignment="1">
      <alignment/>
    </xf>
    <xf numFmtId="3" fontId="16" fillId="6" borderId="64" xfId="0" applyNumberFormat="1" applyFont="1" applyFill="1" applyBorder="1" applyAlignment="1">
      <alignment/>
    </xf>
    <xf numFmtId="0" fontId="16" fillId="6" borderId="65" xfId="0" applyFont="1" applyFill="1" applyBorder="1" applyAlignment="1">
      <alignment/>
    </xf>
    <xf numFmtId="3" fontId="16" fillId="6" borderId="66" xfId="0" applyNumberFormat="1" applyFont="1" applyFill="1" applyBorder="1" applyAlignment="1">
      <alignment/>
    </xf>
    <xf numFmtId="3" fontId="16" fillId="6" borderId="67" xfId="0" applyNumberFormat="1" applyFont="1" applyFill="1" applyBorder="1" applyAlignment="1">
      <alignment/>
    </xf>
    <xf numFmtId="3" fontId="16" fillId="6" borderId="14" xfId="0" applyNumberFormat="1" applyFont="1" applyFill="1" applyBorder="1" applyAlignment="1">
      <alignment/>
    </xf>
    <xf numFmtId="3" fontId="16" fillId="6" borderId="14" xfId="0" applyNumberFormat="1" applyFont="1" applyFill="1" applyBorder="1" applyAlignment="1">
      <alignment/>
    </xf>
    <xf numFmtId="3" fontId="16" fillId="6" borderId="68" xfId="0" applyNumberFormat="1" applyFont="1" applyFill="1" applyBorder="1" applyAlignment="1">
      <alignment/>
    </xf>
    <xf numFmtId="0" fontId="16" fillId="6" borderId="27" xfId="0" applyFont="1" applyFill="1" applyBorder="1" applyAlignment="1">
      <alignment/>
    </xf>
    <xf numFmtId="3" fontId="16" fillId="6" borderId="69" xfId="0" applyNumberFormat="1" applyFont="1" applyFill="1" applyBorder="1" applyAlignment="1">
      <alignment/>
    </xf>
    <xf numFmtId="0" fontId="16" fillId="6" borderId="22" xfId="0" applyFont="1" applyFill="1" applyBorder="1" applyAlignment="1">
      <alignment/>
    </xf>
    <xf numFmtId="3" fontId="16" fillId="6" borderId="70" xfId="0" applyNumberFormat="1" applyFont="1" applyFill="1" applyBorder="1" applyAlignment="1">
      <alignment/>
    </xf>
    <xf numFmtId="0" fontId="16" fillId="6" borderId="27" xfId="0" applyFont="1" applyFill="1" applyBorder="1" applyAlignment="1">
      <alignment wrapText="1"/>
    </xf>
    <xf numFmtId="3" fontId="16" fillId="6" borderId="58" xfId="0" applyNumberFormat="1" applyFont="1" applyFill="1" applyBorder="1" applyAlignment="1">
      <alignment/>
    </xf>
    <xf numFmtId="3" fontId="16" fillId="6" borderId="59" xfId="0" applyNumberFormat="1" applyFont="1" applyFill="1" applyBorder="1" applyAlignment="1">
      <alignment/>
    </xf>
    <xf numFmtId="3" fontId="16" fillId="6" borderId="69" xfId="0" applyNumberFormat="1" applyFont="1" applyFill="1" applyBorder="1" applyAlignment="1">
      <alignment/>
    </xf>
    <xf numFmtId="0" fontId="16" fillId="6" borderId="15" xfId="0" applyFont="1" applyFill="1" applyBorder="1" applyAlignment="1">
      <alignment/>
    </xf>
    <xf numFmtId="3" fontId="16" fillId="6" borderId="71" xfId="0" applyNumberFormat="1" applyFont="1" applyFill="1" applyBorder="1" applyAlignment="1">
      <alignment/>
    </xf>
    <xf numFmtId="3" fontId="14" fillId="6" borderId="10" xfId="0" applyNumberFormat="1" applyFont="1" applyFill="1" applyBorder="1" applyAlignment="1">
      <alignment/>
    </xf>
    <xf numFmtId="3" fontId="14" fillId="6" borderId="11" xfId="0" applyNumberFormat="1" applyFont="1" applyFill="1" applyBorder="1" applyAlignment="1">
      <alignment/>
    </xf>
    <xf numFmtId="3" fontId="14" fillId="6" borderId="21" xfId="0" applyNumberFormat="1" applyFont="1" applyFill="1" applyBorder="1" applyAlignment="1">
      <alignment/>
    </xf>
    <xf numFmtId="3" fontId="14" fillId="6" borderId="24" xfId="0" applyNumberFormat="1" applyFont="1" applyFill="1" applyBorder="1" applyAlignment="1">
      <alignment/>
    </xf>
    <xf numFmtId="3" fontId="14" fillId="6" borderId="12" xfId="0" applyNumberFormat="1" applyFont="1" applyFill="1" applyBorder="1" applyAlignment="1">
      <alignment/>
    </xf>
    <xf numFmtId="3" fontId="36" fillId="0" borderId="45" xfId="0" applyNumberFormat="1" applyFont="1" applyFill="1" applyBorder="1" applyAlignment="1">
      <alignment/>
    </xf>
    <xf numFmtId="3" fontId="16" fillId="6" borderId="60" xfId="0" applyNumberFormat="1" applyFont="1" applyFill="1" applyBorder="1" applyAlignment="1">
      <alignment/>
    </xf>
    <xf numFmtId="0" fontId="15" fillId="0" borderId="37" xfId="0" applyFont="1" applyBorder="1" applyAlignment="1">
      <alignment horizontal="left" wrapText="1"/>
    </xf>
    <xf numFmtId="3" fontId="14" fillId="6" borderId="32" xfId="0" applyNumberFormat="1" applyFont="1" applyFill="1" applyBorder="1" applyAlignment="1">
      <alignment/>
    </xf>
    <xf numFmtId="3" fontId="14" fillId="6" borderId="33" xfId="0" applyNumberFormat="1" applyFont="1" applyFill="1" applyBorder="1" applyAlignment="1">
      <alignment/>
    </xf>
    <xf numFmtId="3" fontId="14" fillId="6" borderId="58" xfId="0" applyNumberFormat="1" applyFont="1" applyFill="1" applyBorder="1" applyAlignment="1">
      <alignment/>
    </xf>
    <xf numFmtId="3" fontId="14" fillId="6" borderId="35" xfId="0" applyNumberFormat="1" applyFont="1" applyFill="1" applyBorder="1" applyAlignment="1">
      <alignment/>
    </xf>
    <xf numFmtId="3" fontId="14" fillId="6" borderId="64" xfId="0" applyNumberFormat="1" applyFont="1" applyFill="1" applyBorder="1" applyAlignment="1">
      <alignment/>
    </xf>
    <xf numFmtId="3" fontId="14" fillId="6" borderId="34" xfId="0" applyNumberFormat="1" applyFont="1" applyFill="1" applyBorder="1" applyAlignment="1">
      <alignment/>
    </xf>
    <xf numFmtId="3" fontId="14" fillId="6" borderId="37" xfId="0" applyNumberFormat="1" applyFont="1" applyFill="1" applyBorder="1" applyAlignment="1">
      <alignment/>
    </xf>
    <xf numFmtId="3" fontId="14" fillId="6" borderId="68" xfId="0" applyNumberFormat="1" applyFont="1" applyFill="1" applyBorder="1" applyAlignment="1">
      <alignment/>
    </xf>
    <xf numFmtId="3" fontId="36" fillId="6" borderId="11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/>
    </xf>
    <xf numFmtId="3" fontId="15" fillId="6" borderId="10" xfId="0" applyNumberFormat="1" applyFont="1" applyFill="1" applyBorder="1" applyAlignment="1">
      <alignment/>
    </xf>
    <xf numFmtId="3" fontId="15" fillId="6" borderId="12" xfId="0" applyNumberFormat="1" applyFont="1" applyFill="1" applyBorder="1" applyAlignment="1">
      <alignment/>
    </xf>
    <xf numFmtId="3" fontId="14" fillId="6" borderId="60" xfId="0" applyNumberFormat="1" applyFont="1" applyFill="1" applyBorder="1" applyAlignment="1">
      <alignment/>
    </xf>
    <xf numFmtId="3" fontId="36" fillId="6" borderId="12" xfId="0" applyNumberFormat="1" applyFont="1" applyFill="1" applyBorder="1" applyAlignment="1">
      <alignment/>
    </xf>
    <xf numFmtId="3" fontId="14" fillId="6" borderId="42" xfId="0" applyNumberFormat="1" applyFont="1" applyFill="1" applyBorder="1" applyAlignment="1">
      <alignment/>
    </xf>
    <xf numFmtId="3" fontId="14" fillId="6" borderId="43" xfId="0" applyNumberFormat="1" applyFont="1" applyFill="1" applyBorder="1" applyAlignment="1">
      <alignment/>
    </xf>
    <xf numFmtId="3" fontId="14" fillId="6" borderId="52" xfId="0" applyNumberFormat="1" applyFont="1" applyFill="1" applyBorder="1" applyAlignment="1">
      <alignment/>
    </xf>
    <xf numFmtId="3" fontId="14" fillId="6" borderId="53" xfId="0" applyNumberFormat="1" applyFont="1" applyFill="1" applyBorder="1" applyAlignment="1">
      <alignment/>
    </xf>
    <xf numFmtId="3" fontId="14" fillId="6" borderId="45" xfId="0" applyNumberFormat="1" applyFont="1" applyFill="1" applyBorder="1" applyAlignment="1">
      <alignment/>
    </xf>
    <xf numFmtId="3" fontId="14" fillId="6" borderId="62" xfId="0" applyNumberFormat="1" applyFont="1" applyFill="1" applyBorder="1" applyAlignment="1">
      <alignment/>
    </xf>
    <xf numFmtId="3" fontId="14" fillId="6" borderId="66" xfId="0" applyNumberFormat="1" applyFont="1" applyFill="1" applyBorder="1" applyAlignment="1">
      <alignment/>
    </xf>
    <xf numFmtId="3" fontId="16" fillId="6" borderId="19" xfId="0" applyNumberFormat="1" applyFont="1" applyFill="1" applyBorder="1" applyAlignment="1">
      <alignment/>
    </xf>
    <xf numFmtId="3" fontId="16" fillId="6" borderId="33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6" fillId="6" borderId="63" xfId="0" applyNumberFormat="1" applyFont="1" applyFill="1" applyBorder="1" applyAlignment="1">
      <alignment/>
    </xf>
    <xf numFmtId="3" fontId="16" fillId="6" borderId="67" xfId="0" applyNumberFormat="1" applyFont="1" applyFill="1" applyBorder="1" applyAlignment="1">
      <alignment/>
    </xf>
    <xf numFmtId="3" fontId="16" fillId="6" borderId="32" xfId="0" applyNumberFormat="1" applyFont="1" applyFill="1" applyBorder="1" applyAlignment="1">
      <alignment/>
    </xf>
    <xf numFmtId="3" fontId="16" fillId="6" borderId="34" xfId="0" applyNumberFormat="1" applyFont="1" applyFill="1" applyBorder="1" applyAlignment="1">
      <alignment/>
    </xf>
    <xf numFmtId="3" fontId="16" fillId="6" borderId="35" xfId="0" applyNumberFormat="1" applyFont="1" applyFill="1" applyBorder="1" applyAlignment="1">
      <alignment/>
    </xf>
    <xf numFmtId="3" fontId="16" fillId="6" borderId="64" xfId="0" applyNumberFormat="1" applyFont="1" applyFill="1" applyBorder="1" applyAlignment="1">
      <alignment/>
    </xf>
    <xf numFmtId="3" fontId="16" fillId="6" borderId="37" xfId="0" applyNumberFormat="1" applyFont="1" applyFill="1" applyBorder="1" applyAlignment="1">
      <alignment/>
    </xf>
    <xf numFmtId="3" fontId="16" fillId="6" borderId="68" xfId="0" applyNumberFormat="1" applyFont="1" applyFill="1" applyBorder="1" applyAlignment="1">
      <alignment/>
    </xf>
    <xf numFmtId="3" fontId="16" fillId="6" borderId="20" xfId="0" applyNumberFormat="1" applyFont="1" applyFill="1" applyBorder="1" applyAlignment="1">
      <alignment/>
    </xf>
    <xf numFmtId="3" fontId="16" fillId="6" borderId="26" xfId="0" applyNumberFormat="1" applyFont="1" applyFill="1" applyBorder="1" applyAlignment="1">
      <alignment/>
    </xf>
    <xf numFmtId="3" fontId="16" fillId="6" borderId="36" xfId="0" applyNumberFormat="1" applyFont="1" applyFill="1" applyBorder="1" applyAlignment="1">
      <alignment/>
    </xf>
    <xf numFmtId="3" fontId="16" fillId="6" borderId="3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5" fillId="23" borderId="0" xfId="0" applyFont="1" applyFill="1" applyAlignment="1">
      <alignment vertical="top"/>
    </xf>
    <xf numFmtId="3" fontId="5" fillId="23" borderId="0" xfId="0" applyNumberFormat="1" applyFont="1" applyFill="1" applyAlignment="1">
      <alignment vertical="top"/>
    </xf>
    <xf numFmtId="0" fontId="4" fillId="4" borderId="0" xfId="97" applyFont="1" applyFill="1" applyAlignment="1">
      <alignment horizontal="left" vertical="top"/>
      <protection/>
    </xf>
    <xf numFmtId="0" fontId="4" fillId="4" borderId="0" xfId="97" applyFont="1" applyFill="1" applyBorder="1" applyAlignment="1">
      <alignment vertical="top" wrapText="1"/>
      <protection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horizontal="right" vertical="top"/>
    </xf>
    <xf numFmtId="3" fontId="4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3" fontId="13" fillId="0" borderId="0" xfId="95" applyNumberFormat="1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vertical="top" wrapText="1"/>
    </xf>
    <xf numFmtId="3" fontId="4" fillId="24" borderId="0" xfId="0" applyNumberFormat="1" applyFont="1" applyFill="1" applyAlignment="1">
      <alignment horizontal="right" vertical="top"/>
    </xf>
    <xf numFmtId="3" fontId="4" fillId="24" borderId="0" xfId="0" applyNumberFormat="1" applyFont="1" applyFill="1" applyBorder="1" applyAlignment="1">
      <alignment horizontal="right" vertical="top"/>
    </xf>
    <xf numFmtId="3" fontId="16" fillId="6" borderId="39" xfId="0" applyNumberFormat="1" applyFont="1" applyFill="1" applyBorder="1" applyAlignment="1">
      <alignment/>
    </xf>
    <xf numFmtId="3" fontId="36" fillId="6" borderId="48" xfId="0" applyNumberFormat="1" applyFont="1" applyFill="1" applyBorder="1" applyAlignment="1">
      <alignment/>
    </xf>
    <xf numFmtId="0" fontId="15" fillId="0" borderId="37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4" fillId="0" borderId="37" xfId="0" applyFont="1" applyBorder="1" applyAlignment="1">
      <alignment wrapText="1"/>
    </xf>
    <xf numFmtId="0" fontId="15" fillId="6" borderId="37" xfId="0" applyFont="1" applyFill="1" applyBorder="1" applyAlignment="1">
      <alignment wrapText="1"/>
    </xf>
    <xf numFmtId="0" fontId="15" fillId="6" borderId="31" xfId="0" applyFont="1" applyFill="1" applyBorder="1" applyAlignment="1">
      <alignment horizontal="center" wrapText="1"/>
    </xf>
    <xf numFmtId="0" fontId="15" fillId="6" borderId="12" xfId="0" applyFont="1" applyFill="1" applyBorder="1" applyAlignment="1">
      <alignment horizontal="center" wrapText="1"/>
    </xf>
    <xf numFmtId="0" fontId="15" fillId="6" borderId="37" xfId="0" applyFont="1" applyFill="1" applyBorder="1" applyAlignment="1">
      <alignment horizontal="left" wrapText="1"/>
    </xf>
    <xf numFmtId="3" fontId="16" fillId="6" borderId="27" xfId="0" applyNumberFormat="1" applyFont="1" applyFill="1" applyBorder="1" applyAlignment="1">
      <alignment/>
    </xf>
    <xf numFmtId="0" fontId="15" fillId="0" borderId="37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wrapText="1"/>
    </xf>
    <xf numFmtId="0" fontId="15" fillId="0" borderId="37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wrapText="1"/>
    </xf>
    <xf numFmtId="0" fontId="0" fillId="0" borderId="0" xfId="0" applyAlignment="1">
      <alignment wrapText="1"/>
    </xf>
    <xf numFmtId="3" fontId="1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3" fontId="1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4" borderId="0" xfId="97" applyFont="1" applyFill="1" applyAlignment="1">
      <alignment horizontal="left" vertical="top" wrapText="1"/>
      <protection/>
    </xf>
    <xf numFmtId="3" fontId="4" fillId="4" borderId="0" xfId="97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3" fontId="4" fillId="4" borderId="0" xfId="0" applyNumberFormat="1" applyFont="1" applyFill="1" applyAlignment="1">
      <alignment vertical="top" wrapText="1"/>
    </xf>
    <xf numFmtId="3" fontId="4" fillId="4" borderId="0" xfId="0" applyNumberFormat="1" applyFont="1" applyFill="1" applyBorder="1" applyAlignment="1">
      <alignment horizontal="right" vertical="top" wrapText="1"/>
    </xf>
    <xf numFmtId="0" fontId="4" fillId="9" borderId="0" xfId="97" applyFont="1" applyFill="1" applyAlignment="1">
      <alignment horizontal="left" vertical="top" wrapText="1"/>
      <protection/>
    </xf>
    <xf numFmtId="3" fontId="4" fillId="9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3" fontId="4" fillId="9" borderId="0" xfId="0" applyNumberFormat="1" applyFont="1" applyFill="1" applyBorder="1" applyAlignment="1">
      <alignment vertical="top" wrapText="1"/>
    </xf>
    <xf numFmtId="0" fontId="4" fillId="24" borderId="0" xfId="97" applyFont="1" applyFill="1" applyAlignment="1">
      <alignment horizontal="left" vertical="top" wrapText="1"/>
      <protection/>
    </xf>
    <xf numFmtId="3" fontId="4" fillId="0" borderId="0" xfId="0" applyNumberFormat="1" applyFont="1" applyFill="1" applyAlignment="1">
      <alignment horizontal="right" vertical="top" wrapText="1"/>
    </xf>
    <xf numFmtId="0" fontId="4" fillId="0" borderId="0" xfId="97" applyFont="1" applyFill="1" applyAlignment="1">
      <alignment horizontal="left" vertical="top" wrapText="1"/>
      <protection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top" wrapText="1"/>
    </xf>
    <xf numFmtId="0" fontId="4" fillId="9" borderId="0" xfId="97" applyFont="1" applyFill="1" applyBorder="1" applyAlignment="1">
      <alignment horizontal="left" vertical="top" wrapText="1"/>
      <protection/>
    </xf>
    <xf numFmtId="3" fontId="4" fillId="9" borderId="0" xfId="0" applyNumberFormat="1" applyFont="1" applyFill="1" applyAlignment="1">
      <alignment horizontal="right" vertical="top" wrapText="1"/>
    </xf>
    <xf numFmtId="3" fontId="11" fillId="0" borderId="0" xfId="0" applyNumberFormat="1" applyFont="1" applyAlignment="1">
      <alignment vertical="top" wrapText="1"/>
    </xf>
    <xf numFmtId="3" fontId="4" fillId="4" borderId="0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3" fontId="4" fillId="4" borderId="0" xfId="0" applyNumberFormat="1" applyFont="1" applyFill="1" applyAlignment="1">
      <alignment horizontal="right" vertical="top" wrapText="1"/>
    </xf>
    <xf numFmtId="0" fontId="5" fillId="9" borderId="0" xfId="0" applyFont="1" applyFill="1" applyAlignment="1">
      <alignment vertical="top" wrapText="1"/>
    </xf>
    <xf numFmtId="3" fontId="0" fillId="0" borderId="0" xfId="0" applyNumberFormat="1" applyAlignment="1">
      <alignment wrapText="1"/>
    </xf>
    <xf numFmtId="0" fontId="12" fillId="4" borderId="0" xfId="95" applyFont="1" applyFill="1" applyAlignment="1">
      <alignment wrapText="1"/>
      <protection/>
    </xf>
    <xf numFmtId="0" fontId="15" fillId="0" borderId="0" xfId="0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16" fillId="6" borderId="0" xfId="0" applyNumberFormat="1" applyFont="1" applyFill="1" applyBorder="1" applyAlignment="1">
      <alignment/>
    </xf>
    <xf numFmtId="3" fontId="16" fillId="6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5" fillId="0" borderId="0" xfId="95" applyFont="1" applyFill="1" applyBorder="1" applyAlignment="1">
      <alignment horizontal="left" wrapText="1"/>
      <protection/>
    </xf>
    <xf numFmtId="0" fontId="12" fillId="0" borderId="0" xfId="95" applyFont="1" applyFill="1" applyAlignment="1">
      <alignment horizont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6" fillId="6" borderId="32" xfId="0" applyFont="1" applyFill="1" applyBorder="1" applyAlignment="1">
      <alignment horizontal="center" wrapText="1"/>
    </xf>
    <xf numFmtId="0" fontId="16" fillId="6" borderId="20" xfId="0" applyFont="1" applyFill="1" applyBorder="1" applyAlignment="1">
      <alignment horizontal="center" wrapText="1"/>
    </xf>
    <xf numFmtId="0" fontId="16" fillId="6" borderId="21" xfId="0" applyFont="1" applyFill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4" fillId="6" borderId="32" xfId="0" applyFont="1" applyFill="1" applyBorder="1" applyAlignment="1">
      <alignment horizontal="center" wrapText="1"/>
    </xf>
    <xf numFmtId="0" fontId="14" fillId="6" borderId="20" xfId="0" applyFont="1" applyFill="1" applyBorder="1" applyAlignment="1">
      <alignment horizontal="center" wrapText="1"/>
    </xf>
    <xf numFmtId="0" fontId="14" fillId="6" borderId="2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 2 2" xfId="93"/>
    <cellStyle name="Normál 3" xfId="94"/>
    <cellStyle name="Normál_2013. költségvetés mell" xfId="95"/>
    <cellStyle name="Normal_KTRSZJ" xfId="96"/>
    <cellStyle name="Normál_melléklet összesen_2012. koncepció kiegészítő táblázatok" xfId="97"/>
    <cellStyle name="Normál_R_2MELL" xfId="98"/>
    <cellStyle name="Note" xfId="99"/>
    <cellStyle name="Output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4"/>
  <sheetViews>
    <sheetView tabSelected="1" zoomScalePageLayoutView="0" workbookViewId="0" topLeftCell="A2">
      <selection activeCell="E50" sqref="E50"/>
    </sheetView>
  </sheetViews>
  <sheetFormatPr defaultColWidth="9.00390625" defaultRowHeight="12.75"/>
  <cols>
    <col min="1" max="1" width="12.00390625" style="8" customWidth="1"/>
    <col min="2" max="2" width="12.25390625" style="8" customWidth="1"/>
    <col min="3" max="3" width="6.00390625" style="6" customWidth="1"/>
    <col min="4" max="4" width="37.125" style="6" customWidth="1"/>
    <col min="5" max="16384" width="9.125" style="6" customWidth="1"/>
  </cols>
  <sheetData>
    <row r="1" ht="18.75" customHeight="1"/>
    <row r="2" spans="1:8" ht="15.75">
      <c r="A2" s="385" t="s">
        <v>34</v>
      </c>
      <c r="B2" s="385"/>
      <c r="C2" s="385"/>
      <c r="D2" s="385"/>
      <c r="E2" s="385"/>
      <c r="F2" s="385"/>
      <c r="G2" s="13"/>
      <c r="H2" s="13"/>
    </row>
    <row r="3" spans="1:6" ht="12.75">
      <c r="A3" s="12"/>
      <c r="B3" s="12"/>
      <c r="C3" s="10"/>
      <c r="D3" s="10"/>
      <c r="E3" s="10"/>
      <c r="F3" s="10"/>
    </row>
    <row r="4" spans="1:6" ht="27.75" customHeight="1">
      <c r="A4" s="12"/>
      <c r="B4" s="12"/>
      <c r="C4" s="10"/>
      <c r="D4" s="10"/>
      <c r="E4" s="10"/>
      <c r="F4" s="10"/>
    </row>
    <row r="5" spans="1:6" ht="12.75">
      <c r="A5" s="14" t="s">
        <v>35</v>
      </c>
      <c r="B5" s="14"/>
      <c r="C5" s="10"/>
      <c r="D5" s="10"/>
      <c r="E5" s="10"/>
      <c r="F5" s="10"/>
    </row>
    <row r="6" spans="1:6" ht="12.75">
      <c r="A6" s="14"/>
      <c r="B6" s="14" t="s">
        <v>36</v>
      </c>
      <c r="C6" s="10"/>
      <c r="D6" s="10"/>
      <c r="E6" s="10"/>
      <c r="F6" s="10"/>
    </row>
    <row r="7" spans="1:6" ht="25.5" customHeight="1">
      <c r="A7" s="14"/>
      <c r="B7" s="14" t="s">
        <v>5</v>
      </c>
      <c r="C7" s="15"/>
      <c r="D7" s="16" t="s">
        <v>64</v>
      </c>
      <c r="E7" s="10"/>
      <c r="F7" s="10"/>
    </row>
    <row r="8" spans="1:6" ht="25.5" customHeight="1">
      <c r="A8" s="14"/>
      <c r="B8" s="14" t="s">
        <v>6</v>
      </c>
      <c r="C8" s="15"/>
      <c r="D8" s="24" t="s">
        <v>37</v>
      </c>
      <c r="E8" s="10"/>
      <c r="F8" s="10"/>
    </row>
    <row r="9" spans="1:6" ht="25.5" customHeight="1">
      <c r="A9" s="14"/>
      <c r="B9" s="14" t="s">
        <v>7</v>
      </c>
      <c r="C9" s="15"/>
      <c r="D9" s="8" t="s">
        <v>78</v>
      </c>
      <c r="E9" s="10"/>
      <c r="F9" s="10"/>
    </row>
    <row r="10" spans="1:6" ht="25.5" customHeight="1">
      <c r="A10" s="14"/>
      <c r="B10" s="14" t="s">
        <v>8</v>
      </c>
      <c r="C10" s="15"/>
      <c r="D10" s="24" t="s">
        <v>46</v>
      </c>
      <c r="E10" s="10"/>
      <c r="F10" s="10"/>
    </row>
    <row r="11" spans="1:6" ht="25.5" customHeight="1">
      <c r="A11" s="14"/>
      <c r="B11" s="14" t="s">
        <v>9</v>
      </c>
      <c r="C11" s="15"/>
      <c r="D11" s="24" t="s">
        <v>169</v>
      </c>
      <c r="E11" s="10"/>
      <c r="F11" s="10"/>
    </row>
    <row r="12" spans="1:6" ht="25.5" customHeight="1">
      <c r="A12" s="14"/>
      <c r="B12" s="14" t="s">
        <v>20</v>
      </c>
      <c r="C12" s="15"/>
      <c r="D12" s="24" t="s">
        <v>39</v>
      </c>
      <c r="E12" s="10"/>
      <c r="F12" s="10"/>
    </row>
    <row r="13" spans="1:6" ht="25.5" customHeight="1">
      <c r="A13" s="14" t="s">
        <v>1</v>
      </c>
      <c r="B13" s="12"/>
      <c r="C13" s="10"/>
      <c r="D13" s="16" t="s">
        <v>40</v>
      </c>
      <c r="E13" s="10"/>
      <c r="F13" s="10"/>
    </row>
    <row r="14" spans="1:6" ht="12.75">
      <c r="A14" s="12"/>
      <c r="B14" s="12"/>
      <c r="C14" s="10"/>
      <c r="D14" s="10"/>
      <c r="E14" s="10"/>
      <c r="F14" s="10"/>
    </row>
    <row r="15" spans="1:6" ht="12.75">
      <c r="A15" s="12"/>
      <c r="B15" s="12"/>
      <c r="C15" s="10"/>
      <c r="D15" s="10"/>
      <c r="E15" s="10"/>
      <c r="F15" s="10"/>
    </row>
    <row r="16" spans="1:6" ht="12.75">
      <c r="A16" s="12"/>
      <c r="B16" s="12"/>
      <c r="C16" s="10"/>
      <c r="D16" s="10"/>
      <c r="E16" s="10"/>
      <c r="F16" s="10"/>
    </row>
    <row r="17" spans="1:6" ht="12.75">
      <c r="A17" s="12"/>
      <c r="B17" s="12"/>
      <c r="C17" s="10"/>
      <c r="D17" s="10"/>
      <c r="E17" s="10"/>
      <c r="F17" s="10"/>
    </row>
    <row r="18" spans="1:6" ht="12.75">
      <c r="A18" s="12"/>
      <c r="B18" s="12"/>
      <c r="C18" s="10"/>
      <c r="D18" s="10"/>
      <c r="E18" s="10"/>
      <c r="F18" s="10"/>
    </row>
    <row r="19" spans="1:6" ht="12.75">
      <c r="A19" s="12"/>
      <c r="B19" s="12"/>
      <c r="C19" s="10"/>
      <c r="D19" s="10"/>
      <c r="E19" s="10"/>
      <c r="F19" s="10"/>
    </row>
    <row r="20" spans="1:6" ht="12.75">
      <c r="A20" s="12"/>
      <c r="B20" s="12"/>
      <c r="C20" s="10"/>
      <c r="D20" s="10"/>
      <c r="E20" s="10"/>
      <c r="F20" s="10"/>
    </row>
    <row r="21" spans="1:6" ht="12.75">
      <c r="A21" s="12"/>
      <c r="B21" s="12"/>
      <c r="C21" s="10"/>
      <c r="D21" s="10"/>
      <c r="E21" s="10"/>
      <c r="F21" s="10"/>
    </row>
    <row r="22" spans="1:6" ht="12.75">
      <c r="A22" s="12"/>
      <c r="B22" s="12"/>
      <c r="C22" s="10"/>
      <c r="D22" s="10"/>
      <c r="E22" s="10"/>
      <c r="F22" s="10"/>
    </row>
    <row r="23" spans="1:6" ht="12.75">
      <c r="A23" s="12"/>
      <c r="B23" s="12"/>
      <c r="C23" s="10"/>
      <c r="D23" s="10"/>
      <c r="E23" s="10"/>
      <c r="F23" s="10"/>
    </row>
    <row r="24" spans="1:6" ht="12.75">
      <c r="A24" s="12"/>
      <c r="B24" s="12"/>
      <c r="C24" s="10"/>
      <c r="D24" s="10"/>
      <c r="E24" s="10"/>
      <c r="F24" s="10"/>
    </row>
    <row r="25" spans="1:6" ht="12.75">
      <c r="A25" s="12"/>
      <c r="B25" s="12"/>
      <c r="C25" s="10"/>
      <c r="D25" s="10"/>
      <c r="E25" s="10"/>
      <c r="F25" s="10"/>
    </row>
    <row r="26" spans="1:6" ht="12.75">
      <c r="A26" s="12"/>
      <c r="B26" s="12"/>
      <c r="C26" s="10"/>
      <c r="D26" s="10"/>
      <c r="E26" s="10"/>
      <c r="F26" s="10"/>
    </row>
    <row r="27" spans="1:6" ht="12.75">
      <c r="A27" s="12"/>
      <c r="B27" s="12"/>
      <c r="C27" s="10"/>
      <c r="D27" s="10"/>
      <c r="E27" s="10"/>
      <c r="F27" s="10"/>
    </row>
    <row r="28" spans="1:6" ht="12.75">
      <c r="A28" s="12"/>
      <c r="B28" s="12"/>
      <c r="C28" s="10"/>
      <c r="D28" s="10"/>
      <c r="E28" s="10"/>
      <c r="F28" s="10"/>
    </row>
    <row r="29" spans="1:6" ht="12.75">
      <c r="A29" s="12"/>
      <c r="B29" s="12"/>
      <c r="C29" s="10"/>
      <c r="D29" s="10"/>
      <c r="E29" s="10"/>
      <c r="F29" s="10"/>
    </row>
    <row r="30" spans="1:6" ht="12.75">
      <c r="A30" s="12"/>
      <c r="B30" s="12"/>
      <c r="C30" s="10"/>
      <c r="D30" s="10"/>
      <c r="E30" s="10"/>
      <c r="F30" s="10"/>
    </row>
    <row r="31" spans="1:6" ht="12.75">
      <c r="A31" s="12"/>
      <c r="B31" s="12"/>
      <c r="C31" s="10"/>
      <c r="D31" s="10"/>
      <c r="E31" s="10"/>
      <c r="F31" s="10"/>
    </row>
    <row r="32" spans="1:6" ht="12.75">
      <c r="A32" s="12"/>
      <c r="B32" s="12"/>
      <c r="C32" s="10"/>
      <c r="D32" s="10"/>
      <c r="E32" s="10"/>
      <c r="F32" s="10"/>
    </row>
    <row r="33" spans="1:6" ht="12.75">
      <c r="A33" s="12"/>
      <c r="B33" s="12"/>
      <c r="C33" s="10"/>
      <c r="D33" s="10"/>
      <c r="E33" s="10"/>
      <c r="F33" s="10"/>
    </row>
    <row r="34" spans="1:6" ht="12.75">
      <c r="A34" s="12"/>
      <c r="B34" s="12"/>
      <c r="C34" s="10"/>
      <c r="D34" s="10"/>
      <c r="E34" s="10"/>
      <c r="F34" s="10"/>
    </row>
    <row r="35" spans="1:6" ht="12.75">
      <c r="A35" s="12"/>
      <c r="B35" s="12"/>
      <c r="C35" s="10"/>
      <c r="D35" s="10"/>
      <c r="E35" s="10"/>
      <c r="F35" s="10"/>
    </row>
    <row r="36" spans="1:6" ht="12.75">
      <c r="A36" s="12"/>
      <c r="B36" s="12"/>
      <c r="C36" s="10"/>
      <c r="D36" s="10"/>
      <c r="E36" s="10"/>
      <c r="F36" s="10"/>
    </row>
    <row r="37" spans="1:6" ht="12.75">
      <c r="A37" s="12"/>
      <c r="B37" s="12"/>
      <c r="C37" s="10"/>
      <c r="D37" s="10"/>
      <c r="E37" s="10"/>
      <c r="F37" s="10"/>
    </row>
    <row r="38" spans="1:6" ht="12.75">
      <c r="A38" s="12"/>
      <c r="B38" s="12"/>
      <c r="C38" s="10"/>
      <c r="D38" s="10"/>
      <c r="E38" s="10"/>
      <c r="F38" s="10"/>
    </row>
    <row r="39" spans="1:6" ht="12.75">
      <c r="A39" s="12"/>
      <c r="B39" s="12"/>
      <c r="C39" s="10"/>
      <c r="D39" s="10"/>
      <c r="E39" s="10"/>
      <c r="F39" s="10"/>
    </row>
    <row r="40" spans="1:6" ht="12.75">
      <c r="A40" s="12"/>
      <c r="B40" s="12"/>
      <c r="C40" s="10"/>
      <c r="D40" s="10"/>
      <c r="E40" s="10"/>
      <c r="F40" s="10"/>
    </row>
    <row r="41" spans="1:6" ht="12.75">
      <c r="A41" s="12"/>
      <c r="B41" s="12"/>
      <c r="C41" s="10"/>
      <c r="D41" s="10"/>
      <c r="E41" s="10"/>
      <c r="F41" s="10"/>
    </row>
    <row r="42" spans="1:6" ht="12.75">
      <c r="A42" s="12"/>
      <c r="B42" s="12"/>
      <c r="C42" s="10"/>
      <c r="D42" s="10"/>
      <c r="E42" s="10"/>
      <c r="F42" s="10"/>
    </row>
    <row r="43" spans="1:6" ht="12.75">
      <c r="A43" s="12"/>
      <c r="B43" s="12"/>
      <c r="C43" s="10"/>
      <c r="D43" s="10"/>
      <c r="E43" s="10"/>
      <c r="F43" s="10"/>
    </row>
    <row r="44" spans="1:6" ht="12.75">
      <c r="A44" s="12"/>
      <c r="B44" s="12"/>
      <c r="C44" s="10"/>
      <c r="D44" s="10"/>
      <c r="E44" s="10"/>
      <c r="F44" s="10"/>
    </row>
    <row r="45" spans="1:6" ht="12.75">
      <c r="A45" s="12"/>
      <c r="B45" s="12"/>
      <c r="C45" s="10"/>
      <c r="D45" s="10"/>
      <c r="E45" s="10"/>
      <c r="F45" s="10"/>
    </row>
    <row r="46" spans="1:6" ht="12.75">
      <c r="A46" s="12"/>
      <c r="B46" s="12"/>
      <c r="C46" s="10"/>
      <c r="D46" s="10"/>
      <c r="E46" s="10"/>
      <c r="F46" s="10"/>
    </row>
    <row r="47" spans="1:6" ht="12.75">
      <c r="A47" s="12"/>
      <c r="B47" s="12"/>
      <c r="C47" s="10"/>
      <c r="D47" s="10"/>
      <c r="E47" s="10"/>
      <c r="F47" s="10"/>
    </row>
    <row r="48" spans="1:6" ht="12.75">
      <c r="A48" s="12"/>
      <c r="B48" s="12"/>
      <c r="C48" s="10"/>
      <c r="D48" s="10"/>
      <c r="E48" s="10"/>
      <c r="F48" s="10"/>
    </row>
    <row r="49" spans="1:6" ht="12.75">
      <c r="A49" s="12"/>
      <c r="B49" s="12"/>
      <c r="C49" s="10"/>
      <c r="D49" s="10"/>
      <c r="E49" s="10"/>
      <c r="F49" s="10"/>
    </row>
    <row r="50" spans="1:6" ht="12.75">
      <c r="A50" s="12"/>
      <c r="B50" s="12"/>
      <c r="C50" s="10"/>
      <c r="D50" s="10"/>
      <c r="E50" s="10"/>
      <c r="F50" s="10"/>
    </row>
    <row r="51" spans="1:6" ht="12.75">
      <c r="A51" s="12"/>
      <c r="B51" s="12"/>
      <c r="C51" s="10"/>
      <c r="D51" s="10"/>
      <c r="E51" s="10"/>
      <c r="F51" s="10"/>
    </row>
    <row r="52" spans="1:6" ht="12.75">
      <c r="A52" s="12"/>
      <c r="B52" s="12"/>
      <c r="C52" s="10"/>
      <c r="D52" s="10"/>
      <c r="E52" s="10"/>
      <c r="F52" s="10"/>
    </row>
    <row r="53" spans="1:6" ht="12.75">
      <c r="A53" s="12"/>
      <c r="B53" s="12"/>
      <c r="C53" s="10"/>
      <c r="D53" s="10"/>
      <c r="E53" s="10"/>
      <c r="F53" s="10"/>
    </row>
    <row r="54" spans="1:6" ht="12.75">
      <c r="A54" s="12"/>
      <c r="B54" s="12"/>
      <c r="C54" s="10"/>
      <c r="D54" s="10"/>
      <c r="E54" s="10"/>
      <c r="F54" s="10"/>
    </row>
    <row r="55" spans="1:6" ht="12.75">
      <c r="A55" s="12"/>
      <c r="B55" s="12"/>
      <c r="C55" s="10"/>
      <c r="D55" s="10"/>
      <c r="E55" s="10"/>
      <c r="F55" s="10"/>
    </row>
    <row r="56" spans="1:6" ht="12.75">
      <c r="A56" s="12"/>
      <c r="B56" s="12"/>
      <c r="C56" s="10"/>
      <c r="D56" s="10"/>
      <c r="E56" s="10"/>
      <c r="F56" s="10"/>
    </row>
    <row r="57" spans="1:6" ht="12.75">
      <c r="A57" s="12"/>
      <c r="B57" s="12"/>
      <c r="C57" s="10"/>
      <c r="D57" s="10"/>
      <c r="E57" s="10"/>
      <c r="F57" s="10"/>
    </row>
    <row r="58" spans="1:6" ht="12.75">
      <c r="A58" s="12"/>
      <c r="B58" s="12"/>
      <c r="C58" s="10"/>
      <c r="D58" s="10"/>
      <c r="E58" s="10"/>
      <c r="F58" s="10"/>
    </row>
    <row r="59" spans="1:6" ht="12.75">
      <c r="A59" s="12"/>
      <c r="B59" s="12"/>
      <c r="C59" s="10"/>
      <c r="D59" s="10"/>
      <c r="E59" s="10"/>
      <c r="F59" s="10"/>
    </row>
    <row r="60" spans="1:6" ht="12.75">
      <c r="A60" s="12"/>
      <c r="B60" s="12"/>
      <c r="C60" s="10"/>
      <c r="D60" s="10"/>
      <c r="E60" s="10"/>
      <c r="F60" s="10"/>
    </row>
    <row r="61" spans="1:6" ht="12.75">
      <c r="A61" s="12"/>
      <c r="B61" s="12"/>
      <c r="C61" s="10"/>
      <c r="D61" s="10"/>
      <c r="E61" s="10"/>
      <c r="F61" s="10"/>
    </row>
    <row r="62" spans="1:6" ht="12.75">
      <c r="A62" s="12"/>
      <c r="B62" s="12"/>
      <c r="C62" s="10"/>
      <c r="D62" s="10"/>
      <c r="E62" s="10"/>
      <c r="F62" s="10"/>
    </row>
    <row r="63" spans="1:6" ht="12.75">
      <c r="A63" s="12"/>
      <c r="B63" s="12"/>
      <c r="C63" s="10"/>
      <c r="D63" s="10"/>
      <c r="E63" s="10"/>
      <c r="F63" s="10"/>
    </row>
    <row r="64" spans="1:6" ht="12.75">
      <c r="A64" s="12"/>
      <c r="B64" s="12"/>
      <c r="C64" s="10"/>
      <c r="D64" s="10"/>
      <c r="E64" s="10"/>
      <c r="F64" s="10"/>
    </row>
    <row r="65" spans="1:6" ht="12.75">
      <c r="A65" s="12"/>
      <c r="B65" s="12"/>
      <c r="C65" s="10"/>
      <c r="D65" s="10"/>
      <c r="E65" s="10"/>
      <c r="F65" s="10"/>
    </row>
    <row r="66" spans="1:6" ht="12.75">
      <c r="A66" s="12"/>
      <c r="B66" s="12"/>
      <c r="C66" s="10"/>
      <c r="D66" s="10"/>
      <c r="E66" s="10"/>
      <c r="F66" s="10"/>
    </row>
    <row r="67" spans="1:6" ht="12.75">
      <c r="A67" s="12"/>
      <c r="B67" s="12"/>
      <c r="C67" s="10"/>
      <c r="D67" s="10"/>
      <c r="E67" s="10"/>
      <c r="F67" s="10"/>
    </row>
    <row r="68" spans="1:6" ht="12.75">
      <c r="A68" s="12"/>
      <c r="B68" s="12"/>
      <c r="C68" s="10"/>
      <c r="D68" s="10"/>
      <c r="E68" s="10"/>
      <c r="F68" s="10"/>
    </row>
    <row r="69" spans="1:6" ht="12.75">
      <c r="A69" s="12"/>
      <c r="B69" s="12"/>
      <c r="C69" s="10"/>
      <c r="D69" s="10"/>
      <c r="E69" s="10"/>
      <c r="F69" s="10"/>
    </row>
    <row r="70" spans="1:6" ht="12.75">
      <c r="A70" s="12"/>
      <c r="B70" s="12"/>
      <c r="C70" s="10"/>
      <c r="D70" s="10"/>
      <c r="E70" s="10"/>
      <c r="F70" s="10"/>
    </row>
    <row r="71" spans="1:6" ht="12.75">
      <c r="A71" s="12"/>
      <c r="B71" s="12"/>
      <c r="C71" s="10"/>
      <c r="D71" s="10"/>
      <c r="E71" s="10"/>
      <c r="F71" s="10"/>
    </row>
    <row r="72" spans="1:6" ht="12.75">
      <c r="A72" s="12"/>
      <c r="B72" s="12"/>
      <c r="C72" s="10"/>
      <c r="D72" s="10"/>
      <c r="E72" s="10"/>
      <c r="F72" s="10"/>
    </row>
    <row r="73" spans="1:6" ht="12.75">
      <c r="A73" s="12"/>
      <c r="B73" s="12"/>
      <c r="C73" s="10"/>
      <c r="D73" s="10"/>
      <c r="E73" s="10"/>
      <c r="F73" s="10"/>
    </row>
    <row r="74" spans="1:6" ht="12.75">
      <c r="A74" s="12"/>
      <c r="B74" s="12"/>
      <c r="C74" s="10"/>
      <c r="D74" s="10"/>
      <c r="E74" s="10"/>
      <c r="F74" s="10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">
      <selection activeCell="E50" sqref="E50"/>
    </sheetView>
  </sheetViews>
  <sheetFormatPr defaultColWidth="9.00390625" defaultRowHeight="12.75"/>
  <cols>
    <col min="1" max="1" width="58.75390625" style="3" customWidth="1"/>
    <col min="2" max="4" width="11.375" style="3" customWidth="1"/>
    <col min="5" max="5" width="1.25" style="3" customWidth="1"/>
    <col min="6" max="16384" width="9.125" style="3" customWidth="1"/>
  </cols>
  <sheetData>
    <row r="1" ht="15.75">
      <c r="A1" s="96" t="s">
        <v>292</v>
      </c>
    </row>
    <row r="2" ht="15.75">
      <c r="A2" s="96" t="s">
        <v>286</v>
      </c>
    </row>
    <row r="3" spans="1:4" ht="15.75">
      <c r="A3" s="386" t="s">
        <v>25</v>
      </c>
      <c r="B3" s="386"/>
      <c r="C3" s="386"/>
      <c r="D3" s="386"/>
    </row>
    <row r="4" spans="1:4" ht="15.75">
      <c r="A4" s="386" t="s">
        <v>170</v>
      </c>
      <c r="B4" s="386"/>
      <c r="C4" s="172"/>
      <c r="D4" s="172"/>
    </row>
    <row r="5" spans="1:4" s="9" customFormat="1" ht="21" customHeight="1" thickBot="1">
      <c r="A5" s="387" t="s">
        <v>26</v>
      </c>
      <c r="B5" s="387"/>
      <c r="C5" s="387"/>
      <c r="D5" s="387"/>
    </row>
    <row r="6" spans="1:4" s="9" customFormat="1" ht="42" customHeight="1" thickBot="1">
      <c r="A6" s="71" t="s">
        <v>27</v>
      </c>
      <c r="B6" s="67" t="s">
        <v>171</v>
      </c>
      <c r="C6" s="174" t="s">
        <v>225</v>
      </c>
      <c r="D6" s="174" t="s">
        <v>226</v>
      </c>
    </row>
    <row r="7" spans="1:5" s="9" customFormat="1" ht="12.75">
      <c r="A7" s="62" t="s">
        <v>131</v>
      </c>
      <c r="B7" s="70">
        <f>B8+B9</f>
        <v>981525</v>
      </c>
      <c r="C7" s="70">
        <f>C8+C9</f>
        <v>1034950</v>
      </c>
      <c r="D7" s="70">
        <f aca="true" t="shared" si="0" ref="D7:D26">C7-B7</f>
        <v>53425</v>
      </c>
      <c r="E7" s="18"/>
    </row>
    <row r="8" spans="1:4" s="9" customFormat="1" ht="12.75">
      <c r="A8" s="93" t="s">
        <v>128</v>
      </c>
      <c r="B8" s="83">
        <v>843598</v>
      </c>
      <c r="C8" s="83">
        <f>'3. melléklet '!AA7</f>
        <v>876812</v>
      </c>
      <c r="D8" s="83">
        <f t="shared" si="0"/>
        <v>33214</v>
      </c>
    </row>
    <row r="9" spans="1:4" s="9" customFormat="1" ht="12.75">
      <c r="A9" s="93" t="s">
        <v>129</v>
      </c>
      <c r="B9" s="83">
        <v>137927</v>
      </c>
      <c r="C9" s="83">
        <f>'3. melléklet '!AA8</f>
        <v>158138</v>
      </c>
      <c r="D9" s="83">
        <f t="shared" si="0"/>
        <v>20211</v>
      </c>
    </row>
    <row r="10" spans="1:4" s="9" customFormat="1" ht="12.75">
      <c r="A10" s="72" t="s">
        <v>80</v>
      </c>
      <c r="B10" s="20">
        <v>454978</v>
      </c>
      <c r="C10" s="20">
        <f>'3. melléklet '!AA9</f>
        <v>454978</v>
      </c>
      <c r="D10" s="20">
        <f t="shared" si="0"/>
        <v>0</v>
      </c>
    </row>
    <row r="11" spans="1:4" s="9" customFormat="1" ht="12.75">
      <c r="A11" s="72" t="s">
        <v>81</v>
      </c>
      <c r="B11" s="20">
        <v>212983</v>
      </c>
      <c r="C11" s="20">
        <f>'3. melléklet '!AA10</f>
        <v>221523</v>
      </c>
      <c r="D11" s="20">
        <f t="shared" si="0"/>
        <v>8540</v>
      </c>
    </row>
    <row r="12" spans="1:4" s="9" customFormat="1" ht="13.5" thickBot="1">
      <c r="A12" s="75" t="s">
        <v>83</v>
      </c>
      <c r="B12" s="74">
        <v>0</v>
      </c>
      <c r="C12" s="74">
        <f>'3. melléklet '!AA11</f>
        <v>0</v>
      </c>
      <c r="D12" s="74">
        <f t="shared" si="0"/>
        <v>0</v>
      </c>
    </row>
    <row r="13" spans="1:4" s="11" customFormat="1" ht="13.5" thickBot="1">
      <c r="A13" s="77" t="s">
        <v>113</v>
      </c>
      <c r="B13" s="22">
        <f>B7+B10+B11+B12</f>
        <v>1649486</v>
      </c>
      <c r="C13" s="22">
        <f>C7+C10+C11+C12</f>
        <v>1711451</v>
      </c>
      <c r="D13" s="22">
        <f t="shared" si="0"/>
        <v>61965</v>
      </c>
    </row>
    <row r="14" spans="1:4" s="9" customFormat="1" ht="12.75">
      <c r="A14" s="62" t="s">
        <v>95</v>
      </c>
      <c r="B14" s="19">
        <v>121533</v>
      </c>
      <c r="C14" s="19">
        <f>'3. melléklet '!AA13</f>
        <v>792644</v>
      </c>
      <c r="D14" s="19">
        <f t="shared" si="0"/>
        <v>671111</v>
      </c>
    </row>
    <row r="15" spans="1:4" s="9" customFormat="1" ht="12.75">
      <c r="A15" s="82" t="s">
        <v>110</v>
      </c>
      <c r="B15" s="89">
        <v>100000</v>
      </c>
      <c r="C15" s="89">
        <f>'3. melléklet '!AA14</f>
        <v>193000</v>
      </c>
      <c r="D15" s="89">
        <f t="shared" si="0"/>
        <v>93000</v>
      </c>
    </row>
    <row r="16" spans="1:4" s="9" customFormat="1" ht="12.75">
      <c r="A16" s="72" t="s">
        <v>82</v>
      </c>
      <c r="B16" s="20">
        <v>87248</v>
      </c>
      <c r="C16" s="20">
        <f>'3. melléklet '!AA15</f>
        <v>87248</v>
      </c>
      <c r="D16" s="20">
        <f t="shared" si="0"/>
        <v>0</v>
      </c>
    </row>
    <row r="17" spans="1:4" s="9" customFormat="1" ht="12.75">
      <c r="A17" s="72" t="s">
        <v>70</v>
      </c>
      <c r="B17" s="20">
        <f>SUM(B18:B19)</f>
        <v>13357</v>
      </c>
      <c r="C17" s="20">
        <f>SUM(C18:C19)</f>
        <v>13357</v>
      </c>
      <c r="D17" s="20">
        <f t="shared" si="0"/>
        <v>0</v>
      </c>
    </row>
    <row r="18" spans="1:4" s="9" customFormat="1" ht="25.5">
      <c r="A18" s="92" t="s">
        <v>111</v>
      </c>
      <c r="B18" s="83">
        <v>13357</v>
      </c>
      <c r="C18" s="83">
        <f>'3. melléklet '!AA17</f>
        <v>13357</v>
      </c>
      <c r="D18" s="83">
        <f t="shared" si="0"/>
        <v>0</v>
      </c>
    </row>
    <row r="19" spans="1:11" s="9" customFormat="1" ht="13.5" thickBot="1">
      <c r="A19" s="92" t="s">
        <v>130</v>
      </c>
      <c r="B19" s="88">
        <v>0</v>
      </c>
      <c r="C19" s="88">
        <f>'3. melléklet '!AA18</f>
        <v>0</v>
      </c>
      <c r="D19" s="88">
        <f t="shared" si="0"/>
        <v>0</v>
      </c>
      <c r="K19" s="9">
        <f>'3. melléklet '!AI18</f>
        <v>0</v>
      </c>
    </row>
    <row r="20" spans="1:4" s="11" customFormat="1" ht="14.25" customHeight="1" thickBot="1">
      <c r="A20" s="77" t="s">
        <v>114</v>
      </c>
      <c r="B20" s="22">
        <f>B17+B16+B14</f>
        <v>222138</v>
      </c>
      <c r="C20" s="22">
        <f>C17+C16+C14</f>
        <v>893249</v>
      </c>
      <c r="D20" s="22">
        <f t="shared" si="0"/>
        <v>671111</v>
      </c>
    </row>
    <row r="21" spans="1:4" s="11" customFormat="1" ht="15.75" customHeight="1" thickBot="1">
      <c r="A21" s="79" t="s">
        <v>112</v>
      </c>
      <c r="B21" s="78">
        <f>B20+B13</f>
        <v>1871624</v>
      </c>
      <c r="C21" s="78">
        <f>C20+C13</f>
        <v>2604700</v>
      </c>
      <c r="D21" s="78">
        <f t="shared" si="0"/>
        <v>733076</v>
      </c>
    </row>
    <row r="22" spans="1:4" s="9" customFormat="1" ht="12.75">
      <c r="A22" s="80" t="s">
        <v>79</v>
      </c>
      <c r="B22" s="70">
        <f>SUM(B23:B24)</f>
        <v>105275</v>
      </c>
      <c r="C22" s="70">
        <f>SUM(C23:C24)</f>
        <v>160247</v>
      </c>
      <c r="D22" s="70">
        <f t="shared" si="0"/>
        <v>54972</v>
      </c>
    </row>
    <row r="23" spans="1:4" s="9" customFormat="1" ht="12.75">
      <c r="A23" s="82" t="s">
        <v>115</v>
      </c>
      <c r="B23" s="83">
        <v>85000</v>
      </c>
      <c r="C23" s="83">
        <f>'3. melléklet '!AA22</f>
        <v>139972</v>
      </c>
      <c r="D23" s="83">
        <f t="shared" si="0"/>
        <v>54972</v>
      </c>
    </row>
    <row r="24" spans="1:4" s="9" customFormat="1" ht="13.5" thickBot="1">
      <c r="A24" s="86" t="s">
        <v>116</v>
      </c>
      <c r="B24" s="84">
        <v>20275</v>
      </c>
      <c r="C24" s="84">
        <f>'3. melléklet '!AA23</f>
        <v>20275</v>
      </c>
      <c r="D24" s="84">
        <f t="shared" si="0"/>
        <v>0</v>
      </c>
    </row>
    <row r="25" spans="1:4" s="11" customFormat="1" ht="15.75" customHeight="1" thickBot="1">
      <c r="A25" s="77" t="s">
        <v>117</v>
      </c>
      <c r="B25" s="22">
        <f>SUM(B22)</f>
        <v>105275</v>
      </c>
      <c r="C25" s="22">
        <f>SUM(C22)</f>
        <v>160247</v>
      </c>
      <c r="D25" s="22">
        <f t="shared" si="0"/>
        <v>54972</v>
      </c>
    </row>
    <row r="26" spans="1:4" s="11" customFormat="1" ht="15.75" customHeight="1" thickBot="1">
      <c r="A26" s="73" t="s">
        <v>28</v>
      </c>
      <c r="B26" s="23">
        <f>B13+B20+B22</f>
        <v>1976899</v>
      </c>
      <c r="C26" s="23">
        <f>C13+C20+C22</f>
        <v>2764947</v>
      </c>
      <c r="D26" s="23">
        <f t="shared" si="0"/>
        <v>788048</v>
      </c>
    </row>
    <row r="27" s="9" customFormat="1" ht="12.75"/>
    <row r="28" spans="1:4" s="9" customFormat="1" ht="13.5" thickBot="1">
      <c r="A28" s="387" t="s">
        <v>29</v>
      </c>
      <c r="B28" s="387"/>
      <c r="C28" s="387"/>
      <c r="D28" s="387"/>
    </row>
    <row r="29" spans="1:4" s="9" customFormat="1" ht="36" customHeight="1" thickBot="1">
      <c r="A29" s="66" t="s">
        <v>27</v>
      </c>
      <c r="B29" s="61" t="s">
        <v>171</v>
      </c>
      <c r="C29" s="174" t="s">
        <v>171</v>
      </c>
      <c r="D29" s="174" t="s">
        <v>226</v>
      </c>
    </row>
    <row r="30" spans="1:4" s="9" customFormat="1" ht="12.75">
      <c r="A30" s="62" t="s">
        <v>30</v>
      </c>
      <c r="B30" s="19">
        <v>434996</v>
      </c>
      <c r="C30" s="19">
        <f>'3. melléklet '!AA30</f>
        <v>461764</v>
      </c>
      <c r="D30" s="19">
        <f aca="true" t="shared" si="1" ref="D30:D49">C30-B30</f>
        <v>26768</v>
      </c>
    </row>
    <row r="31" spans="1:4" s="9" customFormat="1" ht="12.75">
      <c r="A31" s="72" t="s">
        <v>31</v>
      </c>
      <c r="B31" s="20">
        <v>104056</v>
      </c>
      <c r="C31" s="20">
        <f>'3. melléklet '!AA31</f>
        <v>108424</v>
      </c>
      <c r="D31" s="20">
        <f t="shared" si="1"/>
        <v>4368</v>
      </c>
    </row>
    <row r="32" spans="1:4" s="9" customFormat="1" ht="12.75">
      <c r="A32" s="72" t="s">
        <v>17</v>
      </c>
      <c r="B32" s="20">
        <v>744617</v>
      </c>
      <c r="C32" s="20">
        <f>'3. melléklet '!AA32</f>
        <v>788454</v>
      </c>
      <c r="D32" s="20">
        <f t="shared" si="1"/>
        <v>43837</v>
      </c>
    </row>
    <row r="33" spans="1:4" s="9" customFormat="1" ht="12.75">
      <c r="A33" s="72" t="s">
        <v>32</v>
      </c>
      <c r="B33" s="20">
        <v>26800</v>
      </c>
      <c r="C33" s="20">
        <f>'3. melléklet '!AA33</f>
        <v>26800</v>
      </c>
      <c r="D33" s="20">
        <f t="shared" si="1"/>
        <v>0</v>
      </c>
    </row>
    <row r="34" spans="1:5" s="9" customFormat="1" ht="12.75">
      <c r="A34" s="72" t="s">
        <v>132</v>
      </c>
      <c r="B34" s="20">
        <f>SUM(B35:B38)</f>
        <v>394949</v>
      </c>
      <c r="C34" s="20">
        <f>SUM(C35:C38)</f>
        <v>416972</v>
      </c>
      <c r="D34" s="20">
        <f t="shared" si="1"/>
        <v>22023</v>
      </c>
      <c r="E34" s="26"/>
    </row>
    <row r="35" spans="1:5" s="9" customFormat="1" ht="12.75">
      <c r="A35" s="82" t="s">
        <v>118</v>
      </c>
      <c r="B35" s="83">
        <v>0</v>
      </c>
      <c r="C35" s="83">
        <f>'3. melléklet '!AA35</f>
        <v>485</v>
      </c>
      <c r="D35" s="83">
        <f t="shared" si="1"/>
        <v>485</v>
      </c>
      <c r="E35" s="26"/>
    </row>
    <row r="36" spans="1:5" s="9" customFormat="1" ht="12.75">
      <c r="A36" s="82" t="s">
        <v>120</v>
      </c>
      <c r="B36" s="83">
        <v>316206</v>
      </c>
      <c r="C36" s="83">
        <f>'3. melléklet '!AA36</f>
        <v>321783</v>
      </c>
      <c r="D36" s="83">
        <f t="shared" si="1"/>
        <v>5577</v>
      </c>
      <c r="E36" s="26"/>
    </row>
    <row r="37" spans="1:4" s="9" customFormat="1" ht="12.75">
      <c r="A37" s="82" t="s">
        <v>119</v>
      </c>
      <c r="B37" s="83">
        <v>43579</v>
      </c>
      <c r="C37" s="83">
        <f>'3. melléklet '!AA37</f>
        <v>42987</v>
      </c>
      <c r="D37" s="83">
        <f t="shared" si="1"/>
        <v>-592</v>
      </c>
    </row>
    <row r="38" spans="1:4" s="9" customFormat="1" ht="13.5" thickBot="1">
      <c r="A38" s="82" t="s">
        <v>133</v>
      </c>
      <c r="B38" s="21">
        <v>35164</v>
      </c>
      <c r="C38" s="21">
        <f>'3. melléklet '!AA38</f>
        <v>51717</v>
      </c>
      <c r="D38" s="21">
        <f t="shared" si="1"/>
        <v>16553</v>
      </c>
    </row>
    <row r="39" spans="1:5" s="9" customFormat="1" ht="13.5" thickBot="1">
      <c r="A39" s="77" t="s">
        <v>124</v>
      </c>
      <c r="B39" s="22">
        <f>B30+B31+B32+B33+B34</f>
        <v>1705418</v>
      </c>
      <c r="C39" s="22">
        <f>C30+C31+C32+C33+C34</f>
        <v>1802414</v>
      </c>
      <c r="D39" s="22">
        <f t="shared" si="1"/>
        <v>96996</v>
      </c>
      <c r="E39" s="26"/>
    </row>
    <row r="40" spans="1:4" s="9" customFormat="1" ht="12.75">
      <c r="A40" s="62" t="s">
        <v>69</v>
      </c>
      <c r="B40" s="20">
        <v>160180</v>
      </c>
      <c r="C40" s="20">
        <f>'3. melléklet '!AA40</f>
        <v>600034</v>
      </c>
      <c r="D40" s="20">
        <f t="shared" si="1"/>
        <v>439854</v>
      </c>
    </row>
    <row r="41" spans="1:4" s="9" customFormat="1" ht="12.75">
      <c r="A41" s="81" t="s">
        <v>19</v>
      </c>
      <c r="B41" s="19">
        <v>73253</v>
      </c>
      <c r="C41" s="19">
        <f>'3. melléklet '!AA41</f>
        <v>312602</v>
      </c>
      <c r="D41" s="19">
        <f t="shared" si="1"/>
        <v>239349</v>
      </c>
    </row>
    <row r="42" spans="1:4" s="9" customFormat="1" ht="12.75">
      <c r="A42" s="72" t="s">
        <v>101</v>
      </c>
      <c r="B42" s="20">
        <f>SUM(B43:B45)</f>
        <v>8980</v>
      </c>
      <c r="C42" s="20">
        <f>SUM(C43:C45)</f>
        <v>20829</v>
      </c>
      <c r="D42" s="20">
        <f t="shared" si="1"/>
        <v>11849</v>
      </c>
    </row>
    <row r="43" spans="1:4" s="9" customFormat="1" ht="12.75">
      <c r="A43" s="82" t="s">
        <v>121</v>
      </c>
      <c r="B43" s="83">
        <v>1358</v>
      </c>
      <c r="C43" s="83">
        <f>'3. melléklet '!AA43</f>
        <v>1358</v>
      </c>
      <c r="D43" s="83">
        <f t="shared" si="1"/>
        <v>0</v>
      </c>
    </row>
    <row r="44" spans="1:4" s="9" customFormat="1" ht="12.75">
      <c r="A44" s="82" t="s">
        <v>122</v>
      </c>
      <c r="B44" s="83">
        <v>5992</v>
      </c>
      <c r="C44" s="83">
        <f>'3. melléklet '!AA44</f>
        <v>5992</v>
      </c>
      <c r="D44" s="83">
        <f t="shared" si="1"/>
        <v>0</v>
      </c>
    </row>
    <row r="45" spans="1:4" s="9" customFormat="1" ht="13.5" thickBot="1">
      <c r="A45" s="82" t="s">
        <v>123</v>
      </c>
      <c r="B45" s="84">
        <v>1630</v>
      </c>
      <c r="C45" s="84">
        <f>'3. melléklet '!AA45</f>
        <v>13479</v>
      </c>
      <c r="D45" s="84">
        <f t="shared" si="1"/>
        <v>11849</v>
      </c>
    </row>
    <row r="46" spans="1:4" s="9" customFormat="1" ht="13.5" thickBot="1">
      <c r="A46" s="77" t="s">
        <v>125</v>
      </c>
      <c r="B46" s="22">
        <f>B40+B41+B42</f>
        <v>242413</v>
      </c>
      <c r="C46" s="22">
        <f>C40+C41+C42</f>
        <v>933465</v>
      </c>
      <c r="D46" s="22">
        <f t="shared" si="1"/>
        <v>691052</v>
      </c>
    </row>
    <row r="47" spans="1:4" s="11" customFormat="1" ht="15.75" customHeight="1" thickBot="1">
      <c r="A47" s="79" t="s">
        <v>126</v>
      </c>
      <c r="B47" s="78">
        <f>B46+B39</f>
        <v>1947831</v>
      </c>
      <c r="C47" s="78">
        <f>C46+C39</f>
        <v>2735879</v>
      </c>
      <c r="D47" s="78">
        <f t="shared" si="1"/>
        <v>788048</v>
      </c>
    </row>
    <row r="48" spans="1:4" s="9" customFormat="1" ht="15.75" customHeight="1" thickBot="1">
      <c r="A48" s="91" t="s">
        <v>127</v>
      </c>
      <c r="B48" s="90">
        <v>29068</v>
      </c>
      <c r="C48" s="90">
        <f>'3. melléklet '!AA48</f>
        <v>29068</v>
      </c>
      <c r="D48" s="90">
        <f t="shared" si="1"/>
        <v>0</v>
      </c>
    </row>
    <row r="49" spans="1:5" s="11" customFormat="1" ht="15.75" customHeight="1" thickBot="1">
      <c r="A49" s="73" t="s">
        <v>33</v>
      </c>
      <c r="B49" s="23">
        <f>B48+B47</f>
        <v>1976899</v>
      </c>
      <c r="C49" s="23">
        <f>C48+C47</f>
        <v>2764947</v>
      </c>
      <c r="D49" s="23">
        <f t="shared" si="1"/>
        <v>788048</v>
      </c>
      <c r="E49" s="11" t="s">
        <v>285</v>
      </c>
    </row>
    <row r="52" spans="1:4" ht="15.75">
      <c r="A52" s="4"/>
      <c r="B52" s="4"/>
      <c r="C52" s="4"/>
      <c r="D52" s="4"/>
    </row>
  </sheetData>
  <sheetProtection/>
  <mergeCells count="4">
    <mergeCell ref="A4:B4"/>
    <mergeCell ref="A3:D3"/>
    <mergeCell ref="A5:D5"/>
    <mergeCell ref="A28:D28"/>
  </mergeCells>
  <printOptions/>
  <pageMargins left="0.5118110236220472" right="0.5118110236220472" top="0.4724409448818898" bottom="0.5118110236220472" header="0.5118110236220472" footer="0.5118110236220472"/>
  <pageSetup horizontalDpi="360" verticalDpi="36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zoomScalePageLayoutView="0" workbookViewId="0" topLeftCell="A1">
      <selection activeCell="E50" sqref="E50"/>
    </sheetView>
  </sheetViews>
  <sheetFormatPr defaultColWidth="9.00390625" defaultRowHeight="12.75"/>
  <cols>
    <col min="1" max="1" width="2.875" style="33" customWidth="1"/>
    <col min="2" max="2" width="87.75390625" style="33" customWidth="1"/>
    <col min="3" max="3" width="13.75390625" style="32" customWidth="1"/>
    <col min="4" max="4" width="14.25390625" style="32" bestFit="1" customWidth="1"/>
    <col min="5" max="5" width="12.375" style="32" bestFit="1" customWidth="1"/>
    <col min="6" max="6" width="1.00390625" style="33" customWidth="1"/>
    <col min="7" max="16384" width="9.125" style="33" customWidth="1"/>
  </cols>
  <sheetData>
    <row r="1" spans="1:5" s="30" customFormat="1" ht="15" customHeight="1">
      <c r="A1" s="31"/>
      <c r="B1" s="96" t="s">
        <v>293</v>
      </c>
      <c r="C1" s="29"/>
      <c r="D1" s="29"/>
      <c r="E1" s="29"/>
    </row>
    <row r="2" spans="1:5" s="30" customFormat="1" ht="15" customHeight="1">
      <c r="A2" s="31"/>
      <c r="B2" s="96" t="s">
        <v>287</v>
      </c>
      <c r="C2" s="29"/>
      <c r="D2" s="29"/>
      <c r="E2" s="29"/>
    </row>
    <row r="3" spans="1:5" ht="15.75">
      <c r="A3" s="389" t="s">
        <v>221</v>
      </c>
      <c r="B3" s="389"/>
      <c r="C3" s="389"/>
      <c r="D3" s="389"/>
      <c r="E3" s="389"/>
    </row>
    <row r="4" spans="2:5" s="34" customFormat="1" ht="34.5">
      <c r="B4" s="34" t="s">
        <v>0</v>
      </c>
      <c r="C4" s="35" t="s">
        <v>172</v>
      </c>
      <c r="D4" s="35" t="s">
        <v>227</v>
      </c>
      <c r="E4" s="35" t="s">
        <v>228</v>
      </c>
    </row>
    <row r="5" spans="1:6" s="37" customFormat="1" ht="12.75">
      <c r="A5" s="56" t="s">
        <v>180</v>
      </c>
      <c r="B5" s="56"/>
      <c r="C5" s="56"/>
      <c r="D5" s="56"/>
      <c r="E5" s="56"/>
      <c r="F5" s="56"/>
    </row>
    <row r="6" spans="2:5" s="39" customFormat="1" ht="12.75" customHeight="1">
      <c r="B6" s="40" t="s">
        <v>47</v>
      </c>
      <c r="C6" s="41">
        <f>C7+C8+C13+C16+C14+C15+C17</f>
        <v>264514676</v>
      </c>
      <c r="D6" s="41">
        <f>D7+D8+D13+D16+D14+D15+D17</f>
        <v>265335096</v>
      </c>
      <c r="E6" s="41">
        <f aca="true" t="shared" si="0" ref="E6:E28">D6-C6</f>
        <v>820420</v>
      </c>
    </row>
    <row r="7" spans="2:5" ht="12.75" customHeight="1">
      <c r="B7" s="42" t="s">
        <v>41</v>
      </c>
      <c r="C7" s="32">
        <v>160345800</v>
      </c>
      <c r="D7" s="32">
        <v>160345800</v>
      </c>
      <c r="E7" s="32">
        <f t="shared" si="0"/>
        <v>0</v>
      </c>
    </row>
    <row r="8" spans="2:5" ht="12.75" customHeight="1">
      <c r="B8" s="43" t="s">
        <v>42</v>
      </c>
      <c r="C8" s="32">
        <f>C9+C10+C11+C12</f>
        <v>83150252</v>
      </c>
      <c r="D8" s="32">
        <f>D9+D10+D11+D12</f>
        <v>83150252</v>
      </c>
      <c r="E8" s="32">
        <f t="shared" si="0"/>
        <v>0</v>
      </c>
    </row>
    <row r="9" spans="2:5" ht="12.75" customHeight="1">
      <c r="B9" s="44" t="s">
        <v>67</v>
      </c>
      <c r="C9" s="32">
        <v>13531640</v>
      </c>
      <c r="D9" s="32">
        <v>13531640</v>
      </c>
      <c r="E9" s="32">
        <f t="shared" si="0"/>
        <v>0</v>
      </c>
    </row>
    <row r="10" spans="2:5" ht="12.75" customHeight="1">
      <c r="B10" s="45" t="s">
        <v>66</v>
      </c>
      <c r="C10" s="32">
        <v>45280000</v>
      </c>
      <c r="D10" s="32">
        <v>45280000</v>
      </c>
      <c r="E10" s="32">
        <f t="shared" si="0"/>
        <v>0</v>
      </c>
    </row>
    <row r="11" spans="2:5" ht="12.75" customHeight="1">
      <c r="B11" s="45" t="s">
        <v>65</v>
      </c>
      <c r="C11" s="32">
        <v>3588312</v>
      </c>
      <c r="D11" s="32">
        <v>3588312</v>
      </c>
      <c r="E11" s="32">
        <f t="shared" si="0"/>
        <v>0</v>
      </c>
    </row>
    <row r="12" spans="2:5" ht="12.75" customHeight="1">
      <c r="B12" s="45" t="s">
        <v>86</v>
      </c>
      <c r="C12" s="32">
        <v>20750300</v>
      </c>
      <c r="D12" s="32">
        <v>20750300</v>
      </c>
      <c r="E12" s="32">
        <f t="shared" si="0"/>
        <v>0</v>
      </c>
    </row>
    <row r="13" spans="2:5" ht="12.75" customHeight="1">
      <c r="B13" s="42" t="s">
        <v>87</v>
      </c>
      <c r="C13" s="32">
        <v>7998574</v>
      </c>
      <c r="D13" s="32">
        <v>7998574</v>
      </c>
      <c r="E13" s="32">
        <f t="shared" si="0"/>
        <v>0</v>
      </c>
    </row>
    <row r="14" spans="2:5" ht="12.75" customHeight="1">
      <c r="B14" s="42" t="s">
        <v>88</v>
      </c>
      <c r="C14" s="32">
        <v>334050</v>
      </c>
      <c r="D14" s="32">
        <v>334050</v>
      </c>
      <c r="E14" s="32">
        <f t="shared" si="0"/>
        <v>0</v>
      </c>
    </row>
    <row r="15" spans="2:5" ht="12.75" customHeight="1">
      <c r="B15" s="42" t="s">
        <v>89</v>
      </c>
      <c r="C15" s="32">
        <v>12606000</v>
      </c>
      <c r="D15" s="32">
        <v>12606000</v>
      </c>
      <c r="E15" s="32">
        <f t="shared" si="0"/>
        <v>0</v>
      </c>
    </row>
    <row r="16" spans="2:5" ht="12.75" customHeight="1">
      <c r="B16" s="42" t="s">
        <v>60</v>
      </c>
      <c r="C16" s="32">
        <v>80000</v>
      </c>
      <c r="D16" s="32">
        <v>80000</v>
      </c>
      <c r="E16" s="32">
        <f t="shared" si="0"/>
        <v>0</v>
      </c>
    </row>
    <row r="17" spans="2:5" ht="12.75" customHeight="1">
      <c r="B17" s="42" t="s">
        <v>232</v>
      </c>
      <c r="D17" s="32">
        <v>820420</v>
      </c>
      <c r="E17" s="32">
        <f t="shared" si="0"/>
        <v>820420</v>
      </c>
    </row>
    <row r="18" spans="2:5" ht="12.75" customHeight="1">
      <c r="B18" s="46" t="s">
        <v>48</v>
      </c>
      <c r="C18" s="47">
        <f>C19+C20+C21</f>
        <v>250974620</v>
      </c>
      <c r="D18" s="47">
        <f>D19+D20+D21</f>
        <v>259703887</v>
      </c>
      <c r="E18" s="47">
        <f t="shared" si="0"/>
        <v>8729267</v>
      </c>
    </row>
    <row r="19" spans="2:5" ht="12.75" customHeight="1">
      <c r="B19" s="48" t="s">
        <v>90</v>
      </c>
      <c r="C19" s="32">
        <f>112343487+55426760+1421040+30000000+15000000</f>
        <v>214191287</v>
      </c>
      <c r="D19" s="32">
        <f>112343487+55426760+1421040+30000000+15000000+5004545</f>
        <v>219195832</v>
      </c>
      <c r="E19" s="32">
        <f t="shared" si="0"/>
        <v>5004545</v>
      </c>
    </row>
    <row r="20" spans="2:5" ht="12.75" customHeight="1">
      <c r="B20" s="49" t="s">
        <v>58</v>
      </c>
      <c r="C20" s="32">
        <f>22549200+11301833</f>
        <v>33851033</v>
      </c>
      <c r="D20" s="32">
        <f>22549200+11301833</f>
        <v>33851033</v>
      </c>
      <c r="E20" s="32">
        <f t="shared" si="0"/>
        <v>0</v>
      </c>
    </row>
    <row r="21" spans="2:5" ht="12.75" customHeight="1">
      <c r="B21" s="42" t="s">
        <v>173</v>
      </c>
      <c r="C21" s="32">
        <v>2932300</v>
      </c>
      <c r="D21" s="32">
        <f>2932300+3724722</f>
        <v>6657022</v>
      </c>
      <c r="E21" s="32">
        <f t="shared" si="0"/>
        <v>3724722</v>
      </c>
    </row>
    <row r="22" spans="2:5" ht="12.75" customHeight="1">
      <c r="B22" s="46" t="s">
        <v>49</v>
      </c>
      <c r="C22" s="47">
        <f>SUM(C23:C30)</f>
        <v>287390401</v>
      </c>
      <c r="D22" s="47">
        <f>SUM(D23:D30)</f>
        <v>298514709</v>
      </c>
      <c r="E22" s="47">
        <f t="shared" si="0"/>
        <v>11124308</v>
      </c>
    </row>
    <row r="23" spans="2:5" ht="12.75" customHeight="1">
      <c r="B23" s="42" t="s">
        <v>234</v>
      </c>
      <c r="C23" s="32">
        <v>0</v>
      </c>
      <c r="D23" s="32">
        <v>10544914</v>
      </c>
      <c r="E23" s="32">
        <f t="shared" si="0"/>
        <v>10544914</v>
      </c>
    </row>
    <row r="24" spans="2:5" ht="12.75" customHeight="1">
      <c r="B24" s="42" t="s">
        <v>91</v>
      </c>
      <c r="C24" s="32">
        <v>68267000</v>
      </c>
      <c r="D24" s="32">
        <v>68267000</v>
      </c>
      <c r="E24" s="32">
        <f t="shared" si="0"/>
        <v>0</v>
      </c>
    </row>
    <row r="25" spans="2:5" ht="12.75" customHeight="1">
      <c r="B25" s="42" t="s">
        <v>92</v>
      </c>
      <c r="C25" s="32">
        <f>12000000+10500000+5148480+3570000+6431000+8862300+9387900+11708750</f>
        <v>67608430</v>
      </c>
      <c r="D25" s="32">
        <f>12000000+10500000+5148480+3570000+6431000+8862300+9387900+11708750</f>
        <v>67608430</v>
      </c>
      <c r="E25" s="32">
        <f t="shared" si="0"/>
        <v>0</v>
      </c>
    </row>
    <row r="26" spans="2:5" ht="26.25" customHeight="1">
      <c r="B26" s="42" t="s">
        <v>93</v>
      </c>
      <c r="C26" s="32">
        <f>20848320+1913000</f>
        <v>22761320</v>
      </c>
      <c r="D26" s="32">
        <f>20848320+1913000</f>
        <v>22761320</v>
      </c>
      <c r="E26" s="32">
        <f t="shared" si="0"/>
        <v>0</v>
      </c>
    </row>
    <row r="27" spans="2:5" ht="12.75" customHeight="1">
      <c r="B27" s="42" t="s">
        <v>62</v>
      </c>
      <c r="C27" s="32">
        <v>48682560</v>
      </c>
      <c r="D27" s="32">
        <v>48682560</v>
      </c>
      <c r="E27" s="32">
        <f t="shared" si="0"/>
        <v>0</v>
      </c>
    </row>
    <row r="28" spans="2:5" ht="12.75" customHeight="1">
      <c r="B28" s="42" t="s">
        <v>61</v>
      </c>
      <c r="C28" s="32">
        <v>77053571</v>
      </c>
      <c r="D28" s="32">
        <v>77053571</v>
      </c>
      <c r="E28" s="32">
        <f t="shared" si="0"/>
        <v>0</v>
      </c>
    </row>
    <row r="29" spans="2:4" ht="12.75" customHeight="1">
      <c r="B29" s="42" t="s">
        <v>168</v>
      </c>
      <c r="C29" s="32">
        <v>3017520</v>
      </c>
      <c r="D29" s="32">
        <v>3017520</v>
      </c>
    </row>
    <row r="30" spans="2:5" ht="12.75" customHeight="1">
      <c r="B30" s="42" t="s">
        <v>233</v>
      </c>
      <c r="D30" s="32">
        <v>579394</v>
      </c>
      <c r="E30" s="32">
        <f aca="true" t="shared" si="1" ref="E30:E37">D30-C30</f>
        <v>579394</v>
      </c>
    </row>
    <row r="31" spans="2:5" ht="12.75" customHeight="1">
      <c r="B31" s="46" t="s">
        <v>63</v>
      </c>
      <c r="C31" s="47">
        <f>SUM(C32:C35)</f>
        <v>40718300</v>
      </c>
      <c r="D31" s="47">
        <f>SUM(D32:D35)</f>
        <v>45082253</v>
      </c>
      <c r="E31" s="47">
        <f t="shared" si="1"/>
        <v>4363953</v>
      </c>
    </row>
    <row r="32" spans="2:5" ht="12.75" customHeight="1">
      <c r="B32" s="42" t="s">
        <v>68</v>
      </c>
      <c r="C32" s="32">
        <v>12990300</v>
      </c>
      <c r="D32" s="32">
        <v>12990300</v>
      </c>
      <c r="E32" s="32">
        <f t="shared" si="1"/>
        <v>0</v>
      </c>
    </row>
    <row r="33" spans="2:5" ht="12.75" customHeight="1">
      <c r="B33" s="42" t="s">
        <v>50</v>
      </c>
      <c r="C33" s="32">
        <v>27728000</v>
      </c>
      <c r="D33" s="32">
        <v>27728000</v>
      </c>
      <c r="E33" s="32">
        <f t="shared" si="1"/>
        <v>0</v>
      </c>
    </row>
    <row r="34" spans="2:5" ht="12.75" customHeight="1">
      <c r="B34" s="42" t="s">
        <v>235</v>
      </c>
      <c r="D34" s="32">
        <v>1243946</v>
      </c>
      <c r="E34" s="32">
        <f t="shared" si="1"/>
        <v>1243946</v>
      </c>
    </row>
    <row r="35" spans="2:5" ht="12.75" customHeight="1">
      <c r="B35" s="42" t="s">
        <v>236</v>
      </c>
      <c r="D35" s="32">
        <v>3120007</v>
      </c>
      <c r="E35" s="32">
        <f t="shared" si="1"/>
        <v>3120007</v>
      </c>
    </row>
    <row r="36" spans="2:5" ht="12.75" customHeight="1">
      <c r="B36" s="46" t="s">
        <v>59</v>
      </c>
      <c r="C36" s="47">
        <v>-22767926</v>
      </c>
      <c r="D36" s="47">
        <v>-22767926</v>
      </c>
      <c r="E36" s="47">
        <f t="shared" si="1"/>
        <v>0</v>
      </c>
    </row>
    <row r="37" spans="2:5" s="54" customFormat="1" ht="16.5" customHeight="1">
      <c r="B37" s="57" t="s">
        <v>43</v>
      </c>
      <c r="C37" s="58">
        <f>C6+C18+C22+C31</f>
        <v>843597997</v>
      </c>
      <c r="D37" s="58">
        <f>D6+D18+D22+D31</f>
        <v>868635945</v>
      </c>
      <c r="E37" s="58">
        <f t="shared" si="1"/>
        <v>25037948</v>
      </c>
    </row>
    <row r="38" spans="1:6" ht="17.25" customHeight="1">
      <c r="A38" s="388"/>
      <c r="B38" s="388"/>
      <c r="C38" s="388"/>
      <c r="D38" s="388"/>
      <c r="E38" s="388"/>
      <c r="F38" s="388"/>
    </row>
    <row r="39" spans="1:6" ht="17.25" customHeight="1">
      <c r="A39" s="63"/>
      <c r="B39" s="63"/>
      <c r="C39" s="63"/>
      <c r="D39" s="63"/>
      <c r="E39" s="63"/>
      <c r="F39" s="63"/>
    </row>
    <row r="40" spans="1:6" s="55" customFormat="1" ht="17.25" customHeight="1">
      <c r="A40" s="56" t="s">
        <v>242</v>
      </c>
      <c r="B40" s="50"/>
      <c r="C40" s="307">
        <f>SUM(C42:C45)</f>
        <v>0</v>
      </c>
      <c r="D40" s="307">
        <f>D41</f>
        <v>8176436</v>
      </c>
      <c r="E40" s="307">
        <f>E41</f>
        <v>8176436</v>
      </c>
      <c r="F40" s="50"/>
    </row>
    <row r="41" spans="2:5" s="39" customFormat="1" ht="12.75" customHeight="1">
      <c r="B41" s="40" t="s">
        <v>244</v>
      </c>
      <c r="C41" s="41">
        <f>C42+C43+C48+C59+C57+C58+C60</f>
        <v>0</v>
      </c>
      <c r="D41" s="41">
        <f>SUM(D42:D45)</f>
        <v>8176436</v>
      </c>
      <c r="E41" s="41">
        <f>D41-C41</f>
        <v>8176436</v>
      </c>
    </row>
    <row r="42" spans="1:6" s="55" customFormat="1" ht="15">
      <c r="A42" s="56"/>
      <c r="B42" s="42" t="s">
        <v>237</v>
      </c>
      <c r="C42" s="32"/>
      <c r="D42" s="32">
        <v>3481879</v>
      </c>
      <c r="E42" s="32">
        <f>D42-C42</f>
        <v>3481879</v>
      </c>
      <c r="F42" s="50"/>
    </row>
    <row r="43" spans="1:6" s="55" customFormat="1" ht="15">
      <c r="A43" s="56"/>
      <c r="B43" s="42" t="s">
        <v>238</v>
      </c>
      <c r="C43" s="32"/>
      <c r="D43" s="32">
        <v>553207</v>
      </c>
      <c r="E43" s="32">
        <f>D43-C43</f>
        <v>553207</v>
      </c>
      <c r="F43" s="50"/>
    </row>
    <row r="44" spans="1:6" s="55" customFormat="1" ht="15">
      <c r="A44" s="56"/>
      <c r="B44" s="42" t="s">
        <v>239</v>
      </c>
      <c r="C44" s="32"/>
      <c r="D44" s="32">
        <v>3200000</v>
      </c>
      <c r="E44" s="32">
        <f>D44-C44</f>
        <v>3200000</v>
      </c>
      <c r="F44" s="50"/>
    </row>
    <row r="45" spans="1:6" s="55" customFormat="1" ht="15">
      <c r="A45" s="56"/>
      <c r="B45" s="42" t="s">
        <v>240</v>
      </c>
      <c r="C45" s="307"/>
      <c r="D45" s="32">
        <v>941350</v>
      </c>
      <c r="E45" s="32">
        <f>D45-C45</f>
        <v>941350</v>
      </c>
      <c r="F45" s="50"/>
    </row>
    <row r="46" spans="1:6" ht="14.25">
      <c r="A46" s="50"/>
      <c r="B46" s="50"/>
      <c r="C46" s="50"/>
      <c r="D46" s="50"/>
      <c r="E46" s="50"/>
      <c r="F46" s="50"/>
    </row>
    <row r="47" spans="1:5" s="36" customFormat="1" ht="31.5">
      <c r="A47" s="59"/>
      <c r="B47" s="379" t="s">
        <v>241</v>
      </c>
      <c r="C47" s="60">
        <f>C40+C37</f>
        <v>843597997</v>
      </c>
      <c r="D47" s="60">
        <f>D40+D37</f>
        <v>876812381</v>
      </c>
      <c r="E47" s="60">
        <f>E40+E37</f>
        <v>33214384</v>
      </c>
    </row>
    <row r="48" ht="33.75" customHeight="1"/>
    <row r="49" spans="1:6" s="55" customFormat="1" ht="17.25" customHeight="1">
      <c r="A49" s="56" t="s">
        <v>242</v>
      </c>
      <c r="B49" s="50"/>
      <c r="C49" s="307">
        <f>SUM(C50)</f>
        <v>100000000</v>
      </c>
      <c r="D49" s="307">
        <f>SUM(D50)</f>
        <v>193000000</v>
      </c>
      <c r="E49" s="307">
        <f>E50</f>
        <v>93000000</v>
      </c>
      <c r="F49" s="50"/>
    </row>
    <row r="50" spans="2:5" s="39" customFormat="1" ht="12.75" customHeight="1">
      <c r="B50" s="40" t="s">
        <v>243</v>
      </c>
      <c r="C50" s="41">
        <f>SUM(C51:C52)</f>
        <v>100000000</v>
      </c>
      <c r="D50" s="41">
        <f>SUM(D51:D52)</f>
        <v>193000000</v>
      </c>
      <c r="E50" s="41">
        <f>D50-C50</f>
        <v>93000000</v>
      </c>
    </row>
    <row r="51" spans="1:6" s="55" customFormat="1" ht="15">
      <c r="A51" s="56"/>
      <c r="B51" s="42" t="s">
        <v>245</v>
      </c>
      <c r="C51" s="32">
        <v>100000000</v>
      </c>
      <c r="D51" s="32">
        <v>100000000</v>
      </c>
      <c r="E51" s="32">
        <f>D51-C51</f>
        <v>0</v>
      </c>
      <c r="F51" s="50"/>
    </row>
    <row r="52" spans="1:6" s="55" customFormat="1" ht="15">
      <c r="A52" s="56"/>
      <c r="B52" s="42" t="s">
        <v>247</v>
      </c>
      <c r="C52" s="32">
        <v>0</v>
      </c>
      <c r="D52" s="32">
        <v>93000000</v>
      </c>
      <c r="E52" s="32">
        <f>D52-C52</f>
        <v>93000000</v>
      </c>
      <c r="F52" s="50"/>
    </row>
    <row r="53" spans="1:6" s="55" customFormat="1" ht="15">
      <c r="A53" s="56"/>
      <c r="B53" s="42"/>
      <c r="C53" s="32"/>
      <c r="D53" s="32"/>
      <c r="E53" s="32"/>
      <c r="F53" s="50"/>
    </row>
    <row r="54" spans="1:5" s="36" customFormat="1" ht="18" customHeight="1">
      <c r="A54" s="59"/>
      <c r="B54" s="59" t="s">
        <v>246</v>
      </c>
      <c r="C54" s="60">
        <f>C49</f>
        <v>100000000</v>
      </c>
      <c r="D54" s="60">
        <f>D49</f>
        <v>193000000</v>
      </c>
      <c r="E54" s="60">
        <f>E49</f>
        <v>93000000</v>
      </c>
    </row>
    <row r="55" spans="1:6" s="55" customFormat="1" ht="15">
      <c r="A55" s="56"/>
      <c r="B55" s="42"/>
      <c r="C55" s="32"/>
      <c r="D55" s="32"/>
      <c r="E55" s="32"/>
      <c r="F55" s="50"/>
    </row>
    <row r="56" spans="1:6" s="55" customFormat="1" ht="15">
      <c r="A56" s="56"/>
      <c r="B56" s="42"/>
      <c r="C56" s="307">
        <f>C54+C47</f>
        <v>943597997</v>
      </c>
      <c r="D56" s="307">
        <f>D54+D47</f>
        <v>1069812381</v>
      </c>
      <c r="E56" s="307">
        <f>E54+E47</f>
        <v>126214384</v>
      </c>
      <c r="F56" s="50" t="s">
        <v>285</v>
      </c>
    </row>
    <row r="57" ht="12.75" customHeight="1">
      <c r="B57" s="51"/>
    </row>
    <row r="58" spans="2:5" s="37" customFormat="1" ht="12.75" customHeight="1">
      <c r="B58" s="52"/>
      <c r="C58" s="38"/>
      <c r="D58" s="38"/>
      <c r="E58" s="38"/>
    </row>
    <row r="59" spans="2:5" s="37" customFormat="1" ht="12.75" customHeight="1">
      <c r="B59" s="53"/>
      <c r="C59" s="38"/>
      <c r="D59" s="38"/>
      <c r="E59" s="38"/>
    </row>
    <row r="60" spans="2:5" s="37" customFormat="1" ht="12.75" customHeight="1">
      <c r="B60" s="52"/>
      <c r="C60" s="38"/>
      <c r="D60" s="38"/>
      <c r="E60" s="38"/>
    </row>
    <row r="61" ht="12.75" customHeight="1"/>
  </sheetData>
  <sheetProtection/>
  <mergeCells count="2">
    <mergeCell ref="A38:F38"/>
    <mergeCell ref="A3:E3"/>
  </mergeCells>
  <printOptions/>
  <pageMargins left="0.984251968503937" right="0.3937007874015748" top="0.4724409448818898" bottom="0.472440944881889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5"/>
  <sheetViews>
    <sheetView zoomScaleSheetLayoutView="100" zoomScalePageLayoutView="0" workbookViewId="0" topLeftCell="A1">
      <pane xSplit="1" ySplit="4" topLeftCell="Z5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ColWidth="9.00390625" defaultRowHeight="12.75"/>
  <cols>
    <col min="1" max="1" width="48.00390625" style="3" customWidth="1"/>
    <col min="2" max="16" width="15.125" style="3" customWidth="1"/>
    <col min="17" max="17" width="15.125" style="101" customWidth="1"/>
    <col min="18" max="22" width="15.125" style="3" customWidth="1"/>
    <col min="23" max="23" width="15.125" style="99" customWidth="1"/>
    <col min="24" max="25" width="15.125" style="3" customWidth="1"/>
    <col min="26" max="26" width="13.375" style="3" customWidth="1"/>
    <col min="27" max="27" width="15.375" style="3" customWidth="1"/>
    <col min="28" max="28" width="13.625" style="3" customWidth="1"/>
    <col min="29" max="29" width="10.375" style="3" customWidth="1"/>
    <col min="30" max="31" width="15.125" style="3" customWidth="1"/>
    <col min="32" max="32" width="10.375" style="3" customWidth="1"/>
    <col min="33" max="34" width="15.125" style="3" customWidth="1"/>
    <col min="35" max="35" width="12.875" style="3" customWidth="1"/>
    <col min="36" max="36" width="11.375" style="3" bestFit="1" customWidth="1"/>
    <col min="37" max="37" width="13.125" style="3" customWidth="1"/>
    <col min="38" max="38" width="1.12109375" style="3" customWidth="1"/>
    <col min="39" max="39" width="10.00390625" style="3" customWidth="1"/>
    <col min="40" max="16384" width="9.125" style="3" customWidth="1"/>
  </cols>
  <sheetData>
    <row r="1" ht="15.75">
      <c r="A1" s="96" t="s">
        <v>294</v>
      </c>
    </row>
    <row r="2" ht="15.75">
      <c r="A2" s="96" t="s">
        <v>288</v>
      </c>
    </row>
    <row r="3" ht="16.5" thickBot="1">
      <c r="A3" s="98" t="s">
        <v>174</v>
      </c>
    </row>
    <row r="4" spans="1:38" s="97" customFormat="1" ht="27" customHeight="1">
      <c r="A4" s="402" t="s">
        <v>26</v>
      </c>
      <c r="B4" s="407" t="s">
        <v>64</v>
      </c>
      <c r="C4" s="408"/>
      <c r="D4" s="409"/>
      <c r="E4" s="404" t="s">
        <v>145</v>
      </c>
      <c r="F4" s="405"/>
      <c r="G4" s="406"/>
      <c r="H4" s="390" t="s">
        <v>78</v>
      </c>
      <c r="I4" s="391"/>
      <c r="J4" s="392"/>
      <c r="K4" s="404" t="s">
        <v>46</v>
      </c>
      <c r="L4" s="405"/>
      <c r="M4" s="406"/>
      <c r="N4" s="404" t="s">
        <v>169</v>
      </c>
      <c r="O4" s="405"/>
      <c r="P4" s="406"/>
      <c r="Q4" s="416" t="s">
        <v>18</v>
      </c>
      <c r="R4" s="417"/>
      <c r="S4" s="418"/>
      <c r="T4" s="399" t="s">
        <v>39</v>
      </c>
      <c r="U4" s="400"/>
      <c r="V4" s="401"/>
      <c r="W4" s="396" t="s">
        <v>152</v>
      </c>
      <c r="X4" s="397"/>
      <c r="Y4" s="398"/>
      <c r="Z4" s="404" t="s">
        <v>161</v>
      </c>
      <c r="AA4" s="405"/>
      <c r="AB4" s="406"/>
      <c r="AC4" s="393" t="s">
        <v>163</v>
      </c>
      <c r="AD4" s="394"/>
      <c r="AE4" s="395"/>
      <c r="AF4" s="393" t="s">
        <v>166</v>
      </c>
      <c r="AG4" s="394"/>
      <c r="AH4" s="395"/>
      <c r="AI4" s="393" t="s">
        <v>167</v>
      </c>
      <c r="AJ4" s="394"/>
      <c r="AK4" s="395"/>
      <c r="AL4" s="380"/>
    </row>
    <row r="5" spans="1:38" s="97" customFormat="1" ht="26.25" thickBot="1">
      <c r="A5" s="403"/>
      <c r="B5" s="318" t="s">
        <v>229</v>
      </c>
      <c r="C5" s="319" t="s">
        <v>230</v>
      </c>
      <c r="D5" s="320" t="s">
        <v>231</v>
      </c>
      <c r="E5" s="318" t="s">
        <v>229</v>
      </c>
      <c r="F5" s="319" t="s">
        <v>230</v>
      </c>
      <c r="G5" s="320" t="s">
        <v>231</v>
      </c>
      <c r="H5" s="330" t="s">
        <v>229</v>
      </c>
      <c r="I5" s="319" t="s">
        <v>230</v>
      </c>
      <c r="J5" s="320" t="s">
        <v>231</v>
      </c>
      <c r="K5" s="329" t="s">
        <v>229</v>
      </c>
      <c r="L5" s="319" t="s">
        <v>230</v>
      </c>
      <c r="M5" s="320" t="s">
        <v>231</v>
      </c>
      <c r="N5" s="329" t="s">
        <v>229</v>
      </c>
      <c r="O5" s="319" t="s">
        <v>230</v>
      </c>
      <c r="P5" s="320" t="s">
        <v>231</v>
      </c>
      <c r="Q5" s="322" t="s">
        <v>229</v>
      </c>
      <c r="R5" s="323" t="s">
        <v>230</v>
      </c>
      <c r="S5" s="324" t="s">
        <v>231</v>
      </c>
      <c r="T5" s="247" t="s">
        <v>229</v>
      </c>
      <c r="U5" s="319" t="s">
        <v>230</v>
      </c>
      <c r="V5" s="320" t="s">
        <v>231</v>
      </c>
      <c r="W5" s="325" t="s">
        <v>229</v>
      </c>
      <c r="X5" s="323" t="s">
        <v>230</v>
      </c>
      <c r="Y5" s="324" t="s">
        <v>231</v>
      </c>
      <c r="Z5" s="329" t="s">
        <v>229</v>
      </c>
      <c r="AA5" s="319" t="s">
        <v>230</v>
      </c>
      <c r="AB5" s="320" t="s">
        <v>231</v>
      </c>
      <c r="AC5" s="327" t="s">
        <v>229</v>
      </c>
      <c r="AD5" s="319" t="s">
        <v>230</v>
      </c>
      <c r="AE5" s="320" t="s">
        <v>231</v>
      </c>
      <c r="AF5" s="328" t="s">
        <v>229</v>
      </c>
      <c r="AG5" s="319" t="s">
        <v>230</v>
      </c>
      <c r="AH5" s="320" t="s">
        <v>231</v>
      </c>
      <c r="AI5" s="328" t="s">
        <v>229</v>
      </c>
      <c r="AJ5" s="319" t="s">
        <v>230</v>
      </c>
      <c r="AK5" s="320" t="s">
        <v>231</v>
      </c>
      <c r="AL5" s="295"/>
    </row>
    <row r="6" spans="1:39" s="9" customFormat="1" ht="26.25" customHeight="1">
      <c r="A6" s="175" t="s">
        <v>131</v>
      </c>
      <c r="B6" s="132">
        <f aca="true" t="shared" si="0" ref="B6:AK6">B7+B8</f>
        <v>0</v>
      </c>
      <c r="C6" s="133">
        <f t="shared" si="0"/>
        <v>860</v>
      </c>
      <c r="D6" s="19">
        <f t="shared" si="0"/>
        <v>860</v>
      </c>
      <c r="E6" s="132">
        <f t="shared" si="0"/>
        <v>0</v>
      </c>
      <c r="F6" s="133">
        <f t="shared" si="0"/>
        <v>1659</v>
      </c>
      <c r="G6" s="19">
        <f t="shared" si="0"/>
        <v>1659</v>
      </c>
      <c r="H6" s="132">
        <f t="shared" si="0"/>
        <v>0</v>
      </c>
      <c r="I6" s="133">
        <f t="shared" si="0"/>
        <v>352</v>
      </c>
      <c r="J6" s="19">
        <f t="shared" si="0"/>
        <v>352</v>
      </c>
      <c r="K6" s="132">
        <f t="shared" si="0"/>
        <v>0</v>
      </c>
      <c r="L6" s="133">
        <f t="shared" si="0"/>
        <v>491</v>
      </c>
      <c r="M6" s="19">
        <f t="shared" si="0"/>
        <v>491</v>
      </c>
      <c r="N6" s="132">
        <f t="shared" si="0"/>
        <v>44148</v>
      </c>
      <c r="O6" s="133">
        <f t="shared" si="0"/>
        <v>44303</v>
      </c>
      <c r="P6" s="19">
        <f t="shared" si="0"/>
        <v>155</v>
      </c>
      <c r="Q6" s="251">
        <f t="shared" si="0"/>
        <v>44148</v>
      </c>
      <c r="R6" s="265">
        <f t="shared" si="0"/>
        <v>47665</v>
      </c>
      <c r="S6" s="240">
        <f t="shared" si="0"/>
        <v>3517</v>
      </c>
      <c r="T6" s="132">
        <f t="shared" si="0"/>
        <v>937377</v>
      </c>
      <c r="U6" s="279">
        <f t="shared" si="0"/>
        <v>987285</v>
      </c>
      <c r="V6" s="274">
        <f t="shared" si="0"/>
        <v>49908</v>
      </c>
      <c r="W6" s="285">
        <f t="shared" si="0"/>
        <v>981525</v>
      </c>
      <c r="X6" s="291">
        <f t="shared" si="0"/>
        <v>1034950</v>
      </c>
      <c r="Y6" s="240">
        <f t="shared" si="0"/>
        <v>53425</v>
      </c>
      <c r="Z6" s="188">
        <f t="shared" si="0"/>
        <v>981525</v>
      </c>
      <c r="AA6" s="188">
        <f t="shared" si="0"/>
        <v>1034950</v>
      </c>
      <c r="AB6" s="188">
        <f t="shared" si="0"/>
        <v>53425</v>
      </c>
      <c r="AC6" s="132">
        <f t="shared" si="0"/>
        <v>914521</v>
      </c>
      <c r="AD6" s="133">
        <f t="shared" si="0"/>
        <v>966846</v>
      </c>
      <c r="AE6" s="19">
        <f t="shared" si="0"/>
        <v>52325</v>
      </c>
      <c r="AF6" s="133">
        <f t="shared" si="0"/>
        <v>67004</v>
      </c>
      <c r="AG6" s="133">
        <f t="shared" si="0"/>
        <v>68104</v>
      </c>
      <c r="AH6" s="19">
        <f t="shared" si="0"/>
        <v>1100</v>
      </c>
      <c r="AI6" s="132">
        <f t="shared" si="0"/>
        <v>0</v>
      </c>
      <c r="AJ6" s="198">
        <f t="shared" si="0"/>
        <v>0</v>
      </c>
      <c r="AK6" s="19">
        <f t="shared" si="0"/>
        <v>0</v>
      </c>
      <c r="AL6" s="381"/>
      <c r="AM6" s="26">
        <f aca="true" t="shared" si="1" ref="AM6:AM26">AJ6+AG6+AD6</f>
        <v>1034950</v>
      </c>
    </row>
    <row r="7" spans="1:39" s="9" customFormat="1" ht="13.5">
      <c r="A7" s="176" t="s">
        <v>128</v>
      </c>
      <c r="B7" s="129"/>
      <c r="C7" s="85">
        <f>B7</f>
        <v>0</v>
      </c>
      <c r="D7" s="83">
        <f>C7-B7</f>
        <v>0</v>
      </c>
      <c r="E7" s="195"/>
      <c r="F7" s="85">
        <f>E7</f>
        <v>0</v>
      </c>
      <c r="G7" s="83">
        <f>F7-E7</f>
        <v>0</v>
      </c>
      <c r="H7" s="85"/>
      <c r="I7" s="85">
        <f>H7</f>
        <v>0</v>
      </c>
      <c r="J7" s="83">
        <f>I7-H7</f>
        <v>0</v>
      </c>
      <c r="K7" s="129"/>
      <c r="L7" s="195">
        <f>K7</f>
        <v>0</v>
      </c>
      <c r="M7" s="83">
        <f>L7-K7</f>
        <v>0</v>
      </c>
      <c r="N7" s="129"/>
      <c r="O7" s="195">
        <f>N7</f>
        <v>0</v>
      </c>
      <c r="P7" s="83">
        <f>O7-N7</f>
        <v>0</v>
      </c>
      <c r="Q7" s="249">
        <f aca="true" t="shared" si="2" ref="Q7:R11">B7+E7+H7+K7+N7</f>
        <v>0</v>
      </c>
      <c r="R7" s="263">
        <f t="shared" si="2"/>
        <v>0</v>
      </c>
      <c r="S7" s="241">
        <f>R7-Q7</f>
        <v>0</v>
      </c>
      <c r="T7" s="129">
        <v>843598</v>
      </c>
      <c r="U7" s="85">
        <v>876812</v>
      </c>
      <c r="V7" s="272">
        <f>U7-T7</f>
        <v>33214</v>
      </c>
      <c r="W7" s="270">
        <f aca="true" t="shared" si="3" ref="W7:X11">T7+Q7</f>
        <v>843598</v>
      </c>
      <c r="X7" s="269">
        <f t="shared" si="3"/>
        <v>876812</v>
      </c>
      <c r="Y7" s="241">
        <f>X7-W7</f>
        <v>33214</v>
      </c>
      <c r="Z7" s="185">
        <f aca="true" t="shared" si="4" ref="Z7:AB11">W7</f>
        <v>843598</v>
      </c>
      <c r="AA7" s="185">
        <f t="shared" si="4"/>
        <v>876812</v>
      </c>
      <c r="AB7" s="185">
        <f t="shared" si="4"/>
        <v>33214</v>
      </c>
      <c r="AC7" s="129">
        <v>843598</v>
      </c>
      <c r="AD7" s="195">
        <f>AC7+33214</f>
        <v>876812</v>
      </c>
      <c r="AE7" s="83">
        <f>AD7-AC7</f>
        <v>33214</v>
      </c>
      <c r="AF7" s="85"/>
      <c r="AG7" s="195">
        <f>AF7</f>
        <v>0</v>
      </c>
      <c r="AH7" s="83">
        <f>AG7-AF7</f>
        <v>0</v>
      </c>
      <c r="AI7" s="129"/>
      <c r="AJ7" s="195">
        <f>AI7</f>
        <v>0</v>
      </c>
      <c r="AK7" s="83">
        <f>AJ7-AI7</f>
        <v>0</v>
      </c>
      <c r="AL7" s="382"/>
      <c r="AM7" s="26">
        <f t="shared" si="1"/>
        <v>876812</v>
      </c>
    </row>
    <row r="8" spans="1:39" s="9" customFormat="1" ht="13.5">
      <c r="A8" s="176" t="s">
        <v>146</v>
      </c>
      <c r="B8" s="129"/>
      <c r="C8" s="85">
        <v>860</v>
      </c>
      <c r="D8" s="83">
        <f>C8-B8</f>
        <v>860</v>
      </c>
      <c r="E8" s="195"/>
      <c r="F8" s="85">
        <v>1659</v>
      </c>
      <c r="G8" s="83">
        <f>F8-E8</f>
        <v>1659</v>
      </c>
      <c r="H8" s="85"/>
      <c r="I8" s="85">
        <v>352</v>
      </c>
      <c r="J8" s="83">
        <f>I8-H8</f>
        <v>352</v>
      </c>
      <c r="K8" s="129">
        <v>0</v>
      </c>
      <c r="L8" s="195">
        <v>491</v>
      </c>
      <c r="M8" s="83">
        <f>L8-K8</f>
        <v>491</v>
      </c>
      <c r="N8" s="129">
        <v>44148</v>
      </c>
      <c r="O8" s="195">
        <v>44303</v>
      </c>
      <c r="P8" s="83">
        <f>O8-N8</f>
        <v>155</v>
      </c>
      <c r="Q8" s="249">
        <f t="shared" si="2"/>
        <v>44148</v>
      </c>
      <c r="R8" s="263">
        <f t="shared" si="2"/>
        <v>47665</v>
      </c>
      <c r="S8" s="241">
        <f>R8-Q8</f>
        <v>3517</v>
      </c>
      <c r="T8" s="129">
        <f>937377-T7</f>
        <v>93779</v>
      </c>
      <c r="U8" s="85">
        <v>110473</v>
      </c>
      <c r="V8" s="272">
        <f>U8-T8</f>
        <v>16694</v>
      </c>
      <c r="W8" s="270">
        <f t="shared" si="3"/>
        <v>137927</v>
      </c>
      <c r="X8" s="269">
        <f t="shared" si="3"/>
        <v>158138</v>
      </c>
      <c r="Y8" s="241">
        <f>X8-W8</f>
        <v>20211</v>
      </c>
      <c r="Z8" s="185">
        <f t="shared" si="4"/>
        <v>137927</v>
      </c>
      <c r="AA8" s="185">
        <f t="shared" si="4"/>
        <v>158138</v>
      </c>
      <c r="AB8" s="185">
        <f t="shared" si="4"/>
        <v>20211</v>
      </c>
      <c r="AC8" s="129">
        <f>914521-843598</f>
        <v>70923</v>
      </c>
      <c r="AD8" s="195">
        <f>AC8+860+559+352+491+155+16694</f>
        <v>90034</v>
      </c>
      <c r="AE8" s="83">
        <f>AD8-AC8</f>
        <v>19111</v>
      </c>
      <c r="AF8" s="85">
        <v>67004</v>
      </c>
      <c r="AG8" s="195">
        <f>AF8+1100</f>
        <v>68104</v>
      </c>
      <c r="AH8" s="83">
        <f>AG8-AF8</f>
        <v>1100</v>
      </c>
      <c r="AI8" s="129"/>
      <c r="AJ8" s="195">
        <f>AI8</f>
        <v>0</v>
      </c>
      <c r="AK8" s="83">
        <f>AJ8-AI8</f>
        <v>0</v>
      </c>
      <c r="AL8" s="382"/>
      <c r="AM8" s="26">
        <f t="shared" si="1"/>
        <v>158138</v>
      </c>
    </row>
    <row r="9" spans="1:39" s="9" customFormat="1" ht="13.5">
      <c r="A9" s="177" t="s">
        <v>80</v>
      </c>
      <c r="B9" s="130"/>
      <c r="C9" s="68">
        <f>B9</f>
        <v>0</v>
      </c>
      <c r="D9" s="20">
        <f>C9-B9</f>
        <v>0</v>
      </c>
      <c r="E9" s="196"/>
      <c r="F9" s="68">
        <f>E9</f>
        <v>0</v>
      </c>
      <c r="G9" s="20">
        <f>F9-E9</f>
        <v>0</v>
      </c>
      <c r="H9" s="68"/>
      <c r="I9" s="68">
        <f>H9</f>
        <v>0</v>
      </c>
      <c r="J9" s="20">
        <f>I9-H9</f>
        <v>0</v>
      </c>
      <c r="K9" s="130"/>
      <c r="L9" s="196">
        <f>K9</f>
        <v>0</v>
      </c>
      <c r="M9" s="20">
        <f>L9-K9</f>
        <v>0</v>
      </c>
      <c r="N9" s="130"/>
      <c r="O9" s="196"/>
      <c r="P9" s="20">
        <f>O9-N9</f>
        <v>0</v>
      </c>
      <c r="Q9" s="249">
        <f t="shared" si="2"/>
        <v>0</v>
      </c>
      <c r="R9" s="263">
        <f t="shared" si="2"/>
        <v>0</v>
      </c>
      <c r="S9" s="241">
        <f>R9-Q9</f>
        <v>0</v>
      </c>
      <c r="T9" s="130">
        <v>454978</v>
      </c>
      <c r="U9" s="277">
        <f>T9</f>
        <v>454978</v>
      </c>
      <c r="V9" s="272">
        <f>U9-T9</f>
        <v>0</v>
      </c>
      <c r="W9" s="270">
        <f t="shared" si="3"/>
        <v>454978</v>
      </c>
      <c r="X9" s="269">
        <f t="shared" si="3"/>
        <v>454978</v>
      </c>
      <c r="Y9" s="241">
        <f>X9-W9</f>
        <v>0</v>
      </c>
      <c r="Z9" s="186">
        <f t="shared" si="4"/>
        <v>454978</v>
      </c>
      <c r="AA9" s="186">
        <f t="shared" si="4"/>
        <v>454978</v>
      </c>
      <c r="AB9" s="186">
        <f t="shared" si="4"/>
        <v>0</v>
      </c>
      <c r="AC9" s="130">
        <v>454978</v>
      </c>
      <c r="AD9" s="196">
        <f>AC9</f>
        <v>454978</v>
      </c>
      <c r="AE9" s="20">
        <f>AD9-AC9</f>
        <v>0</v>
      </c>
      <c r="AF9" s="68"/>
      <c r="AG9" s="196">
        <f>AF9</f>
        <v>0</v>
      </c>
      <c r="AH9" s="20">
        <f>AG9-AF9</f>
        <v>0</v>
      </c>
      <c r="AI9" s="130"/>
      <c r="AJ9" s="196">
        <f>AI9</f>
        <v>0</v>
      </c>
      <c r="AK9" s="20">
        <f>AJ9-AI9</f>
        <v>0</v>
      </c>
      <c r="AL9" s="381"/>
      <c r="AM9" s="26">
        <f t="shared" si="1"/>
        <v>454978</v>
      </c>
    </row>
    <row r="10" spans="1:39" s="9" customFormat="1" ht="13.5">
      <c r="A10" s="177" t="s">
        <v>81</v>
      </c>
      <c r="B10" s="130">
        <v>2080</v>
      </c>
      <c r="C10" s="68">
        <f>B10</f>
        <v>2080</v>
      </c>
      <c r="D10" s="20">
        <f>C10-B10</f>
        <v>0</v>
      </c>
      <c r="E10" s="196">
        <v>73500</v>
      </c>
      <c r="F10" s="68">
        <v>74752</v>
      </c>
      <c r="G10" s="20">
        <f>F10-E10</f>
        <v>1252</v>
      </c>
      <c r="H10" s="68">
        <v>4000</v>
      </c>
      <c r="I10" s="68">
        <v>4600</v>
      </c>
      <c r="J10" s="20">
        <f>I10-H10</f>
        <v>600</v>
      </c>
      <c r="K10" s="130">
        <v>2160</v>
      </c>
      <c r="L10" s="196">
        <f>K10</f>
        <v>2160</v>
      </c>
      <c r="M10" s="20">
        <f>L10-K10</f>
        <v>0</v>
      </c>
      <c r="N10" s="130">
        <v>58067</v>
      </c>
      <c r="O10" s="196">
        <f>N10</f>
        <v>58067</v>
      </c>
      <c r="P10" s="20">
        <f>O10-N10</f>
        <v>0</v>
      </c>
      <c r="Q10" s="249">
        <f t="shared" si="2"/>
        <v>139807</v>
      </c>
      <c r="R10" s="263">
        <f t="shared" si="2"/>
        <v>141659</v>
      </c>
      <c r="S10" s="241">
        <f>R10-Q10</f>
        <v>1852</v>
      </c>
      <c r="T10" s="130">
        <v>73176</v>
      </c>
      <c r="U10" s="277">
        <v>79864</v>
      </c>
      <c r="V10" s="272">
        <f>U10-T10</f>
        <v>6688</v>
      </c>
      <c r="W10" s="270">
        <f t="shared" si="3"/>
        <v>212983</v>
      </c>
      <c r="X10" s="269">
        <f t="shared" si="3"/>
        <v>221523</v>
      </c>
      <c r="Y10" s="241">
        <f>X10-W10</f>
        <v>8540</v>
      </c>
      <c r="Z10" s="186">
        <f t="shared" si="4"/>
        <v>212983</v>
      </c>
      <c r="AA10" s="186">
        <f t="shared" si="4"/>
        <v>221523</v>
      </c>
      <c r="AB10" s="186">
        <f t="shared" si="4"/>
        <v>8540</v>
      </c>
      <c r="AC10" s="130">
        <v>167678</v>
      </c>
      <c r="AD10" s="196">
        <f>AC10+1252+600+6688</f>
        <v>176218</v>
      </c>
      <c r="AE10" s="20">
        <f>AD10-AC10</f>
        <v>8540</v>
      </c>
      <c r="AF10" s="68">
        <v>45305</v>
      </c>
      <c r="AG10" s="196">
        <f>AF10</f>
        <v>45305</v>
      </c>
      <c r="AH10" s="20">
        <f>AG10-AF10</f>
        <v>0</v>
      </c>
      <c r="AI10" s="130"/>
      <c r="AJ10" s="196">
        <f>AI10</f>
        <v>0</v>
      </c>
      <c r="AK10" s="20">
        <f>AJ10-AI10</f>
        <v>0</v>
      </c>
      <c r="AL10" s="381"/>
      <c r="AM10" s="26">
        <f t="shared" si="1"/>
        <v>221523</v>
      </c>
    </row>
    <row r="11" spans="1:39" s="9" customFormat="1" ht="14.25" thickBot="1">
      <c r="A11" s="178" t="s">
        <v>83</v>
      </c>
      <c r="B11" s="131"/>
      <c r="C11" s="76">
        <f>B11</f>
        <v>0</v>
      </c>
      <c r="D11" s="74">
        <f>C11-B11</f>
        <v>0</v>
      </c>
      <c r="E11" s="197"/>
      <c r="F11" s="76">
        <f>E11</f>
        <v>0</v>
      </c>
      <c r="G11" s="74">
        <f>F11-E11</f>
        <v>0</v>
      </c>
      <c r="H11" s="76"/>
      <c r="I11" s="76">
        <f>H11</f>
        <v>0</v>
      </c>
      <c r="J11" s="74">
        <f>I11-H11</f>
        <v>0</v>
      </c>
      <c r="K11" s="131"/>
      <c r="L11" s="197">
        <f>K11</f>
        <v>0</v>
      </c>
      <c r="M11" s="74">
        <f>L11-K11</f>
        <v>0</v>
      </c>
      <c r="N11" s="131"/>
      <c r="O11" s="197">
        <f>N11</f>
        <v>0</v>
      </c>
      <c r="P11" s="74">
        <f>O11-N11</f>
        <v>0</v>
      </c>
      <c r="Q11" s="249">
        <f t="shared" si="2"/>
        <v>0</v>
      </c>
      <c r="R11" s="264">
        <f t="shared" si="2"/>
        <v>0</v>
      </c>
      <c r="S11" s="243">
        <f>R11-Q11</f>
        <v>0</v>
      </c>
      <c r="T11" s="131">
        <v>0</v>
      </c>
      <c r="U11" s="278">
        <f>T11</f>
        <v>0</v>
      </c>
      <c r="V11" s="273">
        <f>U11-T11</f>
        <v>0</v>
      </c>
      <c r="W11" s="284">
        <f t="shared" si="3"/>
        <v>0</v>
      </c>
      <c r="X11" s="290">
        <f t="shared" si="3"/>
        <v>0</v>
      </c>
      <c r="Y11" s="243">
        <f>X11-W11</f>
        <v>0</v>
      </c>
      <c r="Z11" s="187">
        <f t="shared" si="4"/>
        <v>0</v>
      </c>
      <c r="AA11" s="187">
        <f t="shared" si="4"/>
        <v>0</v>
      </c>
      <c r="AB11" s="187">
        <f t="shared" si="4"/>
        <v>0</v>
      </c>
      <c r="AC11" s="131"/>
      <c r="AD11" s="197">
        <f>AC11</f>
        <v>0</v>
      </c>
      <c r="AE11" s="74">
        <f>AD11-AC11</f>
        <v>0</v>
      </c>
      <c r="AF11" s="76"/>
      <c r="AG11" s="197">
        <f>AF11</f>
        <v>0</v>
      </c>
      <c r="AH11" s="74">
        <f>AG11-AF11</f>
        <v>0</v>
      </c>
      <c r="AI11" s="131"/>
      <c r="AJ11" s="197">
        <f>AI11</f>
        <v>0</v>
      </c>
      <c r="AK11" s="74">
        <f>AJ11-AI11</f>
        <v>0</v>
      </c>
      <c r="AL11" s="381"/>
      <c r="AM11" s="26">
        <f t="shared" si="1"/>
        <v>0</v>
      </c>
    </row>
    <row r="12" spans="1:39" s="11" customFormat="1" ht="14.25" thickBot="1">
      <c r="A12" s="211" t="s">
        <v>113</v>
      </c>
      <c r="B12" s="212">
        <f aca="true" t="shared" si="5" ref="B12:AK12">B6+B9+B10+B11</f>
        <v>2080</v>
      </c>
      <c r="C12" s="212">
        <f t="shared" si="5"/>
        <v>2940</v>
      </c>
      <c r="D12" s="214">
        <f t="shared" si="5"/>
        <v>860</v>
      </c>
      <c r="E12" s="215">
        <f t="shared" si="5"/>
        <v>73500</v>
      </c>
      <c r="F12" s="213">
        <f t="shared" si="5"/>
        <v>76411</v>
      </c>
      <c r="G12" s="214">
        <f t="shared" si="5"/>
        <v>2911</v>
      </c>
      <c r="H12" s="213">
        <f t="shared" si="5"/>
        <v>4000</v>
      </c>
      <c r="I12" s="213">
        <f t="shared" si="5"/>
        <v>4952</v>
      </c>
      <c r="J12" s="214">
        <f t="shared" si="5"/>
        <v>952</v>
      </c>
      <c r="K12" s="212">
        <f t="shared" si="5"/>
        <v>2160</v>
      </c>
      <c r="L12" s="215">
        <f t="shared" si="5"/>
        <v>2651</v>
      </c>
      <c r="M12" s="214">
        <f t="shared" si="5"/>
        <v>491</v>
      </c>
      <c r="N12" s="212">
        <f t="shared" si="5"/>
        <v>102215</v>
      </c>
      <c r="O12" s="215">
        <f t="shared" si="5"/>
        <v>102370</v>
      </c>
      <c r="P12" s="214">
        <f t="shared" si="5"/>
        <v>155</v>
      </c>
      <c r="Q12" s="250">
        <f t="shared" si="5"/>
        <v>183955</v>
      </c>
      <c r="R12" s="260">
        <f t="shared" si="5"/>
        <v>189324</v>
      </c>
      <c r="S12" s="216">
        <f t="shared" si="5"/>
        <v>5369</v>
      </c>
      <c r="T12" s="212">
        <f t="shared" si="5"/>
        <v>1465531</v>
      </c>
      <c r="U12" s="236">
        <f t="shared" si="5"/>
        <v>1522127</v>
      </c>
      <c r="V12" s="216">
        <f t="shared" si="5"/>
        <v>56596</v>
      </c>
      <c r="W12" s="235">
        <f t="shared" si="5"/>
        <v>1649486</v>
      </c>
      <c r="X12" s="236">
        <f t="shared" si="5"/>
        <v>1711451</v>
      </c>
      <c r="Y12" s="216">
        <f t="shared" si="5"/>
        <v>61965</v>
      </c>
      <c r="Z12" s="231">
        <f t="shared" si="5"/>
        <v>1649486</v>
      </c>
      <c r="AA12" s="231">
        <f t="shared" si="5"/>
        <v>1711451</v>
      </c>
      <c r="AB12" s="231">
        <f t="shared" si="5"/>
        <v>61965</v>
      </c>
      <c r="AC12" s="212">
        <f t="shared" si="5"/>
        <v>1537177</v>
      </c>
      <c r="AD12" s="215">
        <f t="shared" si="5"/>
        <v>1598042</v>
      </c>
      <c r="AE12" s="214">
        <f t="shared" si="5"/>
        <v>60865</v>
      </c>
      <c r="AF12" s="213">
        <f t="shared" si="5"/>
        <v>112309</v>
      </c>
      <c r="AG12" s="215">
        <f t="shared" si="5"/>
        <v>113409</v>
      </c>
      <c r="AH12" s="214">
        <f t="shared" si="5"/>
        <v>1100</v>
      </c>
      <c r="AI12" s="212">
        <f t="shared" si="5"/>
        <v>0</v>
      </c>
      <c r="AJ12" s="215">
        <f t="shared" si="5"/>
        <v>0</v>
      </c>
      <c r="AK12" s="214">
        <f t="shared" si="5"/>
        <v>0</v>
      </c>
      <c r="AL12" s="383"/>
      <c r="AM12" s="26">
        <f t="shared" si="1"/>
        <v>1711451</v>
      </c>
    </row>
    <row r="13" spans="1:39" s="9" customFormat="1" ht="13.5">
      <c r="A13" s="175" t="s">
        <v>95</v>
      </c>
      <c r="B13" s="132"/>
      <c r="C13" s="133">
        <f>B13</f>
        <v>0</v>
      </c>
      <c r="D13" s="19">
        <f>C13-B13</f>
        <v>0</v>
      </c>
      <c r="E13" s="198"/>
      <c r="F13" s="133">
        <f>E13</f>
        <v>0</v>
      </c>
      <c r="G13" s="19">
        <f>F13-E13</f>
        <v>0</v>
      </c>
      <c r="H13" s="133"/>
      <c r="I13" s="133">
        <f>H13</f>
        <v>0</v>
      </c>
      <c r="J13" s="19">
        <f>I13-H13</f>
        <v>0</v>
      </c>
      <c r="K13" s="132"/>
      <c r="L13" s="198">
        <f>K13</f>
        <v>0</v>
      </c>
      <c r="M13" s="19">
        <f>L13-K13</f>
        <v>0</v>
      </c>
      <c r="N13" s="132"/>
      <c r="O13" s="198">
        <f>N13</f>
        <v>0</v>
      </c>
      <c r="P13" s="19">
        <f>O13-N13</f>
        <v>0</v>
      </c>
      <c r="Q13" s="251">
        <f aca="true" t="shared" si="6" ref="Q13:R15">B13+E13+H13+K13+N13</f>
        <v>0</v>
      </c>
      <c r="R13" s="265">
        <f t="shared" si="6"/>
        <v>0</v>
      </c>
      <c r="S13" s="240">
        <f>R13-Q13</f>
        <v>0</v>
      </c>
      <c r="T13" s="132">
        <v>121533</v>
      </c>
      <c r="U13" s="279">
        <v>792644</v>
      </c>
      <c r="V13" s="274">
        <f>U13-T13</f>
        <v>671111</v>
      </c>
      <c r="W13" s="285">
        <f aca="true" t="shared" si="7" ref="W13:X15">T13+Q13</f>
        <v>121533</v>
      </c>
      <c r="X13" s="291">
        <f t="shared" si="7"/>
        <v>792644</v>
      </c>
      <c r="Y13" s="240">
        <f>X13-W13</f>
        <v>671111</v>
      </c>
      <c r="Z13" s="188">
        <f aca="true" t="shared" si="8" ref="Z13:AB15">W13</f>
        <v>121533</v>
      </c>
      <c r="AA13" s="188">
        <f t="shared" si="8"/>
        <v>792644</v>
      </c>
      <c r="AB13" s="188">
        <f t="shared" si="8"/>
        <v>671111</v>
      </c>
      <c r="AC13" s="132">
        <v>101293</v>
      </c>
      <c r="AD13" s="195">
        <f>AC13+671111</f>
        <v>772404</v>
      </c>
      <c r="AE13" s="19">
        <f>AD13-AC13</f>
        <v>671111</v>
      </c>
      <c r="AF13" s="133">
        <v>20240</v>
      </c>
      <c r="AG13" s="195">
        <f>AF13</f>
        <v>20240</v>
      </c>
      <c r="AH13" s="19">
        <f>AG13-AF13</f>
        <v>0</v>
      </c>
      <c r="AI13" s="132"/>
      <c r="AJ13" s="195">
        <f>AI13</f>
        <v>0</v>
      </c>
      <c r="AK13" s="19">
        <f>AJ13-AI13</f>
        <v>0</v>
      </c>
      <c r="AL13" s="381"/>
      <c r="AM13" s="26">
        <f t="shared" si="1"/>
        <v>792644</v>
      </c>
    </row>
    <row r="14" spans="1:39" s="9" customFormat="1" ht="13.5">
      <c r="A14" s="179" t="s">
        <v>110</v>
      </c>
      <c r="B14" s="129"/>
      <c r="C14" s="85">
        <f>B14</f>
        <v>0</v>
      </c>
      <c r="D14" s="83">
        <f>C14-B14</f>
        <v>0</v>
      </c>
      <c r="E14" s="199"/>
      <c r="F14" s="85">
        <f>E14</f>
        <v>0</v>
      </c>
      <c r="G14" s="83">
        <f>F14-E14</f>
        <v>0</v>
      </c>
      <c r="H14" s="135"/>
      <c r="I14" s="85">
        <f>H14</f>
        <v>0</v>
      </c>
      <c r="J14" s="83">
        <f>I14-H14</f>
        <v>0</v>
      </c>
      <c r="K14" s="134"/>
      <c r="L14" s="195">
        <f>K14</f>
        <v>0</v>
      </c>
      <c r="M14" s="83">
        <f>L14-K14</f>
        <v>0</v>
      </c>
      <c r="N14" s="134"/>
      <c r="O14" s="195">
        <f>N14</f>
        <v>0</v>
      </c>
      <c r="P14" s="83">
        <f>O14-N14</f>
        <v>0</v>
      </c>
      <c r="Q14" s="251">
        <f t="shared" si="6"/>
        <v>0</v>
      </c>
      <c r="R14" s="263">
        <f t="shared" si="6"/>
        <v>0</v>
      </c>
      <c r="S14" s="241">
        <f>R14-Q14</f>
        <v>0</v>
      </c>
      <c r="T14" s="134">
        <v>100000</v>
      </c>
      <c r="U14" s="85">
        <v>193000</v>
      </c>
      <c r="V14" s="272">
        <f>U14-T14</f>
        <v>93000</v>
      </c>
      <c r="W14" s="285">
        <f t="shared" si="7"/>
        <v>100000</v>
      </c>
      <c r="X14" s="269">
        <f t="shared" si="7"/>
        <v>193000</v>
      </c>
      <c r="Y14" s="241">
        <f>X14-W14</f>
        <v>93000</v>
      </c>
      <c r="Z14" s="189">
        <f t="shared" si="8"/>
        <v>100000</v>
      </c>
      <c r="AA14" s="189">
        <f t="shared" si="8"/>
        <v>193000</v>
      </c>
      <c r="AB14" s="189">
        <f t="shared" si="8"/>
        <v>93000</v>
      </c>
      <c r="AC14" s="134">
        <v>100000</v>
      </c>
      <c r="AD14" s="195">
        <f>AC14+93000</f>
        <v>193000</v>
      </c>
      <c r="AE14" s="83">
        <f>AD14-AC14</f>
        <v>93000</v>
      </c>
      <c r="AF14" s="135"/>
      <c r="AG14" s="195">
        <f>AF14</f>
        <v>0</v>
      </c>
      <c r="AH14" s="83">
        <f>AG14-AF14</f>
        <v>0</v>
      </c>
      <c r="AI14" s="134"/>
      <c r="AJ14" s="195">
        <f>AI14</f>
        <v>0</v>
      </c>
      <c r="AK14" s="83">
        <f>AJ14-AI14</f>
        <v>0</v>
      </c>
      <c r="AL14" s="382"/>
      <c r="AM14" s="26">
        <f t="shared" si="1"/>
        <v>193000</v>
      </c>
    </row>
    <row r="15" spans="1:39" s="9" customFormat="1" ht="13.5">
      <c r="A15" s="177" t="s">
        <v>82</v>
      </c>
      <c r="B15" s="130"/>
      <c r="C15" s="68">
        <f>B15</f>
        <v>0</v>
      </c>
      <c r="D15" s="20">
        <f>C15-B15</f>
        <v>0</v>
      </c>
      <c r="E15" s="196"/>
      <c r="F15" s="68">
        <f>E15</f>
        <v>0</v>
      </c>
      <c r="G15" s="20">
        <f>F15-E15</f>
        <v>0</v>
      </c>
      <c r="H15" s="68"/>
      <c r="I15" s="68">
        <f>H15</f>
        <v>0</v>
      </c>
      <c r="J15" s="20">
        <f>I15-H15</f>
        <v>0</v>
      </c>
      <c r="K15" s="130"/>
      <c r="L15" s="196">
        <f>K15</f>
        <v>0</v>
      </c>
      <c r="M15" s="20">
        <f>L15-K15</f>
        <v>0</v>
      </c>
      <c r="N15" s="130"/>
      <c r="O15" s="196">
        <f>N15</f>
        <v>0</v>
      </c>
      <c r="P15" s="20">
        <f>O15-N15</f>
        <v>0</v>
      </c>
      <c r="Q15" s="251">
        <f t="shared" si="6"/>
        <v>0</v>
      </c>
      <c r="R15" s="263">
        <f t="shared" si="6"/>
        <v>0</v>
      </c>
      <c r="S15" s="241">
        <f>R15-Q15</f>
        <v>0</v>
      </c>
      <c r="T15" s="130">
        <v>87248</v>
      </c>
      <c r="U15" s="277">
        <f>T15</f>
        <v>87248</v>
      </c>
      <c r="V15" s="272">
        <f>U15-T15</f>
        <v>0</v>
      </c>
      <c r="W15" s="270">
        <f t="shared" si="7"/>
        <v>87248</v>
      </c>
      <c r="X15" s="269">
        <f t="shared" si="7"/>
        <v>87248</v>
      </c>
      <c r="Y15" s="241">
        <f>X15-W15</f>
        <v>0</v>
      </c>
      <c r="Z15" s="186">
        <f t="shared" si="8"/>
        <v>87248</v>
      </c>
      <c r="AA15" s="186">
        <f t="shared" si="8"/>
        <v>87248</v>
      </c>
      <c r="AB15" s="186">
        <f t="shared" si="8"/>
        <v>0</v>
      </c>
      <c r="AC15" s="130">
        <v>87248</v>
      </c>
      <c r="AD15" s="195">
        <f>AC15</f>
        <v>87248</v>
      </c>
      <c r="AE15" s="20">
        <f>AD15-AC15</f>
        <v>0</v>
      </c>
      <c r="AF15" s="68"/>
      <c r="AG15" s="195">
        <f>AF15</f>
        <v>0</v>
      </c>
      <c r="AH15" s="20">
        <f>AG15-AF15</f>
        <v>0</v>
      </c>
      <c r="AI15" s="130"/>
      <c r="AJ15" s="195">
        <f>AI15</f>
        <v>0</v>
      </c>
      <c r="AK15" s="20">
        <f>AJ15-AI15</f>
        <v>0</v>
      </c>
      <c r="AL15" s="381"/>
      <c r="AM15" s="26">
        <f t="shared" si="1"/>
        <v>87248</v>
      </c>
    </row>
    <row r="16" spans="1:39" s="9" customFormat="1" ht="13.5">
      <c r="A16" s="177" t="s">
        <v>70</v>
      </c>
      <c r="B16" s="130">
        <f aca="true" t="shared" si="9" ref="B16:AK16">SUM(B17:B18)</f>
        <v>0</v>
      </c>
      <c r="C16" s="68">
        <f t="shared" si="9"/>
        <v>0</v>
      </c>
      <c r="D16" s="20">
        <f t="shared" si="9"/>
        <v>0</v>
      </c>
      <c r="E16" s="196">
        <f t="shared" si="9"/>
        <v>0</v>
      </c>
      <c r="F16" s="68">
        <f t="shared" si="9"/>
        <v>0</v>
      </c>
      <c r="G16" s="20">
        <f t="shared" si="9"/>
        <v>0</v>
      </c>
      <c r="H16" s="68">
        <f t="shared" si="9"/>
        <v>0</v>
      </c>
      <c r="I16" s="68">
        <f t="shared" si="9"/>
        <v>0</v>
      </c>
      <c r="J16" s="20">
        <f t="shared" si="9"/>
        <v>0</v>
      </c>
      <c r="K16" s="130">
        <f t="shared" si="9"/>
        <v>0</v>
      </c>
      <c r="L16" s="196">
        <f t="shared" si="9"/>
        <v>0</v>
      </c>
      <c r="M16" s="20">
        <f t="shared" si="9"/>
        <v>0</v>
      </c>
      <c r="N16" s="130">
        <f t="shared" si="9"/>
        <v>0</v>
      </c>
      <c r="O16" s="196">
        <f t="shared" si="9"/>
        <v>0</v>
      </c>
      <c r="P16" s="20">
        <f t="shared" si="9"/>
        <v>0</v>
      </c>
      <c r="Q16" s="249">
        <f t="shared" si="9"/>
        <v>0</v>
      </c>
      <c r="R16" s="263">
        <f t="shared" si="9"/>
        <v>0</v>
      </c>
      <c r="S16" s="241">
        <f t="shared" si="9"/>
        <v>0</v>
      </c>
      <c r="T16" s="130">
        <f t="shared" si="9"/>
        <v>13357</v>
      </c>
      <c r="U16" s="277">
        <f t="shared" si="9"/>
        <v>13357</v>
      </c>
      <c r="V16" s="272">
        <f t="shared" si="9"/>
        <v>0</v>
      </c>
      <c r="W16" s="270">
        <f t="shared" si="9"/>
        <v>13357</v>
      </c>
      <c r="X16" s="269">
        <f t="shared" si="9"/>
        <v>13357</v>
      </c>
      <c r="Y16" s="241">
        <f t="shared" si="9"/>
        <v>0</v>
      </c>
      <c r="Z16" s="186">
        <f t="shared" si="9"/>
        <v>13357</v>
      </c>
      <c r="AA16" s="186">
        <f t="shared" si="9"/>
        <v>13357</v>
      </c>
      <c r="AB16" s="186">
        <f t="shared" si="9"/>
        <v>0</v>
      </c>
      <c r="AC16" s="130">
        <f t="shared" si="9"/>
        <v>8218</v>
      </c>
      <c r="AD16" s="196">
        <f t="shared" si="9"/>
        <v>8218</v>
      </c>
      <c r="AE16" s="20">
        <f t="shared" si="9"/>
        <v>0</v>
      </c>
      <c r="AF16" s="68">
        <f t="shared" si="9"/>
        <v>5139</v>
      </c>
      <c r="AG16" s="196">
        <f t="shared" si="9"/>
        <v>5139</v>
      </c>
      <c r="AH16" s="20">
        <f t="shared" si="9"/>
        <v>0</v>
      </c>
      <c r="AI16" s="130">
        <f t="shared" si="9"/>
        <v>0</v>
      </c>
      <c r="AJ16" s="196">
        <f t="shared" si="9"/>
        <v>0</v>
      </c>
      <c r="AK16" s="20">
        <f t="shared" si="9"/>
        <v>0</v>
      </c>
      <c r="AL16" s="381"/>
      <c r="AM16" s="26">
        <f t="shared" si="1"/>
        <v>13357</v>
      </c>
    </row>
    <row r="17" spans="1:39" s="9" customFormat="1" ht="26.25">
      <c r="A17" s="180" t="s">
        <v>153</v>
      </c>
      <c r="B17" s="129"/>
      <c r="C17" s="85">
        <f>B17</f>
        <v>0</v>
      </c>
      <c r="D17" s="83">
        <f>C17-B17</f>
        <v>0</v>
      </c>
      <c r="E17" s="195"/>
      <c r="F17" s="85">
        <f>E17</f>
        <v>0</v>
      </c>
      <c r="G17" s="83">
        <f>F17-E17</f>
        <v>0</v>
      </c>
      <c r="H17" s="85"/>
      <c r="I17" s="85">
        <f>H17</f>
        <v>0</v>
      </c>
      <c r="J17" s="83">
        <f>I17-H17</f>
        <v>0</v>
      </c>
      <c r="K17" s="129"/>
      <c r="L17" s="195">
        <f>K17</f>
        <v>0</v>
      </c>
      <c r="M17" s="83">
        <f>L17-K17</f>
        <v>0</v>
      </c>
      <c r="N17" s="129"/>
      <c r="O17" s="195">
        <f>N17</f>
        <v>0</v>
      </c>
      <c r="P17" s="83">
        <f>O17-N17</f>
        <v>0</v>
      </c>
      <c r="Q17" s="249">
        <f>B17+E17+H17+K17+N17</f>
        <v>0</v>
      </c>
      <c r="R17" s="263">
        <f>C17+F17+I17+L17+O17</f>
        <v>0</v>
      </c>
      <c r="S17" s="241">
        <f>R17-Q17</f>
        <v>0</v>
      </c>
      <c r="T17" s="129">
        <v>13357</v>
      </c>
      <c r="U17" s="85">
        <f>T17</f>
        <v>13357</v>
      </c>
      <c r="V17" s="272">
        <f>U17-T17</f>
        <v>0</v>
      </c>
      <c r="W17" s="270">
        <f>T17+Q17</f>
        <v>13357</v>
      </c>
      <c r="X17" s="269">
        <f>U17+R17</f>
        <v>13357</v>
      </c>
      <c r="Y17" s="241">
        <f>X17-W17</f>
        <v>0</v>
      </c>
      <c r="Z17" s="185">
        <f aca="true" t="shared" si="10" ref="Z17:AB18">W17</f>
        <v>13357</v>
      </c>
      <c r="AA17" s="185">
        <f t="shared" si="10"/>
        <v>13357</v>
      </c>
      <c r="AB17" s="185">
        <f t="shared" si="10"/>
        <v>0</v>
      </c>
      <c r="AC17" s="129">
        <v>8218</v>
      </c>
      <c r="AD17" s="195">
        <f>AC17</f>
        <v>8218</v>
      </c>
      <c r="AE17" s="83">
        <f>AD17-AC17</f>
        <v>0</v>
      </c>
      <c r="AF17" s="85">
        <v>5139</v>
      </c>
      <c r="AG17" s="195">
        <f>AF17</f>
        <v>5139</v>
      </c>
      <c r="AH17" s="83">
        <f>AG17-AF17</f>
        <v>0</v>
      </c>
      <c r="AI17" s="129"/>
      <c r="AJ17" s="195">
        <f>AI17</f>
        <v>0</v>
      </c>
      <c r="AK17" s="83">
        <f>AJ17-AI17</f>
        <v>0</v>
      </c>
      <c r="AL17" s="382"/>
      <c r="AM17" s="26">
        <f t="shared" si="1"/>
        <v>13357</v>
      </c>
    </row>
    <row r="18" spans="1:39" s="9" customFormat="1" ht="14.25" thickBot="1">
      <c r="A18" s="180" t="s">
        <v>154</v>
      </c>
      <c r="B18" s="136"/>
      <c r="C18" s="137">
        <f>B18</f>
        <v>0</v>
      </c>
      <c r="D18" s="88">
        <f>C18-B18</f>
        <v>0</v>
      </c>
      <c r="E18" s="200"/>
      <c r="F18" s="137">
        <f>E18</f>
        <v>0</v>
      </c>
      <c r="G18" s="88">
        <f>F18-E18</f>
        <v>0</v>
      </c>
      <c r="H18" s="137"/>
      <c r="I18" s="137">
        <f>H18</f>
        <v>0</v>
      </c>
      <c r="J18" s="88">
        <f>I18-H18</f>
        <v>0</v>
      </c>
      <c r="K18" s="136"/>
      <c r="L18" s="200">
        <f>K18</f>
        <v>0</v>
      </c>
      <c r="M18" s="88">
        <f>L18-K18</f>
        <v>0</v>
      </c>
      <c r="N18" s="136"/>
      <c r="O18" s="200">
        <f>N18</f>
        <v>0</v>
      </c>
      <c r="P18" s="88">
        <f>O18-N18</f>
        <v>0</v>
      </c>
      <c r="Q18" s="249">
        <f>B18+E18+H18+K18+N18</f>
        <v>0</v>
      </c>
      <c r="R18" s="264">
        <f>C18+F18+I18+L18+O18</f>
        <v>0</v>
      </c>
      <c r="S18" s="243">
        <f>R18-Q18</f>
        <v>0</v>
      </c>
      <c r="T18" s="136">
        <v>0</v>
      </c>
      <c r="U18" s="137">
        <f>T18</f>
        <v>0</v>
      </c>
      <c r="V18" s="273">
        <f>U18-T18</f>
        <v>0</v>
      </c>
      <c r="W18" s="284">
        <f>T18+Q18</f>
        <v>0</v>
      </c>
      <c r="X18" s="290">
        <f>U18+R18</f>
        <v>0</v>
      </c>
      <c r="Y18" s="243">
        <f>X18-W18</f>
        <v>0</v>
      </c>
      <c r="Z18" s="190">
        <f t="shared" si="10"/>
        <v>0</v>
      </c>
      <c r="AA18" s="190">
        <f t="shared" si="10"/>
        <v>0</v>
      </c>
      <c r="AB18" s="190">
        <f t="shared" si="10"/>
        <v>0</v>
      </c>
      <c r="AC18" s="136"/>
      <c r="AD18" s="200">
        <f>AC18</f>
        <v>0</v>
      </c>
      <c r="AE18" s="88">
        <f>AD18-AC18</f>
        <v>0</v>
      </c>
      <c r="AF18" s="137"/>
      <c r="AG18" s="200">
        <f>AF18</f>
        <v>0</v>
      </c>
      <c r="AH18" s="88">
        <f>AG18-AF18</f>
        <v>0</v>
      </c>
      <c r="AI18" s="136"/>
      <c r="AJ18" s="200">
        <f>AI18</f>
        <v>0</v>
      </c>
      <c r="AK18" s="88">
        <f>AJ18-AI18</f>
        <v>0</v>
      </c>
      <c r="AL18" s="382"/>
      <c r="AM18" s="26">
        <f t="shared" si="1"/>
        <v>0</v>
      </c>
    </row>
    <row r="19" spans="1:39" s="11" customFormat="1" ht="14.25" customHeight="1" thickBot="1">
      <c r="A19" s="211" t="s">
        <v>114</v>
      </c>
      <c r="B19" s="212">
        <f aca="true" t="shared" si="11" ref="B19:AK19">B16+B15+B13</f>
        <v>0</v>
      </c>
      <c r="C19" s="212">
        <f t="shared" si="11"/>
        <v>0</v>
      </c>
      <c r="D19" s="214">
        <f t="shared" si="11"/>
        <v>0</v>
      </c>
      <c r="E19" s="215">
        <f t="shared" si="11"/>
        <v>0</v>
      </c>
      <c r="F19" s="213">
        <f t="shared" si="11"/>
        <v>0</v>
      </c>
      <c r="G19" s="214">
        <f t="shared" si="11"/>
        <v>0</v>
      </c>
      <c r="H19" s="213">
        <f t="shared" si="11"/>
        <v>0</v>
      </c>
      <c r="I19" s="213">
        <f t="shared" si="11"/>
        <v>0</v>
      </c>
      <c r="J19" s="214">
        <f t="shared" si="11"/>
        <v>0</v>
      </c>
      <c r="K19" s="212">
        <f t="shared" si="11"/>
        <v>0</v>
      </c>
      <c r="L19" s="215">
        <f t="shared" si="11"/>
        <v>0</v>
      </c>
      <c r="M19" s="214">
        <f t="shared" si="11"/>
        <v>0</v>
      </c>
      <c r="N19" s="212">
        <f t="shared" si="11"/>
        <v>0</v>
      </c>
      <c r="O19" s="215">
        <f t="shared" si="11"/>
        <v>0</v>
      </c>
      <c r="P19" s="214">
        <f t="shared" si="11"/>
        <v>0</v>
      </c>
      <c r="Q19" s="250">
        <f t="shared" si="11"/>
        <v>0</v>
      </c>
      <c r="R19" s="260">
        <f t="shared" si="11"/>
        <v>0</v>
      </c>
      <c r="S19" s="216">
        <f t="shared" si="11"/>
        <v>0</v>
      </c>
      <c r="T19" s="212">
        <f t="shared" si="11"/>
        <v>222138</v>
      </c>
      <c r="U19" s="236">
        <f t="shared" si="11"/>
        <v>893249</v>
      </c>
      <c r="V19" s="216">
        <f t="shared" si="11"/>
        <v>671111</v>
      </c>
      <c r="W19" s="235">
        <f t="shared" si="11"/>
        <v>222138</v>
      </c>
      <c r="X19" s="236">
        <f t="shared" si="11"/>
        <v>893249</v>
      </c>
      <c r="Y19" s="216">
        <f t="shared" si="11"/>
        <v>671111</v>
      </c>
      <c r="Z19" s="231">
        <f t="shared" si="11"/>
        <v>222138</v>
      </c>
      <c r="AA19" s="231">
        <f t="shared" si="11"/>
        <v>893249</v>
      </c>
      <c r="AB19" s="231">
        <f t="shared" si="11"/>
        <v>671111</v>
      </c>
      <c r="AC19" s="212">
        <f t="shared" si="11"/>
        <v>196759</v>
      </c>
      <c r="AD19" s="215">
        <f t="shared" si="11"/>
        <v>867870</v>
      </c>
      <c r="AE19" s="214">
        <f t="shared" si="11"/>
        <v>671111</v>
      </c>
      <c r="AF19" s="213">
        <f t="shared" si="11"/>
        <v>25379</v>
      </c>
      <c r="AG19" s="215">
        <f t="shared" si="11"/>
        <v>25379</v>
      </c>
      <c r="AH19" s="214">
        <f t="shared" si="11"/>
        <v>0</v>
      </c>
      <c r="AI19" s="212">
        <f t="shared" si="11"/>
        <v>0</v>
      </c>
      <c r="AJ19" s="215">
        <f t="shared" si="11"/>
        <v>0</v>
      </c>
      <c r="AK19" s="214">
        <f t="shared" si="11"/>
        <v>0</v>
      </c>
      <c r="AL19" s="383"/>
      <c r="AM19" s="26">
        <f t="shared" si="1"/>
        <v>893249</v>
      </c>
    </row>
    <row r="20" spans="1:39" s="11" customFormat="1" ht="15.75" customHeight="1" thickBot="1">
      <c r="A20" s="218" t="s">
        <v>112</v>
      </c>
      <c r="B20" s="212">
        <f aca="true" t="shared" si="12" ref="B20:AK20">B19+B12</f>
        <v>2080</v>
      </c>
      <c r="C20" s="212">
        <f t="shared" si="12"/>
        <v>2940</v>
      </c>
      <c r="D20" s="214">
        <f t="shared" si="12"/>
        <v>860</v>
      </c>
      <c r="E20" s="219">
        <f t="shared" si="12"/>
        <v>73500</v>
      </c>
      <c r="F20" s="213">
        <f t="shared" si="12"/>
        <v>76411</v>
      </c>
      <c r="G20" s="214">
        <f t="shared" si="12"/>
        <v>2911</v>
      </c>
      <c r="H20" s="220">
        <f t="shared" si="12"/>
        <v>4000</v>
      </c>
      <c r="I20" s="213">
        <f t="shared" si="12"/>
        <v>4952</v>
      </c>
      <c r="J20" s="214">
        <f t="shared" si="12"/>
        <v>952</v>
      </c>
      <c r="K20" s="223">
        <f t="shared" si="12"/>
        <v>2160</v>
      </c>
      <c r="L20" s="215">
        <f t="shared" si="12"/>
        <v>2651</v>
      </c>
      <c r="M20" s="214">
        <f t="shared" si="12"/>
        <v>491</v>
      </c>
      <c r="N20" s="223">
        <f t="shared" si="12"/>
        <v>102215</v>
      </c>
      <c r="O20" s="215">
        <f t="shared" si="12"/>
        <v>102370</v>
      </c>
      <c r="P20" s="214">
        <f t="shared" si="12"/>
        <v>155</v>
      </c>
      <c r="Q20" s="252">
        <f t="shared" si="12"/>
        <v>183955</v>
      </c>
      <c r="R20" s="260">
        <f t="shared" si="12"/>
        <v>189324</v>
      </c>
      <c r="S20" s="216">
        <f t="shared" si="12"/>
        <v>5369</v>
      </c>
      <c r="T20" s="223">
        <f t="shared" si="12"/>
        <v>1687669</v>
      </c>
      <c r="U20" s="236">
        <f t="shared" si="12"/>
        <v>2415376</v>
      </c>
      <c r="V20" s="216">
        <f t="shared" si="12"/>
        <v>727707</v>
      </c>
      <c r="W20" s="286">
        <f t="shared" si="12"/>
        <v>1871624</v>
      </c>
      <c r="X20" s="236">
        <f t="shared" si="12"/>
        <v>2604700</v>
      </c>
      <c r="Y20" s="216">
        <f t="shared" si="12"/>
        <v>733076</v>
      </c>
      <c r="Z20" s="233">
        <f t="shared" si="12"/>
        <v>1871624</v>
      </c>
      <c r="AA20" s="233">
        <f t="shared" si="12"/>
        <v>2604700</v>
      </c>
      <c r="AB20" s="233">
        <f t="shared" si="12"/>
        <v>733076</v>
      </c>
      <c r="AC20" s="223">
        <f t="shared" si="12"/>
        <v>1733936</v>
      </c>
      <c r="AD20" s="215">
        <f t="shared" si="12"/>
        <v>2465912</v>
      </c>
      <c r="AE20" s="214">
        <f t="shared" si="12"/>
        <v>731976</v>
      </c>
      <c r="AF20" s="220">
        <f t="shared" si="12"/>
        <v>137688</v>
      </c>
      <c r="AG20" s="215">
        <f t="shared" si="12"/>
        <v>138788</v>
      </c>
      <c r="AH20" s="214">
        <f t="shared" si="12"/>
        <v>1100</v>
      </c>
      <c r="AI20" s="223">
        <f t="shared" si="12"/>
        <v>0</v>
      </c>
      <c r="AJ20" s="215">
        <f t="shared" si="12"/>
        <v>0</v>
      </c>
      <c r="AK20" s="214">
        <f t="shared" si="12"/>
        <v>0</v>
      </c>
      <c r="AL20" s="383"/>
      <c r="AM20" s="26">
        <f t="shared" si="1"/>
        <v>2604700</v>
      </c>
    </row>
    <row r="21" spans="1:39" s="9" customFormat="1" ht="13.5">
      <c r="A21" s="181" t="s">
        <v>79</v>
      </c>
      <c r="B21" s="128">
        <f aca="true" t="shared" si="13" ref="B21:AK21">SUM(B22:B23)</f>
        <v>0</v>
      </c>
      <c r="C21" s="69">
        <f t="shared" si="13"/>
        <v>1463</v>
      </c>
      <c r="D21" s="70">
        <f t="shared" si="13"/>
        <v>1463</v>
      </c>
      <c r="E21" s="194">
        <f t="shared" si="13"/>
        <v>0</v>
      </c>
      <c r="F21" s="69">
        <f t="shared" si="13"/>
        <v>7217</v>
      </c>
      <c r="G21" s="70">
        <f t="shared" si="13"/>
        <v>7217</v>
      </c>
      <c r="H21" s="69">
        <f t="shared" si="13"/>
        <v>0</v>
      </c>
      <c r="I21" s="69">
        <f t="shared" si="13"/>
        <v>9360</v>
      </c>
      <c r="J21" s="70">
        <f t="shared" si="13"/>
        <v>9360</v>
      </c>
      <c r="K21" s="128">
        <f t="shared" si="13"/>
        <v>0</v>
      </c>
      <c r="L21" s="194">
        <f t="shared" si="13"/>
        <v>17168</v>
      </c>
      <c r="M21" s="70">
        <f t="shared" si="13"/>
        <v>17168</v>
      </c>
      <c r="N21" s="128">
        <f t="shared" si="13"/>
        <v>0</v>
      </c>
      <c r="O21" s="194">
        <f t="shared" si="13"/>
        <v>6868</v>
      </c>
      <c r="P21" s="70">
        <f t="shared" si="13"/>
        <v>6868</v>
      </c>
      <c r="Q21" s="248">
        <f t="shared" si="13"/>
        <v>0</v>
      </c>
      <c r="R21" s="262">
        <f t="shared" si="13"/>
        <v>42076</v>
      </c>
      <c r="S21" s="242">
        <f t="shared" si="13"/>
        <v>42076</v>
      </c>
      <c r="T21" s="128">
        <f t="shared" si="13"/>
        <v>105275</v>
      </c>
      <c r="U21" s="276">
        <f t="shared" si="13"/>
        <v>118171</v>
      </c>
      <c r="V21" s="271">
        <f t="shared" si="13"/>
        <v>12896</v>
      </c>
      <c r="W21" s="283">
        <f t="shared" si="13"/>
        <v>105275</v>
      </c>
      <c r="X21" s="289">
        <f t="shared" si="13"/>
        <v>160247</v>
      </c>
      <c r="Y21" s="242">
        <f t="shared" si="13"/>
        <v>54972</v>
      </c>
      <c r="Z21" s="184">
        <f t="shared" si="13"/>
        <v>105275</v>
      </c>
      <c r="AA21" s="184">
        <f t="shared" si="13"/>
        <v>160247</v>
      </c>
      <c r="AB21" s="184">
        <f t="shared" si="13"/>
        <v>54972</v>
      </c>
      <c r="AC21" s="128">
        <f t="shared" si="13"/>
        <v>105275</v>
      </c>
      <c r="AD21" s="194">
        <f t="shared" si="13"/>
        <v>160247</v>
      </c>
      <c r="AE21" s="70">
        <f t="shared" si="13"/>
        <v>54972</v>
      </c>
      <c r="AF21" s="69">
        <f t="shared" si="13"/>
        <v>0</v>
      </c>
      <c r="AG21" s="194">
        <f t="shared" si="13"/>
        <v>0</v>
      </c>
      <c r="AH21" s="70">
        <f t="shared" si="13"/>
        <v>0</v>
      </c>
      <c r="AI21" s="128">
        <f t="shared" si="13"/>
        <v>0</v>
      </c>
      <c r="AJ21" s="194">
        <f t="shared" si="13"/>
        <v>0</v>
      </c>
      <c r="AK21" s="70">
        <f t="shared" si="13"/>
        <v>0</v>
      </c>
      <c r="AL21" s="381"/>
      <c r="AM21" s="26">
        <f t="shared" si="1"/>
        <v>160247</v>
      </c>
    </row>
    <row r="22" spans="1:39" s="9" customFormat="1" ht="13.5">
      <c r="A22" s="179" t="s">
        <v>115</v>
      </c>
      <c r="B22" s="129"/>
      <c r="C22" s="85">
        <v>1463</v>
      </c>
      <c r="D22" s="83">
        <f>C22-B22</f>
        <v>1463</v>
      </c>
      <c r="E22" s="195"/>
      <c r="F22" s="85">
        <v>7217</v>
      </c>
      <c r="G22" s="83">
        <f>F22-E22</f>
        <v>7217</v>
      </c>
      <c r="H22" s="85"/>
      <c r="I22" s="85">
        <v>9360</v>
      </c>
      <c r="J22" s="83">
        <f>I22-H22</f>
        <v>9360</v>
      </c>
      <c r="K22" s="129"/>
      <c r="L22" s="195">
        <v>17168</v>
      </c>
      <c r="M22" s="83">
        <f>L22-K22</f>
        <v>17168</v>
      </c>
      <c r="N22" s="129"/>
      <c r="O22" s="195">
        <v>6868</v>
      </c>
      <c r="P22" s="83">
        <f>O22-N22</f>
        <v>6868</v>
      </c>
      <c r="Q22" s="249">
        <f aca="true" t="shared" si="14" ref="Q22:R24">B22+E22+H22+K22+N22</f>
        <v>0</v>
      </c>
      <c r="R22" s="263">
        <f t="shared" si="14"/>
        <v>42076</v>
      </c>
      <c r="S22" s="241">
        <f>R22-Q22</f>
        <v>42076</v>
      </c>
      <c r="T22" s="129">
        <v>85000</v>
      </c>
      <c r="U22" s="85">
        <f>118170-20275+1</f>
        <v>97896</v>
      </c>
      <c r="V22" s="272">
        <f>U22-T22</f>
        <v>12896</v>
      </c>
      <c r="W22" s="270">
        <f aca="true" t="shared" si="15" ref="W22:X24">T22+Q22</f>
        <v>85000</v>
      </c>
      <c r="X22" s="269">
        <f t="shared" si="15"/>
        <v>139972</v>
      </c>
      <c r="Y22" s="241">
        <f>X22-W22</f>
        <v>54972</v>
      </c>
      <c r="Z22" s="185">
        <f aca="true" t="shared" si="16" ref="Z22:AB23">W22</f>
        <v>85000</v>
      </c>
      <c r="AA22" s="185">
        <f t="shared" si="16"/>
        <v>139972</v>
      </c>
      <c r="AB22" s="185">
        <f t="shared" si="16"/>
        <v>54972</v>
      </c>
      <c r="AC22" s="129">
        <v>85000</v>
      </c>
      <c r="AD22" s="195">
        <f>AC22+54972</f>
        <v>139972</v>
      </c>
      <c r="AE22" s="83">
        <f>AD22-AC22</f>
        <v>54972</v>
      </c>
      <c r="AF22" s="85"/>
      <c r="AG22" s="195">
        <f>AF22</f>
        <v>0</v>
      </c>
      <c r="AH22" s="83">
        <f>AG22-AF22</f>
        <v>0</v>
      </c>
      <c r="AI22" s="129"/>
      <c r="AJ22" s="195">
        <f>AI22</f>
        <v>0</v>
      </c>
      <c r="AK22" s="83">
        <f>AJ22-AI22</f>
        <v>0</v>
      </c>
      <c r="AL22" s="382"/>
      <c r="AM22" s="26">
        <f t="shared" si="1"/>
        <v>139972</v>
      </c>
    </row>
    <row r="23" spans="1:39" s="9" customFormat="1" ht="13.5">
      <c r="A23" s="182" t="s">
        <v>116</v>
      </c>
      <c r="B23" s="129"/>
      <c r="C23" s="85">
        <f>B23</f>
        <v>0</v>
      </c>
      <c r="D23" s="83">
        <f>C23-B23</f>
        <v>0</v>
      </c>
      <c r="E23" s="200"/>
      <c r="F23" s="85">
        <f>E23</f>
        <v>0</v>
      </c>
      <c r="G23" s="83">
        <f>F23-E23</f>
        <v>0</v>
      </c>
      <c r="H23" s="137"/>
      <c r="I23" s="85">
        <f>H23</f>
        <v>0</v>
      </c>
      <c r="J23" s="83">
        <f>I23-H23</f>
        <v>0</v>
      </c>
      <c r="K23" s="136"/>
      <c r="L23" s="195">
        <f>K23</f>
        <v>0</v>
      </c>
      <c r="M23" s="83">
        <f>L23-K23</f>
        <v>0</v>
      </c>
      <c r="N23" s="136"/>
      <c r="O23" s="195">
        <f>N23</f>
        <v>0</v>
      </c>
      <c r="P23" s="83">
        <f>O23-N23</f>
        <v>0</v>
      </c>
      <c r="Q23" s="253">
        <f t="shared" si="14"/>
        <v>0</v>
      </c>
      <c r="R23" s="263">
        <f t="shared" si="14"/>
        <v>0</v>
      </c>
      <c r="S23" s="241">
        <f>R23-Q23</f>
        <v>0</v>
      </c>
      <c r="T23" s="136">
        <v>20275</v>
      </c>
      <c r="U23" s="85">
        <f>T23</f>
        <v>20275</v>
      </c>
      <c r="V23" s="272">
        <f>U23-T23</f>
        <v>0</v>
      </c>
      <c r="W23" s="284">
        <f t="shared" si="15"/>
        <v>20275</v>
      </c>
      <c r="X23" s="269">
        <f t="shared" si="15"/>
        <v>20275</v>
      </c>
      <c r="Y23" s="241">
        <f>X23-W23</f>
        <v>0</v>
      </c>
      <c r="Z23" s="190">
        <f t="shared" si="16"/>
        <v>20275</v>
      </c>
      <c r="AA23" s="190">
        <f t="shared" si="16"/>
        <v>20275</v>
      </c>
      <c r="AB23" s="190">
        <f t="shared" si="16"/>
        <v>0</v>
      </c>
      <c r="AC23" s="136">
        <v>20275</v>
      </c>
      <c r="AD23" s="195">
        <f>AC23</f>
        <v>20275</v>
      </c>
      <c r="AE23" s="83">
        <f>AD23-AC23</f>
        <v>0</v>
      </c>
      <c r="AF23" s="137"/>
      <c r="AG23" s="195">
        <f>AF23</f>
        <v>0</v>
      </c>
      <c r="AH23" s="83">
        <f>AG23-AF23</f>
        <v>0</v>
      </c>
      <c r="AI23" s="136"/>
      <c r="AJ23" s="195">
        <f>AI23</f>
        <v>0</v>
      </c>
      <c r="AK23" s="83">
        <f>AJ23-AI23</f>
        <v>0</v>
      </c>
      <c r="AL23" s="382"/>
      <c r="AM23" s="26">
        <f t="shared" si="1"/>
        <v>20275</v>
      </c>
    </row>
    <row r="24" spans="1:39" s="9" customFormat="1" ht="14.25" thickBot="1">
      <c r="A24" s="183" t="s">
        <v>151</v>
      </c>
      <c r="B24" s="138">
        <v>33911</v>
      </c>
      <c r="C24" s="139">
        <v>36350</v>
      </c>
      <c r="D24" s="21">
        <f>C24-B24</f>
        <v>2439</v>
      </c>
      <c r="E24" s="201">
        <v>41653</v>
      </c>
      <c r="F24" s="139">
        <v>42977</v>
      </c>
      <c r="G24" s="21">
        <f>F24-E24</f>
        <v>1324</v>
      </c>
      <c r="H24" s="139">
        <v>40455</v>
      </c>
      <c r="I24" s="139">
        <v>42054</v>
      </c>
      <c r="J24" s="21">
        <f>I24-H24</f>
        <v>1599</v>
      </c>
      <c r="K24" s="138">
        <v>297184</v>
      </c>
      <c r="L24" s="201">
        <v>287506</v>
      </c>
      <c r="M24" s="21">
        <f>L24-K24</f>
        <v>-9678</v>
      </c>
      <c r="N24" s="138">
        <v>131335</v>
      </c>
      <c r="O24" s="201">
        <v>144177</v>
      </c>
      <c r="P24" s="21">
        <f>O24-N24</f>
        <v>12842</v>
      </c>
      <c r="Q24" s="254">
        <f t="shared" si="14"/>
        <v>544538</v>
      </c>
      <c r="R24" s="266">
        <f t="shared" si="14"/>
        <v>553064</v>
      </c>
      <c r="S24" s="244">
        <f>R24-Q24</f>
        <v>8526</v>
      </c>
      <c r="T24" s="138"/>
      <c r="U24" s="280">
        <f>T24</f>
        <v>0</v>
      </c>
      <c r="V24" s="275">
        <f>U24-T24</f>
        <v>0</v>
      </c>
      <c r="W24" s="287">
        <f t="shared" si="15"/>
        <v>544538</v>
      </c>
      <c r="X24" s="292">
        <f t="shared" si="15"/>
        <v>553064</v>
      </c>
      <c r="Y24" s="244">
        <f>X24-W24</f>
        <v>8526</v>
      </c>
      <c r="Z24" s="191">
        <f>Q24-W24</f>
        <v>0</v>
      </c>
      <c r="AA24" s="191">
        <f>X24-R24</f>
        <v>0</v>
      </c>
      <c r="AB24" s="191">
        <f>Y24-S24</f>
        <v>0</v>
      </c>
      <c r="AC24" s="138"/>
      <c r="AD24" s="201">
        <f>AC24</f>
        <v>0</v>
      </c>
      <c r="AE24" s="21">
        <f>AD24-AC24</f>
        <v>0</v>
      </c>
      <c r="AF24" s="139"/>
      <c r="AG24" s="201">
        <f>AF24</f>
        <v>0</v>
      </c>
      <c r="AH24" s="21">
        <f>AG24-AF24</f>
        <v>0</v>
      </c>
      <c r="AI24" s="138"/>
      <c r="AJ24" s="201">
        <f>AI24</f>
        <v>0</v>
      </c>
      <c r="AK24" s="21">
        <f>AJ24-AI24</f>
        <v>0</v>
      </c>
      <c r="AL24" s="381"/>
      <c r="AM24" s="26">
        <f t="shared" si="1"/>
        <v>0</v>
      </c>
    </row>
    <row r="25" spans="1:39" s="11" customFormat="1" ht="15.75" customHeight="1" thickBot="1">
      <c r="A25" s="211" t="s">
        <v>117</v>
      </c>
      <c r="B25" s="212">
        <f aca="true" t="shared" si="17" ref="B25:AK25">SUM(B21+B24)</f>
        <v>33911</v>
      </c>
      <c r="C25" s="212">
        <f t="shared" si="17"/>
        <v>37813</v>
      </c>
      <c r="D25" s="214">
        <f t="shared" si="17"/>
        <v>3902</v>
      </c>
      <c r="E25" s="215">
        <f t="shared" si="17"/>
        <v>41653</v>
      </c>
      <c r="F25" s="213">
        <f t="shared" si="17"/>
        <v>50194</v>
      </c>
      <c r="G25" s="214">
        <f t="shared" si="17"/>
        <v>8541</v>
      </c>
      <c r="H25" s="213">
        <f t="shared" si="17"/>
        <v>40455</v>
      </c>
      <c r="I25" s="213">
        <f t="shared" si="17"/>
        <v>51414</v>
      </c>
      <c r="J25" s="214">
        <f t="shared" si="17"/>
        <v>10959</v>
      </c>
      <c r="K25" s="212">
        <f t="shared" si="17"/>
        <v>297184</v>
      </c>
      <c r="L25" s="215">
        <f t="shared" si="17"/>
        <v>304674</v>
      </c>
      <c r="M25" s="214">
        <f t="shared" si="17"/>
        <v>7490</v>
      </c>
      <c r="N25" s="212">
        <f t="shared" si="17"/>
        <v>131335</v>
      </c>
      <c r="O25" s="215">
        <f t="shared" si="17"/>
        <v>151045</v>
      </c>
      <c r="P25" s="214">
        <f t="shared" si="17"/>
        <v>19710</v>
      </c>
      <c r="Q25" s="250">
        <f t="shared" si="17"/>
        <v>544538</v>
      </c>
      <c r="R25" s="260">
        <f t="shared" si="17"/>
        <v>595140</v>
      </c>
      <c r="S25" s="216">
        <f t="shared" si="17"/>
        <v>50602</v>
      </c>
      <c r="T25" s="212">
        <f t="shared" si="17"/>
        <v>105275</v>
      </c>
      <c r="U25" s="236">
        <f t="shared" si="17"/>
        <v>118171</v>
      </c>
      <c r="V25" s="216">
        <f t="shared" si="17"/>
        <v>12896</v>
      </c>
      <c r="W25" s="235">
        <f t="shared" si="17"/>
        <v>649813</v>
      </c>
      <c r="X25" s="236">
        <f t="shared" si="17"/>
        <v>713311</v>
      </c>
      <c r="Y25" s="216">
        <f t="shared" si="17"/>
        <v>63498</v>
      </c>
      <c r="Z25" s="231">
        <f t="shared" si="17"/>
        <v>105275</v>
      </c>
      <c r="AA25" s="231">
        <f t="shared" si="17"/>
        <v>160247</v>
      </c>
      <c r="AB25" s="231">
        <f t="shared" si="17"/>
        <v>54972</v>
      </c>
      <c r="AC25" s="212">
        <f t="shared" si="17"/>
        <v>105275</v>
      </c>
      <c r="AD25" s="215">
        <f t="shared" si="17"/>
        <v>160247</v>
      </c>
      <c r="AE25" s="214">
        <f t="shared" si="17"/>
        <v>54972</v>
      </c>
      <c r="AF25" s="213">
        <f t="shared" si="17"/>
        <v>0</v>
      </c>
      <c r="AG25" s="215">
        <f t="shared" si="17"/>
        <v>0</v>
      </c>
      <c r="AH25" s="214">
        <f t="shared" si="17"/>
        <v>0</v>
      </c>
      <c r="AI25" s="212">
        <f t="shared" si="17"/>
        <v>0</v>
      </c>
      <c r="AJ25" s="215">
        <f t="shared" si="17"/>
        <v>0</v>
      </c>
      <c r="AK25" s="214">
        <f t="shared" si="17"/>
        <v>0</v>
      </c>
      <c r="AL25" s="383"/>
      <c r="AM25" s="26">
        <f t="shared" si="1"/>
        <v>160247</v>
      </c>
    </row>
    <row r="26" spans="1:39" s="11" customFormat="1" ht="15.75" customHeight="1" thickBot="1">
      <c r="A26" s="224" t="s">
        <v>28</v>
      </c>
      <c r="B26" s="212">
        <f aca="true" t="shared" si="18" ref="B26:AK26">B25+B20</f>
        <v>35991</v>
      </c>
      <c r="C26" s="212">
        <f t="shared" si="18"/>
        <v>40753</v>
      </c>
      <c r="D26" s="214">
        <f t="shared" si="18"/>
        <v>4762</v>
      </c>
      <c r="E26" s="225">
        <f t="shared" si="18"/>
        <v>115153</v>
      </c>
      <c r="F26" s="213">
        <f t="shared" si="18"/>
        <v>126605</v>
      </c>
      <c r="G26" s="214">
        <f t="shared" si="18"/>
        <v>11452</v>
      </c>
      <c r="H26" s="226">
        <f t="shared" si="18"/>
        <v>44455</v>
      </c>
      <c r="I26" s="213">
        <f t="shared" si="18"/>
        <v>56366</v>
      </c>
      <c r="J26" s="214">
        <f t="shared" si="18"/>
        <v>11911</v>
      </c>
      <c r="K26" s="229">
        <f t="shared" si="18"/>
        <v>299344</v>
      </c>
      <c r="L26" s="215">
        <f t="shared" si="18"/>
        <v>307325</v>
      </c>
      <c r="M26" s="214">
        <f t="shared" si="18"/>
        <v>7981</v>
      </c>
      <c r="N26" s="229">
        <f t="shared" si="18"/>
        <v>233550</v>
      </c>
      <c r="O26" s="215">
        <f t="shared" si="18"/>
        <v>253415</v>
      </c>
      <c r="P26" s="214">
        <f t="shared" si="18"/>
        <v>19865</v>
      </c>
      <c r="Q26" s="255">
        <f t="shared" si="18"/>
        <v>728493</v>
      </c>
      <c r="R26" s="260">
        <f t="shared" si="18"/>
        <v>784464</v>
      </c>
      <c r="S26" s="216">
        <f t="shared" si="18"/>
        <v>55971</v>
      </c>
      <c r="T26" s="229">
        <f t="shared" si="18"/>
        <v>1792944</v>
      </c>
      <c r="U26" s="236">
        <f t="shared" si="18"/>
        <v>2533547</v>
      </c>
      <c r="V26" s="216">
        <f t="shared" si="18"/>
        <v>740603</v>
      </c>
      <c r="W26" s="288">
        <f t="shared" si="18"/>
        <v>2521437</v>
      </c>
      <c r="X26" s="236">
        <f t="shared" si="18"/>
        <v>3318011</v>
      </c>
      <c r="Y26" s="216">
        <f t="shared" si="18"/>
        <v>796574</v>
      </c>
      <c r="Z26" s="239">
        <f t="shared" si="18"/>
        <v>1976899</v>
      </c>
      <c r="AA26" s="239">
        <f t="shared" si="18"/>
        <v>2764947</v>
      </c>
      <c r="AB26" s="239">
        <f t="shared" si="18"/>
        <v>788048</v>
      </c>
      <c r="AC26" s="229">
        <f t="shared" si="18"/>
        <v>1839211</v>
      </c>
      <c r="AD26" s="215">
        <f t="shared" si="18"/>
        <v>2626159</v>
      </c>
      <c r="AE26" s="214">
        <f t="shared" si="18"/>
        <v>786948</v>
      </c>
      <c r="AF26" s="226">
        <f t="shared" si="18"/>
        <v>137688</v>
      </c>
      <c r="AG26" s="215">
        <f t="shared" si="18"/>
        <v>138788</v>
      </c>
      <c r="AH26" s="214">
        <f t="shared" si="18"/>
        <v>1100</v>
      </c>
      <c r="AI26" s="229">
        <f t="shared" si="18"/>
        <v>0</v>
      </c>
      <c r="AJ26" s="215">
        <f t="shared" si="18"/>
        <v>0</v>
      </c>
      <c r="AK26" s="214">
        <f t="shared" si="18"/>
        <v>0</v>
      </c>
      <c r="AL26" s="383"/>
      <c r="AM26" s="26">
        <f t="shared" si="1"/>
        <v>2764947</v>
      </c>
    </row>
    <row r="27" spans="5:39" s="9" customFormat="1" ht="7.5" customHeight="1" thickBot="1">
      <c r="E27" s="202"/>
      <c r="F27" s="203"/>
      <c r="G27" s="204"/>
      <c r="Q27" s="102"/>
      <c r="W27" s="100"/>
      <c r="AM27" s="26">
        <f>SUM(AC27:AI27)</f>
        <v>0</v>
      </c>
    </row>
    <row r="28" spans="1:39" s="9" customFormat="1" ht="25.5" customHeight="1">
      <c r="A28" s="402" t="s">
        <v>29</v>
      </c>
      <c r="B28" s="410" t="s">
        <v>64</v>
      </c>
      <c r="C28" s="411"/>
      <c r="D28" s="412"/>
      <c r="E28" s="399" t="s">
        <v>145</v>
      </c>
      <c r="F28" s="400"/>
      <c r="G28" s="401"/>
      <c r="H28" s="413" t="s">
        <v>78</v>
      </c>
      <c r="I28" s="414"/>
      <c r="J28" s="415"/>
      <c r="K28" s="399" t="s">
        <v>46</v>
      </c>
      <c r="L28" s="400"/>
      <c r="M28" s="401"/>
      <c r="N28" s="404" t="s">
        <v>169</v>
      </c>
      <c r="O28" s="405"/>
      <c r="P28" s="406"/>
      <c r="Q28" s="416" t="s">
        <v>18</v>
      </c>
      <c r="R28" s="417"/>
      <c r="S28" s="418"/>
      <c r="T28" s="399" t="s">
        <v>39</v>
      </c>
      <c r="U28" s="400"/>
      <c r="V28" s="401"/>
      <c r="W28" s="396" t="s">
        <v>152</v>
      </c>
      <c r="X28" s="397"/>
      <c r="Y28" s="398"/>
      <c r="Z28" s="404" t="s">
        <v>161</v>
      </c>
      <c r="AA28" s="405"/>
      <c r="AB28" s="406"/>
      <c r="AC28" s="393" t="s">
        <v>163</v>
      </c>
      <c r="AD28" s="394"/>
      <c r="AE28" s="395"/>
      <c r="AF28" s="393" t="s">
        <v>166</v>
      </c>
      <c r="AG28" s="394"/>
      <c r="AH28" s="395"/>
      <c r="AI28" s="393" t="s">
        <v>167</v>
      </c>
      <c r="AJ28" s="394"/>
      <c r="AK28" s="395"/>
      <c r="AL28" s="380"/>
      <c r="AM28" s="26">
        <f>SUM(AC28:AI28)</f>
        <v>0</v>
      </c>
    </row>
    <row r="29" spans="1:39" s="9" customFormat="1" ht="26.25" thickBot="1">
      <c r="A29" s="403"/>
      <c r="B29" s="318" t="s">
        <v>229</v>
      </c>
      <c r="C29" s="319" t="s">
        <v>230</v>
      </c>
      <c r="D29" s="320" t="s">
        <v>231</v>
      </c>
      <c r="E29" s="318" t="s">
        <v>229</v>
      </c>
      <c r="F29" s="319" t="s">
        <v>230</v>
      </c>
      <c r="G29" s="320" t="s">
        <v>231</v>
      </c>
      <c r="H29" s="321" t="s">
        <v>229</v>
      </c>
      <c r="I29" s="319" t="s">
        <v>230</v>
      </c>
      <c r="J29" s="320" t="s">
        <v>231</v>
      </c>
      <c r="K29" s="247" t="s">
        <v>229</v>
      </c>
      <c r="L29" s="319" t="s">
        <v>230</v>
      </c>
      <c r="M29" s="320" t="s">
        <v>231</v>
      </c>
      <c r="N29" s="247" t="s">
        <v>229</v>
      </c>
      <c r="O29" s="319" t="s">
        <v>230</v>
      </c>
      <c r="P29" s="320" t="s">
        <v>231</v>
      </c>
      <c r="Q29" s="322" t="s">
        <v>229</v>
      </c>
      <c r="R29" s="323" t="s">
        <v>230</v>
      </c>
      <c r="S29" s="324" t="s">
        <v>231</v>
      </c>
      <c r="T29" s="247" t="s">
        <v>229</v>
      </c>
      <c r="U29" s="319" t="s">
        <v>230</v>
      </c>
      <c r="V29" s="320" t="s">
        <v>231</v>
      </c>
      <c r="W29" s="325" t="s">
        <v>229</v>
      </c>
      <c r="X29" s="323" t="s">
        <v>230</v>
      </c>
      <c r="Y29" s="324" t="s">
        <v>231</v>
      </c>
      <c r="Z29" s="318" t="s">
        <v>229</v>
      </c>
      <c r="AA29" s="319" t="s">
        <v>230</v>
      </c>
      <c r="AB29" s="320" t="s">
        <v>231</v>
      </c>
      <c r="AC29" s="327" t="s">
        <v>229</v>
      </c>
      <c r="AD29" s="319" t="s">
        <v>230</v>
      </c>
      <c r="AE29" s="320" t="s">
        <v>231</v>
      </c>
      <c r="AF29" s="328" t="s">
        <v>229</v>
      </c>
      <c r="AG29" s="319" t="s">
        <v>230</v>
      </c>
      <c r="AH29" s="320" t="s">
        <v>231</v>
      </c>
      <c r="AI29" s="328" t="s">
        <v>229</v>
      </c>
      <c r="AJ29" s="319" t="s">
        <v>230</v>
      </c>
      <c r="AK29" s="320" t="s">
        <v>231</v>
      </c>
      <c r="AL29" s="295"/>
      <c r="AM29" s="26"/>
    </row>
    <row r="30" spans="1:39" s="9" customFormat="1" ht="13.5">
      <c r="A30" s="81" t="s">
        <v>30</v>
      </c>
      <c r="B30" s="132">
        <v>18678</v>
      </c>
      <c r="C30" s="133">
        <v>20434</v>
      </c>
      <c r="D30" s="188">
        <f>C30-B30</f>
        <v>1756</v>
      </c>
      <c r="E30" s="133">
        <v>36448</v>
      </c>
      <c r="F30" s="133">
        <v>37647</v>
      </c>
      <c r="G30" s="19">
        <f>F30-E30</f>
        <v>1199</v>
      </c>
      <c r="H30" s="133">
        <v>28125</v>
      </c>
      <c r="I30" s="133">
        <v>30052</v>
      </c>
      <c r="J30" s="19">
        <f>I30-H30</f>
        <v>1927</v>
      </c>
      <c r="K30" s="132">
        <v>186960</v>
      </c>
      <c r="L30" s="198">
        <v>189862</v>
      </c>
      <c r="M30" s="19">
        <f>L30-K30</f>
        <v>2902</v>
      </c>
      <c r="N30" s="132">
        <v>124451</v>
      </c>
      <c r="O30" s="198">
        <v>140500</v>
      </c>
      <c r="P30" s="19">
        <f>O30-N30</f>
        <v>16049</v>
      </c>
      <c r="Q30" s="251">
        <f aca="true" t="shared" si="19" ref="Q30:R33">B30+E30+H30+K30+N30</f>
        <v>394662</v>
      </c>
      <c r="R30" s="265">
        <f t="shared" si="19"/>
        <v>418495</v>
      </c>
      <c r="S30" s="258">
        <f>R30-Q30</f>
        <v>23833</v>
      </c>
      <c r="T30" s="132">
        <v>40334</v>
      </c>
      <c r="U30" s="279">
        <v>43269</v>
      </c>
      <c r="V30" s="19">
        <f>U30-T30</f>
        <v>2935</v>
      </c>
      <c r="W30" s="285">
        <f aca="true" t="shared" si="20" ref="W30:X33">T30+Q30</f>
        <v>434996</v>
      </c>
      <c r="X30" s="291">
        <f t="shared" si="20"/>
        <v>461764</v>
      </c>
      <c r="Y30" s="258">
        <f>X30-W30</f>
        <v>26768</v>
      </c>
      <c r="Z30" s="19">
        <f aca="true" t="shared" si="21" ref="Z30:AB33">W30</f>
        <v>434996</v>
      </c>
      <c r="AA30" s="19">
        <f t="shared" si="21"/>
        <v>461764</v>
      </c>
      <c r="AB30" s="19">
        <f t="shared" si="21"/>
        <v>26768</v>
      </c>
      <c r="AC30" s="132">
        <v>354351</v>
      </c>
      <c r="AD30" s="198">
        <f>AC30+1756+1323+1927+2902+16049+1213</f>
        <v>379521</v>
      </c>
      <c r="AE30" s="19">
        <f>AD30-AC30</f>
        <v>25170</v>
      </c>
      <c r="AF30" s="133">
        <v>24557</v>
      </c>
      <c r="AG30" s="198">
        <f>AF30-124+1722</f>
        <v>26155</v>
      </c>
      <c r="AH30" s="19">
        <f>AG30-AF30</f>
        <v>1598</v>
      </c>
      <c r="AI30" s="132">
        <v>56088</v>
      </c>
      <c r="AJ30" s="198">
        <f>AI30</f>
        <v>56088</v>
      </c>
      <c r="AK30" s="19">
        <f>AJ30-AI30</f>
        <v>0</v>
      </c>
      <c r="AL30" s="381"/>
      <c r="AM30" s="26">
        <f aca="true" t="shared" si="22" ref="AM30:AM50">AJ30+AG30+AD30</f>
        <v>461764</v>
      </c>
    </row>
    <row r="31" spans="1:39" s="9" customFormat="1" ht="13.5">
      <c r="A31" s="72" t="s">
        <v>31</v>
      </c>
      <c r="B31" s="130">
        <v>4128</v>
      </c>
      <c r="C31" s="68">
        <v>4427</v>
      </c>
      <c r="D31" s="186">
        <f>C31-B31</f>
        <v>299</v>
      </c>
      <c r="E31" s="68">
        <v>8381</v>
      </c>
      <c r="F31" s="68">
        <v>8958</v>
      </c>
      <c r="G31" s="20">
        <f>F31-E31</f>
        <v>577</v>
      </c>
      <c r="H31" s="68">
        <v>6105</v>
      </c>
      <c r="I31" s="68">
        <v>6510</v>
      </c>
      <c r="J31" s="20">
        <f>I31-H31</f>
        <v>405</v>
      </c>
      <c r="K31" s="130">
        <v>46284</v>
      </c>
      <c r="L31" s="196">
        <v>46862</v>
      </c>
      <c r="M31" s="20">
        <f>L31-K31</f>
        <v>578</v>
      </c>
      <c r="N31" s="130">
        <v>29639</v>
      </c>
      <c r="O31" s="196">
        <v>31876</v>
      </c>
      <c r="P31" s="20">
        <f>O31-N31</f>
        <v>2237</v>
      </c>
      <c r="Q31" s="251">
        <f t="shared" si="19"/>
        <v>94537</v>
      </c>
      <c r="R31" s="263">
        <f t="shared" si="19"/>
        <v>98633</v>
      </c>
      <c r="S31" s="257">
        <f>R31-Q31</f>
        <v>4096</v>
      </c>
      <c r="T31" s="130">
        <v>9519</v>
      </c>
      <c r="U31" s="277">
        <v>9791</v>
      </c>
      <c r="V31" s="20">
        <f>U31-T31</f>
        <v>272</v>
      </c>
      <c r="W31" s="270">
        <f t="shared" si="20"/>
        <v>104056</v>
      </c>
      <c r="X31" s="269">
        <f t="shared" si="20"/>
        <v>108424</v>
      </c>
      <c r="Y31" s="257">
        <f>X31-W31</f>
        <v>4368</v>
      </c>
      <c r="Z31" s="20">
        <f t="shared" si="21"/>
        <v>104056</v>
      </c>
      <c r="AA31" s="20">
        <f t="shared" si="21"/>
        <v>108424</v>
      </c>
      <c r="AB31" s="20">
        <f t="shared" si="21"/>
        <v>4368</v>
      </c>
      <c r="AC31" s="130">
        <v>83871</v>
      </c>
      <c r="AD31" s="196">
        <f>AC31+299+453+405+578+2237+229</f>
        <v>88072</v>
      </c>
      <c r="AE31" s="20">
        <f>AD31-AC31</f>
        <v>4201</v>
      </c>
      <c r="AF31" s="68">
        <v>6300</v>
      </c>
      <c r="AG31" s="196">
        <f>AF31+124+43</f>
        <v>6467</v>
      </c>
      <c r="AH31" s="20">
        <f>AG31-AF31</f>
        <v>167</v>
      </c>
      <c r="AI31" s="130">
        <v>13885</v>
      </c>
      <c r="AJ31" s="196">
        <f>AI31</f>
        <v>13885</v>
      </c>
      <c r="AK31" s="20">
        <f>AJ31-AI31</f>
        <v>0</v>
      </c>
      <c r="AL31" s="381"/>
      <c r="AM31" s="26">
        <f t="shared" si="22"/>
        <v>108424</v>
      </c>
    </row>
    <row r="32" spans="1:39" s="9" customFormat="1" ht="13.5">
      <c r="A32" s="72" t="s">
        <v>17</v>
      </c>
      <c r="B32" s="130">
        <v>13185</v>
      </c>
      <c r="C32" s="68">
        <v>15274</v>
      </c>
      <c r="D32" s="186">
        <f>C32-B32</f>
        <v>2089</v>
      </c>
      <c r="E32" s="68">
        <v>69324</v>
      </c>
      <c r="F32" s="68">
        <v>78925</v>
      </c>
      <c r="G32" s="20">
        <f>F32-E32</f>
        <v>9601</v>
      </c>
      <c r="H32" s="68">
        <v>10225</v>
      </c>
      <c r="I32" s="68">
        <v>14627</v>
      </c>
      <c r="J32" s="20">
        <f>I32-H32</f>
        <v>4402</v>
      </c>
      <c r="K32" s="130">
        <v>65100</v>
      </c>
      <c r="L32" s="196">
        <v>66100</v>
      </c>
      <c r="M32" s="20">
        <f>L32-K32</f>
        <v>1000</v>
      </c>
      <c r="N32" s="130">
        <v>79460</v>
      </c>
      <c r="O32" s="196">
        <v>78761</v>
      </c>
      <c r="P32" s="20">
        <f>O32-N32</f>
        <v>-699</v>
      </c>
      <c r="Q32" s="251">
        <f t="shared" si="19"/>
        <v>237294</v>
      </c>
      <c r="R32" s="263">
        <f t="shared" si="19"/>
        <v>253687</v>
      </c>
      <c r="S32" s="257">
        <f>R32-Q32</f>
        <v>16393</v>
      </c>
      <c r="T32" s="130">
        <v>507323</v>
      </c>
      <c r="U32" s="277">
        <f>534768-1</f>
        <v>534767</v>
      </c>
      <c r="V32" s="20">
        <f>U32-T32</f>
        <v>27444</v>
      </c>
      <c r="W32" s="270">
        <f t="shared" si="20"/>
        <v>744617</v>
      </c>
      <c r="X32" s="269">
        <f t="shared" si="20"/>
        <v>788454</v>
      </c>
      <c r="Y32" s="257">
        <f>X32-W32</f>
        <v>43837</v>
      </c>
      <c r="Z32" s="20">
        <f t="shared" si="21"/>
        <v>744617</v>
      </c>
      <c r="AA32" s="20">
        <f t="shared" si="21"/>
        <v>788454</v>
      </c>
      <c r="AB32" s="20">
        <f t="shared" si="21"/>
        <v>43837</v>
      </c>
      <c r="AC32" s="130">
        <v>626581</v>
      </c>
      <c r="AD32" s="196">
        <f>AC32+2089+8501+4402+1000-699+19829</f>
        <v>661703</v>
      </c>
      <c r="AE32" s="20">
        <f>AD32-AC32</f>
        <v>35122</v>
      </c>
      <c r="AF32" s="68">
        <v>98506</v>
      </c>
      <c r="AG32" s="196">
        <f>AF32+1100+7615</f>
        <v>107221</v>
      </c>
      <c r="AH32" s="20">
        <f>AG32-AF32</f>
        <v>8715</v>
      </c>
      <c r="AI32" s="130">
        <v>19530</v>
      </c>
      <c r="AJ32" s="196">
        <f>AI32</f>
        <v>19530</v>
      </c>
      <c r="AK32" s="20">
        <f>AJ32-AI32</f>
        <v>0</v>
      </c>
      <c r="AL32" s="381"/>
      <c r="AM32" s="26">
        <f t="shared" si="22"/>
        <v>788454</v>
      </c>
    </row>
    <row r="33" spans="1:39" s="9" customFormat="1" ht="13.5">
      <c r="A33" s="72" t="s">
        <v>32</v>
      </c>
      <c r="B33" s="130"/>
      <c r="C33" s="68">
        <f>B33</f>
        <v>0</v>
      </c>
      <c r="D33" s="186">
        <f>C33-B33</f>
        <v>0</v>
      </c>
      <c r="E33" s="68"/>
      <c r="F33" s="68">
        <f>E33</f>
        <v>0</v>
      </c>
      <c r="G33" s="20">
        <f>F33-E33</f>
        <v>0</v>
      </c>
      <c r="H33" s="68"/>
      <c r="I33" s="68">
        <f>H33</f>
        <v>0</v>
      </c>
      <c r="J33" s="20">
        <f>I33-H33</f>
        <v>0</v>
      </c>
      <c r="K33" s="130"/>
      <c r="L33" s="196">
        <f>K33</f>
        <v>0</v>
      </c>
      <c r="M33" s="20">
        <f>L33-K33</f>
        <v>0</v>
      </c>
      <c r="N33" s="130"/>
      <c r="O33" s="196">
        <f>N33</f>
        <v>0</v>
      </c>
      <c r="P33" s="20">
        <f>O33-N33</f>
        <v>0</v>
      </c>
      <c r="Q33" s="251">
        <f t="shared" si="19"/>
        <v>0</v>
      </c>
      <c r="R33" s="263">
        <f t="shared" si="19"/>
        <v>0</v>
      </c>
      <c r="S33" s="257">
        <f>R33-Q33</f>
        <v>0</v>
      </c>
      <c r="T33" s="130">
        <v>26800</v>
      </c>
      <c r="U33" s="277">
        <f>T33</f>
        <v>26800</v>
      </c>
      <c r="V33" s="20">
        <f>U33-T33</f>
        <v>0</v>
      </c>
      <c r="W33" s="270">
        <f t="shared" si="20"/>
        <v>26800</v>
      </c>
      <c r="X33" s="269">
        <f t="shared" si="20"/>
        <v>26800</v>
      </c>
      <c r="Y33" s="257">
        <f>X33-W33</f>
        <v>0</v>
      </c>
      <c r="Z33" s="20">
        <f t="shared" si="21"/>
        <v>26800</v>
      </c>
      <c r="AA33" s="20">
        <f t="shared" si="21"/>
        <v>26800</v>
      </c>
      <c r="AB33" s="20">
        <f t="shared" si="21"/>
        <v>0</v>
      </c>
      <c r="AC33" s="130">
        <v>26800</v>
      </c>
      <c r="AD33" s="196">
        <f>AC33</f>
        <v>26800</v>
      </c>
      <c r="AE33" s="20">
        <f>AD33-AC33</f>
        <v>0</v>
      </c>
      <c r="AF33" s="68"/>
      <c r="AG33" s="196">
        <f>AF33</f>
        <v>0</v>
      </c>
      <c r="AH33" s="20">
        <f>AG33-AF33</f>
        <v>0</v>
      </c>
      <c r="AI33" s="130"/>
      <c r="AJ33" s="196">
        <f>AI33</f>
        <v>0</v>
      </c>
      <c r="AK33" s="20">
        <f>AJ33-AI33</f>
        <v>0</v>
      </c>
      <c r="AL33" s="381"/>
      <c r="AM33" s="26">
        <f t="shared" si="22"/>
        <v>26800</v>
      </c>
    </row>
    <row r="34" spans="1:39" s="9" customFormat="1" ht="14.25" thickBot="1">
      <c r="A34" s="72" t="s">
        <v>132</v>
      </c>
      <c r="B34" s="130">
        <f aca="true" t="shared" si="23" ref="B34:AK34">SUM(B35:B38)</f>
        <v>0</v>
      </c>
      <c r="C34" s="68">
        <f t="shared" si="23"/>
        <v>0</v>
      </c>
      <c r="D34" s="186">
        <f t="shared" si="23"/>
        <v>0</v>
      </c>
      <c r="E34" s="68">
        <f t="shared" si="23"/>
        <v>0</v>
      </c>
      <c r="F34" s="68">
        <f t="shared" si="23"/>
        <v>0</v>
      </c>
      <c r="G34" s="20">
        <f t="shared" si="23"/>
        <v>0</v>
      </c>
      <c r="H34" s="68">
        <f t="shared" si="23"/>
        <v>0</v>
      </c>
      <c r="I34" s="68">
        <f t="shared" si="23"/>
        <v>0</v>
      </c>
      <c r="J34" s="20">
        <f t="shared" si="23"/>
        <v>0</v>
      </c>
      <c r="K34" s="130">
        <f t="shared" si="23"/>
        <v>0</v>
      </c>
      <c r="L34" s="196">
        <f t="shared" si="23"/>
        <v>1001</v>
      </c>
      <c r="M34" s="20">
        <f t="shared" si="23"/>
        <v>1001</v>
      </c>
      <c r="N34" s="130">
        <f t="shared" si="23"/>
        <v>0</v>
      </c>
      <c r="O34" s="196">
        <f t="shared" si="23"/>
        <v>1579</v>
      </c>
      <c r="P34" s="20">
        <f t="shared" si="23"/>
        <v>1579</v>
      </c>
      <c r="Q34" s="249">
        <f t="shared" si="23"/>
        <v>0</v>
      </c>
      <c r="R34" s="263">
        <f t="shared" si="23"/>
        <v>2580</v>
      </c>
      <c r="S34" s="257">
        <f t="shared" si="23"/>
        <v>2580</v>
      </c>
      <c r="T34" s="130">
        <f t="shared" si="23"/>
        <v>394949</v>
      </c>
      <c r="U34" s="130">
        <f t="shared" si="23"/>
        <v>414392</v>
      </c>
      <c r="V34" s="20">
        <f t="shared" si="23"/>
        <v>19443</v>
      </c>
      <c r="W34" s="270">
        <f t="shared" si="23"/>
        <v>394949</v>
      </c>
      <c r="X34" s="290">
        <f t="shared" si="23"/>
        <v>416972</v>
      </c>
      <c r="Y34" s="257">
        <f t="shared" si="23"/>
        <v>22023</v>
      </c>
      <c r="Z34" s="20">
        <f t="shared" si="23"/>
        <v>394949</v>
      </c>
      <c r="AA34" s="20">
        <f t="shared" si="23"/>
        <v>416972</v>
      </c>
      <c r="AB34" s="20">
        <f t="shared" si="23"/>
        <v>22023</v>
      </c>
      <c r="AC34" s="130">
        <f t="shared" si="23"/>
        <v>335706</v>
      </c>
      <c r="AD34" s="196">
        <f t="shared" si="23"/>
        <v>358841</v>
      </c>
      <c r="AE34" s="20">
        <f t="shared" si="23"/>
        <v>23135</v>
      </c>
      <c r="AF34" s="68">
        <f t="shared" si="23"/>
        <v>59243</v>
      </c>
      <c r="AG34" s="196">
        <f t="shared" si="23"/>
        <v>58131</v>
      </c>
      <c r="AH34" s="20">
        <f t="shared" si="23"/>
        <v>-1112</v>
      </c>
      <c r="AI34" s="130">
        <f t="shared" si="23"/>
        <v>0</v>
      </c>
      <c r="AJ34" s="196">
        <f t="shared" si="23"/>
        <v>0</v>
      </c>
      <c r="AK34" s="20">
        <f t="shared" si="23"/>
        <v>0</v>
      </c>
      <c r="AL34" s="381"/>
      <c r="AM34" s="26">
        <f t="shared" si="22"/>
        <v>416972</v>
      </c>
    </row>
    <row r="35" spans="1:39" s="9" customFormat="1" ht="14.25" thickBot="1">
      <c r="A35" s="82" t="s">
        <v>118</v>
      </c>
      <c r="B35" s="129"/>
      <c r="C35" s="85">
        <f>B35</f>
        <v>0</v>
      </c>
      <c r="D35" s="185">
        <f>C35-B35</f>
        <v>0</v>
      </c>
      <c r="E35" s="85"/>
      <c r="F35" s="85">
        <f>E35</f>
        <v>0</v>
      </c>
      <c r="G35" s="83">
        <f>F35-E35</f>
        <v>0</v>
      </c>
      <c r="H35" s="85"/>
      <c r="I35" s="85">
        <f>H35</f>
        <v>0</v>
      </c>
      <c r="J35" s="83">
        <f>I35-H35</f>
        <v>0</v>
      </c>
      <c r="K35" s="129"/>
      <c r="L35" s="195">
        <f>K35</f>
        <v>0</v>
      </c>
      <c r="M35" s="83">
        <f>L35-K35</f>
        <v>0</v>
      </c>
      <c r="N35" s="129"/>
      <c r="O35" s="195">
        <f>N35</f>
        <v>0</v>
      </c>
      <c r="P35" s="83">
        <f>O35-N35</f>
        <v>0</v>
      </c>
      <c r="Q35" s="249">
        <f aca="true" t="shared" si="24" ref="Q35:R38">B35+E35+H35+K35+N35</f>
        <v>0</v>
      </c>
      <c r="R35" s="263">
        <f t="shared" si="24"/>
        <v>0</v>
      </c>
      <c r="S35" s="256">
        <f>R35-Q35</f>
        <v>0</v>
      </c>
      <c r="T35" s="129">
        <v>0</v>
      </c>
      <c r="U35" s="85">
        <v>485</v>
      </c>
      <c r="V35" s="83">
        <f>U35-T35</f>
        <v>485</v>
      </c>
      <c r="W35" s="316">
        <f aca="true" t="shared" si="25" ref="W35:X38">T35+Q35</f>
        <v>0</v>
      </c>
      <c r="X35" s="326">
        <f t="shared" si="25"/>
        <v>485</v>
      </c>
      <c r="Y35" s="317">
        <f>X35-W35</f>
        <v>485</v>
      </c>
      <c r="Z35" s="83">
        <f aca="true" t="shared" si="26" ref="Z35:AB38">W35</f>
        <v>0</v>
      </c>
      <c r="AA35" s="83">
        <f t="shared" si="26"/>
        <v>485</v>
      </c>
      <c r="AB35" s="83">
        <f t="shared" si="26"/>
        <v>485</v>
      </c>
      <c r="AC35" s="129">
        <v>0</v>
      </c>
      <c r="AD35" s="195">
        <f>AC35+485</f>
        <v>485</v>
      </c>
      <c r="AE35" s="83">
        <f>AD35-AC35</f>
        <v>485</v>
      </c>
      <c r="AF35" s="85"/>
      <c r="AG35" s="195">
        <f>AF35</f>
        <v>0</v>
      </c>
      <c r="AH35" s="83">
        <f>AG35-AF35</f>
        <v>0</v>
      </c>
      <c r="AI35" s="129"/>
      <c r="AJ35" s="195">
        <f>AI35</f>
        <v>0</v>
      </c>
      <c r="AK35" s="83">
        <f>AJ35-AI35</f>
        <v>0</v>
      </c>
      <c r="AL35" s="382"/>
      <c r="AM35" s="26">
        <f t="shared" si="22"/>
        <v>485</v>
      </c>
    </row>
    <row r="36" spans="1:39" s="9" customFormat="1" ht="13.5">
      <c r="A36" s="82" t="s">
        <v>147</v>
      </c>
      <c r="B36" s="129"/>
      <c r="C36" s="85">
        <f>B36</f>
        <v>0</v>
      </c>
      <c r="D36" s="185">
        <f>C36-B36</f>
        <v>0</v>
      </c>
      <c r="E36" s="85"/>
      <c r="F36" s="85">
        <f>E36</f>
        <v>0</v>
      </c>
      <c r="G36" s="83">
        <f>F36-E36</f>
        <v>0</v>
      </c>
      <c r="H36" s="85"/>
      <c r="I36" s="85">
        <f>H36</f>
        <v>0</v>
      </c>
      <c r="J36" s="83">
        <f>I36-H36</f>
        <v>0</v>
      </c>
      <c r="K36" s="129"/>
      <c r="L36" s="195">
        <v>1001</v>
      </c>
      <c r="M36" s="83">
        <f>L36-K36</f>
        <v>1001</v>
      </c>
      <c r="N36" s="129"/>
      <c r="O36" s="195">
        <v>1579</v>
      </c>
      <c r="P36" s="83">
        <f>O36-N36</f>
        <v>1579</v>
      </c>
      <c r="Q36" s="249">
        <f t="shared" si="24"/>
        <v>0</v>
      </c>
      <c r="R36" s="263">
        <f t="shared" si="24"/>
        <v>2580</v>
      </c>
      <c r="S36" s="256">
        <f>R36-Q36</f>
        <v>2580</v>
      </c>
      <c r="T36" s="129">
        <v>316206</v>
      </c>
      <c r="U36" s="85">
        <f>1800+47598+269805</f>
        <v>319203</v>
      </c>
      <c r="V36" s="83">
        <f>U36-T36</f>
        <v>2997</v>
      </c>
      <c r="W36" s="270">
        <f t="shared" si="25"/>
        <v>316206</v>
      </c>
      <c r="X36" s="291">
        <f t="shared" si="25"/>
        <v>321783</v>
      </c>
      <c r="Y36" s="256">
        <f>X36-W36</f>
        <v>5577</v>
      </c>
      <c r="Z36" s="83">
        <f t="shared" si="26"/>
        <v>316206</v>
      </c>
      <c r="AA36" s="83">
        <f t="shared" si="26"/>
        <v>321783</v>
      </c>
      <c r="AB36" s="83">
        <f t="shared" si="26"/>
        <v>5577</v>
      </c>
      <c r="AC36" s="129">
        <v>314406</v>
      </c>
      <c r="AD36" s="195">
        <f>AC36+1001+1579+2997</f>
        <v>319983</v>
      </c>
      <c r="AE36" s="83">
        <f>AD36-AC36</f>
        <v>5577</v>
      </c>
      <c r="AF36" s="85">
        <v>1800</v>
      </c>
      <c r="AG36" s="195">
        <f>AF36</f>
        <v>1800</v>
      </c>
      <c r="AH36" s="83">
        <f>AG36-AF36</f>
        <v>0</v>
      </c>
      <c r="AI36" s="129"/>
      <c r="AJ36" s="195">
        <f>AI36</f>
        <v>0</v>
      </c>
      <c r="AK36" s="83">
        <f>AJ36-AI36</f>
        <v>0</v>
      </c>
      <c r="AL36" s="382"/>
      <c r="AM36" s="26">
        <f t="shared" si="22"/>
        <v>321783</v>
      </c>
    </row>
    <row r="37" spans="1:39" s="9" customFormat="1" ht="13.5">
      <c r="A37" s="82" t="s">
        <v>148</v>
      </c>
      <c r="B37" s="129"/>
      <c r="C37" s="85">
        <f>B37</f>
        <v>0</v>
      </c>
      <c r="D37" s="185">
        <f>C37-B37</f>
        <v>0</v>
      </c>
      <c r="E37" s="85"/>
      <c r="F37" s="85">
        <f>E37</f>
        <v>0</v>
      </c>
      <c r="G37" s="83">
        <f>F37-E37</f>
        <v>0</v>
      </c>
      <c r="H37" s="85"/>
      <c r="I37" s="85">
        <f>H37</f>
        <v>0</v>
      </c>
      <c r="J37" s="83">
        <f>I37-H37</f>
        <v>0</v>
      </c>
      <c r="K37" s="129"/>
      <c r="L37" s="195">
        <f>K37</f>
        <v>0</v>
      </c>
      <c r="M37" s="83">
        <f>L37-K37</f>
        <v>0</v>
      </c>
      <c r="N37" s="129"/>
      <c r="O37" s="195">
        <f>N37</f>
        <v>0</v>
      </c>
      <c r="P37" s="83">
        <f>O37-N37</f>
        <v>0</v>
      </c>
      <c r="Q37" s="249">
        <f t="shared" si="24"/>
        <v>0</v>
      </c>
      <c r="R37" s="263">
        <f t="shared" si="24"/>
        <v>0</v>
      </c>
      <c r="S37" s="256">
        <f>R37-Q37</f>
        <v>0</v>
      </c>
      <c r="T37" s="129">
        <v>43579</v>
      </c>
      <c r="U37" s="85">
        <f>42987</f>
        <v>42987</v>
      </c>
      <c r="V37" s="83">
        <f>U37-T37</f>
        <v>-592</v>
      </c>
      <c r="W37" s="270">
        <f t="shared" si="25"/>
        <v>43579</v>
      </c>
      <c r="X37" s="269">
        <f t="shared" si="25"/>
        <v>42987</v>
      </c>
      <c r="Y37" s="256">
        <f>X37-W37</f>
        <v>-592</v>
      </c>
      <c r="Z37" s="83">
        <f t="shared" si="26"/>
        <v>43579</v>
      </c>
      <c r="AA37" s="83">
        <f t="shared" si="26"/>
        <v>42987</v>
      </c>
      <c r="AB37" s="83">
        <f t="shared" si="26"/>
        <v>-592</v>
      </c>
      <c r="AC37" s="129">
        <v>17800</v>
      </c>
      <c r="AD37" s="195">
        <f>AC37</f>
        <v>17800</v>
      </c>
      <c r="AE37" s="83">
        <f>AD37-AC37</f>
        <v>0</v>
      </c>
      <c r="AF37" s="85">
        <v>25779</v>
      </c>
      <c r="AG37" s="195">
        <f>AF37-592</f>
        <v>25187</v>
      </c>
      <c r="AH37" s="83">
        <f>AG37-AF37</f>
        <v>-592</v>
      </c>
      <c r="AI37" s="129"/>
      <c r="AJ37" s="195">
        <f>AI37</f>
        <v>0</v>
      </c>
      <c r="AK37" s="83">
        <f>AJ37-AI37</f>
        <v>0</v>
      </c>
      <c r="AL37" s="382"/>
      <c r="AM37" s="26">
        <f t="shared" si="22"/>
        <v>42987</v>
      </c>
    </row>
    <row r="38" spans="1:39" s="9" customFormat="1" ht="14.25" thickBot="1">
      <c r="A38" s="82" t="s">
        <v>133</v>
      </c>
      <c r="B38" s="138"/>
      <c r="C38" s="139">
        <f>B38</f>
        <v>0</v>
      </c>
      <c r="D38" s="191">
        <f>C38-B38</f>
        <v>0</v>
      </c>
      <c r="E38" s="139"/>
      <c r="F38" s="139">
        <f>E38</f>
        <v>0</v>
      </c>
      <c r="G38" s="21">
        <f>F38-E38</f>
        <v>0</v>
      </c>
      <c r="H38" s="139"/>
      <c r="I38" s="139">
        <f>H38</f>
        <v>0</v>
      </c>
      <c r="J38" s="21">
        <f>I38-H38</f>
        <v>0</v>
      </c>
      <c r="K38" s="138"/>
      <c r="L38" s="201">
        <f>K38</f>
        <v>0</v>
      </c>
      <c r="M38" s="21">
        <f>L38-K38</f>
        <v>0</v>
      </c>
      <c r="N38" s="138"/>
      <c r="O38" s="201">
        <f>N38</f>
        <v>0</v>
      </c>
      <c r="P38" s="21">
        <f>O38-N38</f>
        <v>0</v>
      </c>
      <c r="Q38" s="249">
        <f t="shared" si="24"/>
        <v>0</v>
      </c>
      <c r="R38" s="266">
        <f t="shared" si="24"/>
        <v>0</v>
      </c>
      <c r="S38" s="259">
        <f>R38-Q38</f>
        <v>0</v>
      </c>
      <c r="T38" s="138">
        <v>35164</v>
      </c>
      <c r="U38" s="87">
        <v>51717</v>
      </c>
      <c r="V38" s="21">
        <f>U38-T38</f>
        <v>16553</v>
      </c>
      <c r="W38" s="287">
        <f t="shared" si="25"/>
        <v>35164</v>
      </c>
      <c r="X38" s="292">
        <f t="shared" si="25"/>
        <v>51717</v>
      </c>
      <c r="Y38" s="259">
        <f>X38-W38</f>
        <v>16553</v>
      </c>
      <c r="Z38" s="21">
        <f t="shared" si="26"/>
        <v>35164</v>
      </c>
      <c r="AA38" s="21">
        <f t="shared" si="26"/>
        <v>51717</v>
      </c>
      <c r="AB38" s="21">
        <f t="shared" si="26"/>
        <v>16553</v>
      </c>
      <c r="AC38" s="138">
        <v>3500</v>
      </c>
      <c r="AD38" s="201">
        <f>AC38+17073</f>
        <v>20573</v>
      </c>
      <c r="AE38" s="21">
        <f>AD38-AC38</f>
        <v>17073</v>
      </c>
      <c r="AF38" s="139">
        <v>31664</v>
      </c>
      <c r="AG38" s="201">
        <f>AF38-520</f>
        <v>31144</v>
      </c>
      <c r="AH38" s="21">
        <f>AG38-AF38</f>
        <v>-520</v>
      </c>
      <c r="AI38" s="138"/>
      <c r="AJ38" s="201">
        <f>AI38</f>
        <v>0</v>
      </c>
      <c r="AK38" s="21">
        <f>AJ38-AI38</f>
        <v>0</v>
      </c>
      <c r="AL38" s="381"/>
      <c r="AM38" s="26">
        <f t="shared" si="22"/>
        <v>51717</v>
      </c>
    </row>
    <row r="39" spans="1:39" s="9" customFormat="1" ht="14.25" thickBot="1">
      <c r="A39" s="230" t="s">
        <v>124</v>
      </c>
      <c r="B39" s="212">
        <f aca="true" t="shared" si="27" ref="B39:AK39">B30+B31+B32+B33+B34</f>
        <v>35991</v>
      </c>
      <c r="C39" s="212">
        <f t="shared" si="27"/>
        <v>40135</v>
      </c>
      <c r="D39" s="231">
        <f t="shared" si="27"/>
        <v>4144</v>
      </c>
      <c r="E39" s="213">
        <f t="shared" si="27"/>
        <v>114153</v>
      </c>
      <c r="F39" s="213">
        <f t="shared" si="27"/>
        <v>125530</v>
      </c>
      <c r="G39" s="214">
        <f t="shared" si="27"/>
        <v>11377</v>
      </c>
      <c r="H39" s="213">
        <f t="shared" si="27"/>
        <v>44455</v>
      </c>
      <c r="I39" s="213">
        <f t="shared" si="27"/>
        <v>51189</v>
      </c>
      <c r="J39" s="214">
        <f t="shared" si="27"/>
        <v>6734</v>
      </c>
      <c r="K39" s="212">
        <f t="shared" si="27"/>
        <v>298344</v>
      </c>
      <c r="L39" s="215">
        <f t="shared" si="27"/>
        <v>303825</v>
      </c>
      <c r="M39" s="214">
        <f t="shared" si="27"/>
        <v>5481</v>
      </c>
      <c r="N39" s="212">
        <f t="shared" si="27"/>
        <v>233550</v>
      </c>
      <c r="O39" s="215">
        <f t="shared" si="27"/>
        <v>252716</v>
      </c>
      <c r="P39" s="214">
        <f t="shared" si="27"/>
        <v>19166</v>
      </c>
      <c r="Q39" s="250">
        <f t="shared" si="27"/>
        <v>726493</v>
      </c>
      <c r="R39" s="260">
        <f t="shared" si="27"/>
        <v>773395</v>
      </c>
      <c r="S39" s="214">
        <f t="shared" si="27"/>
        <v>46902</v>
      </c>
      <c r="T39" s="212">
        <f t="shared" si="27"/>
        <v>978925</v>
      </c>
      <c r="U39" s="236">
        <f t="shared" si="27"/>
        <v>1029019</v>
      </c>
      <c r="V39" s="217">
        <f t="shared" si="27"/>
        <v>50094</v>
      </c>
      <c r="W39" s="235">
        <f t="shared" si="27"/>
        <v>1705418</v>
      </c>
      <c r="X39" s="236">
        <f t="shared" si="27"/>
        <v>1802414</v>
      </c>
      <c r="Y39" s="217">
        <f t="shared" si="27"/>
        <v>96996</v>
      </c>
      <c r="Z39" s="214">
        <f t="shared" si="27"/>
        <v>1705418</v>
      </c>
      <c r="AA39" s="214">
        <f t="shared" si="27"/>
        <v>1802414</v>
      </c>
      <c r="AB39" s="214">
        <f t="shared" si="27"/>
        <v>96996</v>
      </c>
      <c r="AC39" s="212">
        <f t="shared" si="27"/>
        <v>1427309</v>
      </c>
      <c r="AD39" s="215">
        <f t="shared" si="27"/>
        <v>1514937</v>
      </c>
      <c r="AE39" s="214">
        <f t="shared" si="27"/>
        <v>87628</v>
      </c>
      <c r="AF39" s="213">
        <f t="shared" si="27"/>
        <v>188606</v>
      </c>
      <c r="AG39" s="215">
        <f t="shared" si="27"/>
        <v>197974</v>
      </c>
      <c r="AH39" s="214">
        <f t="shared" si="27"/>
        <v>9368</v>
      </c>
      <c r="AI39" s="212">
        <f t="shared" si="27"/>
        <v>89503</v>
      </c>
      <c r="AJ39" s="215">
        <f t="shared" si="27"/>
        <v>89503</v>
      </c>
      <c r="AK39" s="214">
        <f t="shared" si="27"/>
        <v>0</v>
      </c>
      <c r="AL39" s="383"/>
      <c r="AM39" s="26">
        <f t="shared" si="22"/>
        <v>1802414</v>
      </c>
    </row>
    <row r="40" spans="1:39" s="9" customFormat="1" ht="13.5">
      <c r="A40" s="62" t="s">
        <v>69</v>
      </c>
      <c r="B40" s="130"/>
      <c r="C40" s="68">
        <v>618</v>
      </c>
      <c r="D40" s="186">
        <f aca="true" t="shared" si="28" ref="D40:D45">C40-B40</f>
        <v>618</v>
      </c>
      <c r="E40" s="68">
        <v>1000</v>
      </c>
      <c r="F40" s="68">
        <v>1075</v>
      </c>
      <c r="G40" s="20">
        <f aca="true" t="shared" si="29" ref="G40:G45">F40-E40</f>
        <v>75</v>
      </c>
      <c r="H40" s="68"/>
      <c r="I40" s="68">
        <v>5177</v>
      </c>
      <c r="J40" s="20">
        <f aca="true" t="shared" si="30" ref="J40:J45">I40-H40</f>
        <v>5177</v>
      </c>
      <c r="K40" s="130">
        <v>1000</v>
      </c>
      <c r="L40" s="196">
        <v>3500</v>
      </c>
      <c r="M40" s="20">
        <f aca="true" t="shared" si="31" ref="M40:M45">L40-K40</f>
        <v>2500</v>
      </c>
      <c r="N40" s="130"/>
      <c r="O40" s="196">
        <v>699</v>
      </c>
      <c r="P40" s="20">
        <f aca="true" t="shared" si="32" ref="P40:P45">O40-N40</f>
        <v>699</v>
      </c>
      <c r="Q40" s="249">
        <f aca="true" t="shared" si="33" ref="Q40:R45">B40+E40+H40+K40+N40</f>
        <v>2000</v>
      </c>
      <c r="R40" s="263">
        <f t="shared" si="33"/>
        <v>11069</v>
      </c>
      <c r="S40" s="257">
        <f aca="true" t="shared" si="34" ref="S40:S45">R40-Q40</f>
        <v>9069</v>
      </c>
      <c r="T40" s="130">
        <v>158180</v>
      </c>
      <c r="U40" s="277">
        <v>588965</v>
      </c>
      <c r="V40" s="20">
        <f aca="true" t="shared" si="35" ref="V40:V45">U40-T40</f>
        <v>430785</v>
      </c>
      <c r="W40" s="270">
        <f aca="true" t="shared" si="36" ref="W40:X45">T40+Q40</f>
        <v>160180</v>
      </c>
      <c r="X40" s="269">
        <f t="shared" si="36"/>
        <v>600034</v>
      </c>
      <c r="Y40" s="257">
        <f aca="true" t="shared" si="37" ref="Y40:Y45">X40-W40</f>
        <v>439854</v>
      </c>
      <c r="Z40" s="20">
        <f aca="true" t="shared" si="38" ref="Z40:AB41">W40</f>
        <v>160180</v>
      </c>
      <c r="AA40" s="20">
        <f t="shared" si="38"/>
        <v>600034</v>
      </c>
      <c r="AB40" s="20">
        <f t="shared" si="38"/>
        <v>439854</v>
      </c>
      <c r="AC40" s="130">
        <v>138500</v>
      </c>
      <c r="AD40" s="196">
        <f>AC40+618+75+5177+2500+699+430785</f>
        <v>578354</v>
      </c>
      <c r="AE40" s="20">
        <f aca="true" t="shared" si="39" ref="AE40:AE45">AD40-AC40</f>
        <v>439854</v>
      </c>
      <c r="AF40" s="68">
        <v>21680</v>
      </c>
      <c r="AG40" s="196">
        <f>AF40</f>
        <v>21680</v>
      </c>
      <c r="AH40" s="20">
        <f aca="true" t="shared" si="40" ref="AH40:AH45">AG40-AF40</f>
        <v>0</v>
      </c>
      <c r="AI40" s="130"/>
      <c r="AJ40" s="196">
        <f aca="true" t="shared" si="41" ref="AJ40:AJ45">AI40</f>
        <v>0</v>
      </c>
      <c r="AK40" s="20">
        <f aca="true" t="shared" si="42" ref="AK40:AK45">AJ40-AI40</f>
        <v>0</v>
      </c>
      <c r="AL40" s="381"/>
      <c r="AM40" s="26">
        <f t="shared" si="22"/>
        <v>600034</v>
      </c>
    </row>
    <row r="41" spans="1:39" s="9" customFormat="1" ht="13.5">
      <c r="A41" s="81" t="s">
        <v>19</v>
      </c>
      <c r="B41" s="132"/>
      <c r="C41" s="133">
        <f>B41</f>
        <v>0</v>
      </c>
      <c r="D41" s="188">
        <f t="shared" si="28"/>
        <v>0</v>
      </c>
      <c r="E41" s="133"/>
      <c r="F41" s="133">
        <f>E41</f>
        <v>0</v>
      </c>
      <c r="G41" s="19">
        <f t="shared" si="29"/>
        <v>0</v>
      </c>
      <c r="H41" s="133"/>
      <c r="I41" s="133">
        <f>H41</f>
        <v>0</v>
      </c>
      <c r="J41" s="19">
        <f t="shared" si="30"/>
        <v>0</v>
      </c>
      <c r="K41" s="132"/>
      <c r="L41" s="198">
        <f>K41</f>
        <v>0</v>
      </c>
      <c r="M41" s="19">
        <f t="shared" si="31"/>
        <v>0</v>
      </c>
      <c r="N41" s="132"/>
      <c r="O41" s="198">
        <f>N41</f>
        <v>0</v>
      </c>
      <c r="P41" s="19">
        <f t="shared" si="32"/>
        <v>0</v>
      </c>
      <c r="Q41" s="249">
        <f t="shared" si="33"/>
        <v>0</v>
      </c>
      <c r="R41" s="265">
        <f t="shared" si="33"/>
        <v>0</v>
      </c>
      <c r="S41" s="258">
        <f t="shared" si="34"/>
        <v>0</v>
      </c>
      <c r="T41" s="132">
        <v>73253</v>
      </c>
      <c r="U41" s="279">
        <v>312602</v>
      </c>
      <c r="V41" s="19">
        <f t="shared" si="35"/>
        <v>239349</v>
      </c>
      <c r="W41" s="285">
        <f t="shared" si="36"/>
        <v>73253</v>
      </c>
      <c r="X41" s="291">
        <f t="shared" si="36"/>
        <v>312602</v>
      </c>
      <c r="Y41" s="258">
        <f t="shared" si="37"/>
        <v>239349</v>
      </c>
      <c r="Z41" s="19">
        <f t="shared" si="38"/>
        <v>73253</v>
      </c>
      <c r="AA41" s="19">
        <f t="shared" si="38"/>
        <v>312602</v>
      </c>
      <c r="AB41" s="19">
        <f t="shared" si="38"/>
        <v>239349</v>
      </c>
      <c r="AC41" s="132">
        <v>69453</v>
      </c>
      <c r="AD41" s="198">
        <f>AC41+243149</f>
        <v>312602</v>
      </c>
      <c r="AE41" s="19">
        <f t="shared" si="39"/>
        <v>243149</v>
      </c>
      <c r="AF41" s="133">
        <v>3800</v>
      </c>
      <c r="AG41" s="198">
        <f>AF41-3800</f>
        <v>0</v>
      </c>
      <c r="AH41" s="19">
        <f t="shared" si="40"/>
        <v>-3800</v>
      </c>
      <c r="AI41" s="132"/>
      <c r="AJ41" s="198">
        <f t="shared" si="41"/>
        <v>0</v>
      </c>
      <c r="AK41" s="19">
        <f t="shared" si="42"/>
        <v>0</v>
      </c>
      <c r="AL41" s="381"/>
      <c r="AM41" s="26">
        <f t="shared" si="22"/>
        <v>312602</v>
      </c>
    </row>
    <row r="42" spans="1:39" s="9" customFormat="1" ht="13.5">
      <c r="A42" s="72" t="s">
        <v>101</v>
      </c>
      <c r="B42" s="130">
        <f>SUM(B43:B45)</f>
        <v>0</v>
      </c>
      <c r="C42" s="68">
        <f>B42</f>
        <v>0</v>
      </c>
      <c r="D42" s="186">
        <f t="shared" si="28"/>
        <v>0</v>
      </c>
      <c r="E42" s="68">
        <f>SUM(E43:E45)</f>
        <v>0</v>
      </c>
      <c r="F42" s="68">
        <f>E42</f>
        <v>0</v>
      </c>
      <c r="G42" s="20">
        <f t="shared" si="29"/>
        <v>0</v>
      </c>
      <c r="H42" s="68">
        <f>SUM(H43:H45)</f>
        <v>0</v>
      </c>
      <c r="I42" s="68">
        <f>H42</f>
        <v>0</v>
      </c>
      <c r="J42" s="20">
        <f t="shared" si="30"/>
        <v>0</v>
      </c>
      <c r="K42" s="130">
        <f>SUM(K43:K45)</f>
        <v>0</v>
      </c>
      <c r="L42" s="196">
        <f>K42</f>
        <v>0</v>
      </c>
      <c r="M42" s="20">
        <f t="shared" si="31"/>
        <v>0</v>
      </c>
      <c r="N42" s="130">
        <f>SUM(N43:N45)</f>
        <v>0</v>
      </c>
      <c r="O42" s="196">
        <f>N42</f>
        <v>0</v>
      </c>
      <c r="P42" s="20">
        <f t="shared" si="32"/>
        <v>0</v>
      </c>
      <c r="Q42" s="249">
        <f t="shared" si="33"/>
        <v>0</v>
      </c>
      <c r="R42" s="263">
        <f t="shared" si="33"/>
        <v>0</v>
      </c>
      <c r="S42" s="257">
        <f t="shared" si="34"/>
        <v>0</v>
      </c>
      <c r="T42" s="130">
        <f>SUM(T43:T45)</f>
        <v>8980</v>
      </c>
      <c r="U42" s="277">
        <f>SUM(U43:U45)</f>
        <v>20829</v>
      </c>
      <c r="V42" s="20">
        <f t="shared" si="35"/>
        <v>11849</v>
      </c>
      <c r="W42" s="270">
        <f t="shared" si="36"/>
        <v>8980</v>
      </c>
      <c r="X42" s="269">
        <f t="shared" si="36"/>
        <v>20829</v>
      </c>
      <c r="Y42" s="257">
        <f t="shared" si="37"/>
        <v>11849</v>
      </c>
      <c r="Z42" s="20">
        <f>SUM(Z43:Z45)</f>
        <v>8980</v>
      </c>
      <c r="AA42" s="20">
        <f>SUM(AA43:AA45)</f>
        <v>20829</v>
      </c>
      <c r="AB42" s="20">
        <f>SUM(AB43:AB45)</f>
        <v>11849</v>
      </c>
      <c r="AC42" s="130">
        <f>SUM(AC43:AC45)</f>
        <v>5992</v>
      </c>
      <c r="AD42" s="130">
        <f>SUM(AD43:AD45)</f>
        <v>16391</v>
      </c>
      <c r="AE42" s="20">
        <f t="shared" si="39"/>
        <v>10399</v>
      </c>
      <c r="AF42" s="68">
        <f>SUM(AF43:AF45)</f>
        <v>2988</v>
      </c>
      <c r="AG42" s="196">
        <f>SUM(AG43:AG45)</f>
        <v>4438</v>
      </c>
      <c r="AH42" s="20">
        <f t="shared" si="40"/>
        <v>1450</v>
      </c>
      <c r="AI42" s="130">
        <f>SUM(AI43:AI45)</f>
        <v>0</v>
      </c>
      <c r="AJ42" s="196">
        <f t="shared" si="41"/>
        <v>0</v>
      </c>
      <c r="AK42" s="20">
        <f t="shared" si="42"/>
        <v>0</v>
      </c>
      <c r="AL42" s="381"/>
      <c r="AM42" s="26">
        <f t="shared" si="22"/>
        <v>20829</v>
      </c>
    </row>
    <row r="43" spans="1:39" s="9" customFormat="1" ht="13.5">
      <c r="A43" s="82" t="s">
        <v>155</v>
      </c>
      <c r="B43" s="129"/>
      <c r="C43" s="85">
        <f>B43</f>
        <v>0</v>
      </c>
      <c r="D43" s="185">
        <f t="shared" si="28"/>
        <v>0</v>
      </c>
      <c r="E43" s="85"/>
      <c r="F43" s="85">
        <f>E43</f>
        <v>0</v>
      </c>
      <c r="G43" s="83">
        <f t="shared" si="29"/>
        <v>0</v>
      </c>
      <c r="H43" s="85"/>
      <c r="I43" s="85">
        <f>H43</f>
        <v>0</v>
      </c>
      <c r="J43" s="83">
        <f t="shared" si="30"/>
        <v>0</v>
      </c>
      <c r="K43" s="129"/>
      <c r="L43" s="195">
        <f>K43</f>
        <v>0</v>
      </c>
      <c r="M43" s="83">
        <f t="shared" si="31"/>
        <v>0</v>
      </c>
      <c r="N43" s="129"/>
      <c r="O43" s="195">
        <f>N43</f>
        <v>0</v>
      </c>
      <c r="P43" s="83">
        <f t="shared" si="32"/>
        <v>0</v>
      </c>
      <c r="Q43" s="249">
        <f t="shared" si="33"/>
        <v>0</v>
      </c>
      <c r="R43" s="263">
        <f t="shared" si="33"/>
        <v>0</v>
      </c>
      <c r="S43" s="256">
        <f t="shared" si="34"/>
        <v>0</v>
      </c>
      <c r="T43" s="129">
        <v>1358</v>
      </c>
      <c r="U43" s="85">
        <f>T43</f>
        <v>1358</v>
      </c>
      <c r="V43" s="83">
        <f t="shared" si="35"/>
        <v>0</v>
      </c>
      <c r="W43" s="270">
        <f t="shared" si="36"/>
        <v>1358</v>
      </c>
      <c r="X43" s="269">
        <f t="shared" si="36"/>
        <v>1358</v>
      </c>
      <c r="Y43" s="256">
        <f t="shared" si="37"/>
        <v>0</v>
      </c>
      <c r="Z43" s="83">
        <f aca="true" t="shared" si="43" ref="Z43:AB45">W43</f>
        <v>1358</v>
      </c>
      <c r="AA43" s="83">
        <f t="shared" si="43"/>
        <v>1358</v>
      </c>
      <c r="AB43" s="83">
        <f t="shared" si="43"/>
        <v>0</v>
      </c>
      <c r="AC43" s="129"/>
      <c r="AD43" s="195">
        <f>AC43</f>
        <v>0</v>
      </c>
      <c r="AE43" s="83">
        <f t="shared" si="39"/>
        <v>0</v>
      </c>
      <c r="AF43" s="85">
        <v>1358</v>
      </c>
      <c r="AG43" s="195">
        <f>AF43</f>
        <v>1358</v>
      </c>
      <c r="AH43" s="83">
        <f t="shared" si="40"/>
        <v>0</v>
      </c>
      <c r="AI43" s="129"/>
      <c r="AJ43" s="195">
        <f t="shared" si="41"/>
        <v>0</v>
      </c>
      <c r="AK43" s="83">
        <f t="shared" si="42"/>
        <v>0</v>
      </c>
      <c r="AL43" s="382"/>
      <c r="AM43" s="26">
        <f t="shared" si="22"/>
        <v>1358</v>
      </c>
    </row>
    <row r="44" spans="1:39" s="9" customFormat="1" ht="13.5">
      <c r="A44" s="82" t="s">
        <v>156</v>
      </c>
      <c r="B44" s="129"/>
      <c r="C44" s="85">
        <f>B44</f>
        <v>0</v>
      </c>
      <c r="D44" s="185">
        <f t="shared" si="28"/>
        <v>0</v>
      </c>
      <c r="E44" s="85"/>
      <c r="F44" s="85">
        <f>E44</f>
        <v>0</v>
      </c>
      <c r="G44" s="83">
        <f t="shared" si="29"/>
        <v>0</v>
      </c>
      <c r="H44" s="85"/>
      <c r="I44" s="85">
        <f>H44</f>
        <v>0</v>
      </c>
      <c r="J44" s="83">
        <f t="shared" si="30"/>
        <v>0</v>
      </c>
      <c r="K44" s="129"/>
      <c r="L44" s="195">
        <f>K44</f>
        <v>0</v>
      </c>
      <c r="M44" s="83">
        <f t="shared" si="31"/>
        <v>0</v>
      </c>
      <c r="N44" s="129"/>
      <c r="O44" s="195">
        <f>N44</f>
        <v>0</v>
      </c>
      <c r="P44" s="83">
        <f t="shared" si="32"/>
        <v>0</v>
      </c>
      <c r="Q44" s="249">
        <f t="shared" si="33"/>
        <v>0</v>
      </c>
      <c r="R44" s="263">
        <f t="shared" si="33"/>
        <v>0</v>
      </c>
      <c r="S44" s="256">
        <f t="shared" si="34"/>
        <v>0</v>
      </c>
      <c r="T44" s="129">
        <v>5992</v>
      </c>
      <c r="U44" s="85">
        <f>5992</f>
        <v>5992</v>
      </c>
      <c r="V44" s="83">
        <f t="shared" si="35"/>
        <v>0</v>
      </c>
      <c r="W44" s="270">
        <f t="shared" si="36"/>
        <v>5992</v>
      </c>
      <c r="X44" s="269">
        <f t="shared" si="36"/>
        <v>5992</v>
      </c>
      <c r="Y44" s="256">
        <f t="shared" si="37"/>
        <v>0</v>
      </c>
      <c r="Z44" s="83">
        <f t="shared" si="43"/>
        <v>5992</v>
      </c>
      <c r="AA44" s="83">
        <f t="shared" si="43"/>
        <v>5992</v>
      </c>
      <c r="AB44" s="83">
        <f t="shared" si="43"/>
        <v>0</v>
      </c>
      <c r="AC44" s="129">
        <v>5992</v>
      </c>
      <c r="AD44" s="195">
        <f>AC44</f>
        <v>5992</v>
      </c>
      <c r="AE44" s="83">
        <f t="shared" si="39"/>
        <v>0</v>
      </c>
      <c r="AF44" s="85"/>
      <c r="AG44" s="195">
        <f>AF44</f>
        <v>0</v>
      </c>
      <c r="AH44" s="83">
        <f t="shared" si="40"/>
        <v>0</v>
      </c>
      <c r="AI44" s="129"/>
      <c r="AJ44" s="195">
        <f t="shared" si="41"/>
        <v>0</v>
      </c>
      <c r="AK44" s="83">
        <f t="shared" si="42"/>
        <v>0</v>
      </c>
      <c r="AL44" s="382"/>
      <c r="AM44" s="26">
        <f t="shared" si="22"/>
        <v>5992</v>
      </c>
    </row>
    <row r="45" spans="1:39" s="9" customFormat="1" ht="14.25" thickBot="1">
      <c r="A45" s="82" t="s">
        <v>157</v>
      </c>
      <c r="B45" s="140"/>
      <c r="C45" s="87">
        <f>B45</f>
        <v>0</v>
      </c>
      <c r="D45" s="192">
        <f t="shared" si="28"/>
        <v>0</v>
      </c>
      <c r="E45" s="87"/>
      <c r="F45" s="87">
        <f>E45</f>
        <v>0</v>
      </c>
      <c r="G45" s="84">
        <f t="shared" si="29"/>
        <v>0</v>
      </c>
      <c r="H45" s="87"/>
      <c r="I45" s="87">
        <f>H45</f>
        <v>0</v>
      </c>
      <c r="J45" s="84">
        <f t="shared" si="30"/>
        <v>0</v>
      </c>
      <c r="K45" s="140"/>
      <c r="L45" s="245">
        <f>K45</f>
        <v>0</v>
      </c>
      <c r="M45" s="84">
        <f t="shared" si="31"/>
        <v>0</v>
      </c>
      <c r="N45" s="140"/>
      <c r="O45" s="245">
        <f>N45</f>
        <v>0</v>
      </c>
      <c r="P45" s="84">
        <f t="shared" si="32"/>
        <v>0</v>
      </c>
      <c r="Q45" s="249">
        <f t="shared" si="33"/>
        <v>0</v>
      </c>
      <c r="R45" s="266">
        <f t="shared" si="33"/>
        <v>0</v>
      </c>
      <c r="S45" s="261">
        <f t="shared" si="34"/>
        <v>0</v>
      </c>
      <c r="T45" s="140">
        <v>1630</v>
      </c>
      <c r="U45" s="87">
        <f>1200+10399+1630+250</f>
        <v>13479</v>
      </c>
      <c r="V45" s="84">
        <f t="shared" si="35"/>
        <v>11849</v>
      </c>
      <c r="W45" s="287">
        <f t="shared" si="36"/>
        <v>1630</v>
      </c>
      <c r="X45" s="292">
        <f t="shared" si="36"/>
        <v>13479</v>
      </c>
      <c r="Y45" s="261">
        <f t="shared" si="37"/>
        <v>11849</v>
      </c>
      <c r="Z45" s="84">
        <f t="shared" si="43"/>
        <v>1630</v>
      </c>
      <c r="AA45" s="84">
        <f t="shared" si="43"/>
        <v>13479</v>
      </c>
      <c r="AB45" s="84">
        <f t="shared" si="43"/>
        <v>11849</v>
      </c>
      <c r="AC45" s="140"/>
      <c r="AD45" s="245">
        <f>AC45+10649-250</f>
        <v>10399</v>
      </c>
      <c r="AE45" s="84">
        <f t="shared" si="39"/>
        <v>10399</v>
      </c>
      <c r="AF45" s="87">
        <v>1630</v>
      </c>
      <c r="AG45" s="245">
        <f>AF45+1200+250</f>
        <v>3080</v>
      </c>
      <c r="AH45" s="84">
        <f t="shared" si="40"/>
        <v>1450</v>
      </c>
      <c r="AI45" s="140"/>
      <c r="AJ45" s="245">
        <f t="shared" si="41"/>
        <v>0</v>
      </c>
      <c r="AK45" s="84">
        <f t="shared" si="42"/>
        <v>0</v>
      </c>
      <c r="AL45" s="382"/>
      <c r="AM45" s="26">
        <f t="shared" si="22"/>
        <v>13479</v>
      </c>
    </row>
    <row r="46" spans="1:39" s="9" customFormat="1" ht="14.25" thickBot="1">
      <c r="A46" s="230" t="s">
        <v>125</v>
      </c>
      <c r="B46" s="212">
        <f aca="true" t="shared" si="44" ref="B46:AK46">B40+B41+B42</f>
        <v>0</v>
      </c>
      <c r="C46" s="212">
        <f t="shared" si="44"/>
        <v>618</v>
      </c>
      <c r="D46" s="231">
        <f t="shared" si="44"/>
        <v>618</v>
      </c>
      <c r="E46" s="213">
        <f t="shared" si="44"/>
        <v>1000</v>
      </c>
      <c r="F46" s="213">
        <f t="shared" si="44"/>
        <v>1075</v>
      </c>
      <c r="G46" s="214">
        <f t="shared" si="44"/>
        <v>75</v>
      </c>
      <c r="H46" s="213">
        <f t="shared" si="44"/>
        <v>0</v>
      </c>
      <c r="I46" s="213">
        <f t="shared" si="44"/>
        <v>5177</v>
      </c>
      <c r="J46" s="214">
        <f t="shared" si="44"/>
        <v>5177</v>
      </c>
      <c r="K46" s="212">
        <f t="shared" si="44"/>
        <v>1000</v>
      </c>
      <c r="L46" s="215">
        <f t="shared" si="44"/>
        <v>3500</v>
      </c>
      <c r="M46" s="214">
        <f t="shared" si="44"/>
        <v>2500</v>
      </c>
      <c r="N46" s="212">
        <f t="shared" si="44"/>
        <v>0</v>
      </c>
      <c r="O46" s="215">
        <f t="shared" si="44"/>
        <v>699</v>
      </c>
      <c r="P46" s="214">
        <f t="shared" si="44"/>
        <v>699</v>
      </c>
      <c r="Q46" s="250">
        <f t="shared" si="44"/>
        <v>2000</v>
      </c>
      <c r="R46" s="260">
        <f t="shared" si="44"/>
        <v>11069</v>
      </c>
      <c r="S46" s="214">
        <f t="shared" si="44"/>
        <v>9069</v>
      </c>
      <c r="T46" s="212">
        <f t="shared" si="44"/>
        <v>240413</v>
      </c>
      <c r="U46" s="236">
        <f t="shared" si="44"/>
        <v>922396</v>
      </c>
      <c r="V46" s="217">
        <f t="shared" si="44"/>
        <v>681983</v>
      </c>
      <c r="W46" s="235">
        <f t="shared" si="44"/>
        <v>242413</v>
      </c>
      <c r="X46" s="236">
        <f t="shared" si="44"/>
        <v>933465</v>
      </c>
      <c r="Y46" s="217">
        <f t="shared" si="44"/>
        <v>691052</v>
      </c>
      <c r="Z46" s="214">
        <f t="shared" si="44"/>
        <v>242413</v>
      </c>
      <c r="AA46" s="214">
        <f t="shared" si="44"/>
        <v>933465</v>
      </c>
      <c r="AB46" s="214">
        <f t="shared" si="44"/>
        <v>691052</v>
      </c>
      <c r="AC46" s="212">
        <f t="shared" si="44"/>
        <v>213945</v>
      </c>
      <c r="AD46" s="215">
        <f t="shared" si="44"/>
        <v>907347</v>
      </c>
      <c r="AE46" s="214">
        <f t="shared" si="44"/>
        <v>693402</v>
      </c>
      <c r="AF46" s="213">
        <f t="shared" si="44"/>
        <v>28468</v>
      </c>
      <c r="AG46" s="215">
        <f t="shared" si="44"/>
        <v>26118</v>
      </c>
      <c r="AH46" s="214">
        <f t="shared" si="44"/>
        <v>-2350</v>
      </c>
      <c r="AI46" s="212">
        <f t="shared" si="44"/>
        <v>0</v>
      </c>
      <c r="AJ46" s="215">
        <f t="shared" si="44"/>
        <v>0</v>
      </c>
      <c r="AK46" s="214">
        <f t="shared" si="44"/>
        <v>0</v>
      </c>
      <c r="AL46" s="383"/>
      <c r="AM46" s="26">
        <f t="shared" si="22"/>
        <v>933465</v>
      </c>
    </row>
    <row r="47" spans="1:39" s="11" customFormat="1" ht="15.75" customHeight="1" thickBot="1">
      <c r="A47" s="232" t="s">
        <v>126</v>
      </c>
      <c r="B47" s="223">
        <f aca="true" t="shared" si="45" ref="B47:AK47">B46+B39</f>
        <v>35991</v>
      </c>
      <c r="C47" s="223">
        <f t="shared" si="45"/>
        <v>40753</v>
      </c>
      <c r="D47" s="233">
        <f t="shared" si="45"/>
        <v>4762</v>
      </c>
      <c r="E47" s="220">
        <f t="shared" si="45"/>
        <v>115153</v>
      </c>
      <c r="F47" s="220">
        <f t="shared" si="45"/>
        <v>126605</v>
      </c>
      <c r="G47" s="221">
        <f t="shared" si="45"/>
        <v>11452</v>
      </c>
      <c r="H47" s="220">
        <f t="shared" si="45"/>
        <v>44455</v>
      </c>
      <c r="I47" s="220">
        <f t="shared" si="45"/>
        <v>56366</v>
      </c>
      <c r="J47" s="221">
        <f t="shared" si="45"/>
        <v>11911</v>
      </c>
      <c r="K47" s="223">
        <f t="shared" si="45"/>
        <v>299344</v>
      </c>
      <c r="L47" s="219">
        <f t="shared" si="45"/>
        <v>307325</v>
      </c>
      <c r="M47" s="221">
        <f t="shared" si="45"/>
        <v>7981</v>
      </c>
      <c r="N47" s="223">
        <f t="shared" si="45"/>
        <v>233550</v>
      </c>
      <c r="O47" s="219">
        <f t="shared" si="45"/>
        <v>253415</v>
      </c>
      <c r="P47" s="221">
        <f t="shared" si="45"/>
        <v>19865</v>
      </c>
      <c r="Q47" s="252">
        <f t="shared" si="45"/>
        <v>728493</v>
      </c>
      <c r="R47" s="267">
        <f t="shared" si="45"/>
        <v>784464</v>
      </c>
      <c r="S47" s="221">
        <f t="shared" si="45"/>
        <v>55971</v>
      </c>
      <c r="T47" s="223">
        <f t="shared" si="45"/>
        <v>1219338</v>
      </c>
      <c r="U47" s="281">
        <f t="shared" si="45"/>
        <v>1951415</v>
      </c>
      <c r="V47" s="222">
        <f t="shared" si="45"/>
        <v>732077</v>
      </c>
      <c r="W47" s="286">
        <f t="shared" si="45"/>
        <v>1947831</v>
      </c>
      <c r="X47" s="281">
        <f t="shared" si="45"/>
        <v>2735879</v>
      </c>
      <c r="Y47" s="222">
        <f t="shared" si="45"/>
        <v>788048</v>
      </c>
      <c r="Z47" s="221">
        <f t="shared" si="45"/>
        <v>1947831</v>
      </c>
      <c r="AA47" s="221">
        <f t="shared" si="45"/>
        <v>2735879</v>
      </c>
      <c r="AB47" s="221">
        <f t="shared" si="45"/>
        <v>788048</v>
      </c>
      <c r="AC47" s="223">
        <f t="shared" si="45"/>
        <v>1641254</v>
      </c>
      <c r="AD47" s="219">
        <f t="shared" si="45"/>
        <v>2422284</v>
      </c>
      <c r="AE47" s="221">
        <f t="shared" si="45"/>
        <v>781030</v>
      </c>
      <c r="AF47" s="220">
        <f t="shared" si="45"/>
        <v>217074</v>
      </c>
      <c r="AG47" s="219">
        <f t="shared" si="45"/>
        <v>224092</v>
      </c>
      <c r="AH47" s="221">
        <f t="shared" si="45"/>
        <v>7018</v>
      </c>
      <c r="AI47" s="223">
        <f t="shared" si="45"/>
        <v>89503</v>
      </c>
      <c r="AJ47" s="219">
        <f t="shared" si="45"/>
        <v>89503</v>
      </c>
      <c r="AK47" s="221">
        <f t="shared" si="45"/>
        <v>0</v>
      </c>
      <c r="AL47" s="383"/>
      <c r="AM47" s="26">
        <f t="shared" si="22"/>
        <v>2735879</v>
      </c>
    </row>
    <row r="48" spans="1:40" s="9" customFormat="1" ht="15.75" customHeight="1" thickBot="1">
      <c r="A48" s="234" t="s">
        <v>127</v>
      </c>
      <c r="B48" s="235">
        <v>0</v>
      </c>
      <c r="C48" s="235">
        <v>0</v>
      </c>
      <c r="D48" s="237">
        <f>C48-B48</f>
        <v>0</v>
      </c>
      <c r="E48" s="236">
        <v>0</v>
      </c>
      <c r="F48" s="236">
        <f>E48</f>
        <v>0</v>
      </c>
      <c r="G48" s="217">
        <f>F48-E48</f>
        <v>0</v>
      </c>
      <c r="H48" s="236">
        <v>0</v>
      </c>
      <c r="I48" s="236">
        <f>H48</f>
        <v>0</v>
      </c>
      <c r="J48" s="217">
        <f>I48-H48</f>
        <v>0</v>
      </c>
      <c r="K48" s="235">
        <v>0</v>
      </c>
      <c r="L48" s="246">
        <f>K48</f>
        <v>0</v>
      </c>
      <c r="M48" s="217">
        <f>L48-K48</f>
        <v>0</v>
      </c>
      <c r="N48" s="235">
        <v>0</v>
      </c>
      <c r="O48" s="246">
        <f>N48</f>
        <v>0</v>
      </c>
      <c r="P48" s="217">
        <f>O48-N48</f>
        <v>0</v>
      </c>
      <c r="Q48" s="250">
        <f>B48+E48+H48+K48+N48</f>
        <v>0</v>
      </c>
      <c r="R48" s="260">
        <f>C48+F48+I48+L48+O48</f>
        <v>0</v>
      </c>
      <c r="S48" s="217">
        <f>R48-Q48</f>
        <v>0</v>
      </c>
      <c r="T48" s="235">
        <f>29068+Q24</f>
        <v>573606</v>
      </c>
      <c r="U48" s="236">
        <v>582132</v>
      </c>
      <c r="V48" s="217">
        <f>U48-T48</f>
        <v>8526</v>
      </c>
      <c r="W48" s="235">
        <f>T48+Q48</f>
        <v>573606</v>
      </c>
      <c r="X48" s="236">
        <f>U48+R48</f>
        <v>582132</v>
      </c>
      <c r="Y48" s="217">
        <f>X48-W48</f>
        <v>8526</v>
      </c>
      <c r="Z48" s="217">
        <f>W48-Q24</f>
        <v>29068</v>
      </c>
      <c r="AA48" s="217">
        <f>X48-R24</f>
        <v>29068</v>
      </c>
      <c r="AB48" s="217">
        <f>Y48-S24</f>
        <v>0</v>
      </c>
      <c r="AC48" s="235">
        <v>29068</v>
      </c>
      <c r="AD48" s="246">
        <f>AC48</f>
        <v>29068</v>
      </c>
      <c r="AE48" s="217">
        <f>AD48-AC48</f>
        <v>0</v>
      </c>
      <c r="AF48" s="236"/>
      <c r="AG48" s="246">
        <f>AF48</f>
        <v>0</v>
      </c>
      <c r="AH48" s="217">
        <f>AG48-AF48</f>
        <v>0</v>
      </c>
      <c r="AI48" s="235"/>
      <c r="AJ48" s="246">
        <f>AI48</f>
        <v>0</v>
      </c>
      <c r="AK48" s="217">
        <f>AJ48-AI48</f>
        <v>0</v>
      </c>
      <c r="AL48" s="384"/>
      <c r="AM48" s="26">
        <f t="shared" si="22"/>
        <v>29068</v>
      </c>
      <c r="AN48" s="26"/>
    </row>
    <row r="49" spans="1:39" s="11" customFormat="1" ht="15.75" customHeight="1" thickBot="1">
      <c r="A49" s="238" t="s">
        <v>33</v>
      </c>
      <c r="B49" s="229">
        <f aca="true" t="shared" si="46" ref="B49:AK49">B48+B47</f>
        <v>35991</v>
      </c>
      <c r="C49" s="229">
        <f t="shared" si="46"/>
        <v>40753</v>
      </c>
      <c r="D49" s="239">
        <f t="shared" si="46"/>
        <v>4762</v>
      </c>
      <c r="E49" s="226">
        <f t="shared" si="46"/>
        <v>115153</v>
      </c>
      <c r="F49" s="226">
        <f t="shared" si="46"/>
        <v>126605</v>
      </c>
      <c r="G49" s="227">
        <f t="shared" si="46"/>
        <v>11452</v>
      </c>
      <c r="H49" s="226">
        <f t="shared" si="46"/>
        <v>44455</v>
      </c>
      <c r="I49" s="226">
        <f t="shared" si="46"/>
        <v>56366</v>
      </c>
      <c r="J49" s="227">
        <f t="shared" si="46"/>
        <v>11911</v>
      </c>
      <c r="K49" s="229">
        <f t="shared" si="46"/>
        <v>299344</v>
      </c>
      <c r="L49" s="225">
        <f t="shared" si="46"/>
        <v>307325</v>
      </c>
      <c r="M49" s="227">
        <f t="shared" si="46"/>
        <v>7981</v>
      </c>
      <c r="N49" s="229">
        <f t="shared" si="46"/>
        <v>233550</v>
      </c>
      <c r="O49" s="225">
        <f t="shared" si="46"/>
        <v>253415</v>
      </c>
      <c r="P49" s="227">
        <f t="shared" si="46"/>
        <v>19865</v>
      </c>
      <c r="Q49" s="255">
        <f t="shared" si="46"/>
        <v>728493</v>
      </c>
      <c r="R49" s="268">
        <f t="shared" si="46"/>
        <v>784464</v>
      </c>
      <c r="S49" s="227">
        <f t="shared" si="46"/>
        <v>55971</v>
      </c>
      <c r="T49" s="229">
        <f t="shared" si="46"/>
        <v>1792944</v>
      </c>
      <c r="U49" s="282">
        <f t="shared" si="46"/>
        <v>2533547</v>
      </c>
      <c r="V49" s="228">
        <f t="shared" si="46"/>
        <v>740603</v>
      </c>
      <c r="W49" s="288">
        <f t="shared" si="46"/>
        <v>2521437</v>
      </c>
      <c r="X49" s="282">
        <f t="shared" si="46"/>
        <v>3318011</v>
      </c>
      <c r="Y49" s="228">
        <f t="shared" si="46"/>
        <v>796574</v>
      </c>
      <c r="Z49" s="227">
        <f t="shared" si="46"/>
        <v>1976899</v>
      </c>
      <c r="AA49" s="227">
        <f t="shared" si="46"/>
        <v>2764947</v>
      </c>
      <c r="AB49" s="227">
        <f t="shared" si="46"/>
        <v>788048</v>
      </c>
      <c r="AC49" s="212">
        <f t="shared" si="46"/>
        <v>1670322</v>
      </c>
      <c r="AD49" s="215">
        <f t="shared" si="46"/>
        <v>2451352</v>
      </c>
      <c r="AE49" s="214">
        <f t="shared" si="46"/>
        <v>781030</v>
      </c>
      <c r="AF49" s="213">
        <f t="shared" si="46"/>
        <v>217074</v>
      </c>
      <c r="AG49" s="215">
        <f t="shared" si="46"/>
        <v>224092</v>
      </c>
      <c r="AH49" s="214">
        <f t="shared" si="46"/>
        <v>7018</v>
      </c>
      <c r="AI49" s="212">
        <f t="shared" si="46"/>
        <v>89503</v>
      </c>
      <c r="AJ49" s="215">
        <f t="shared" si="46"/>
        <v>89503</v>
      </c>
      <c r="AK49" s="214">
        <f t="shared" si="46"/>
        <v>0</v>
      </c>
      <c r="AL49" s="383" t="s">
        <v>285</v>
      </c>
      <c r="AM49" s="26">
        <f t="shared" si="22"/>
        <v>2764947</v>
      </c>
    </row>
    <row r="50" spans="24:39" ht="9" customHeight="1" thickBot="1">
      <c r="X50" s="99"/>
      <c r="Z50" s="4"/>
      <c r="AA50" s="4"/>
      <c r="AB50" s="4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26">
        <f t="shared" si="22"/>
        <v>0</v>
      </c>
    </row>
    <row r="51" spans="1:38" s="100" customFormat="1" ht="12.75">
      <c r="A51" s="141" t="s">
        <v>164</v>
      </c>
      <c r="B51" s="163">
        <f>SUM(B52:B53)</f>
        <v>8</v>
      </c>
      <c r="C51" s="193">
        <f>SUM(C52:C53)</f>
        <v>8</v>
      </c>
      <c r="D51" s="193">
        <f>C51-B51</f>
        <v>0</v>
      </c>
      <c r="E51" s="163">
        <f>SUM(E52:E53)</f>
        <v>14</v>
      </c>
      <c r="F51" s="193">
        <f>E51</f>
        <v>14</v>
      </c>
      <c r="G51" s="193">
        <f>F51-E51</f>
        <v>0</v>
      </c>
      <c r="H51" s="163">
        <f>SUM(H52:H53)</f>
        <v>12</v>
      </c>
      <c r="I51" s="193">
        <f>H51</f>
        <v>12</v>
      </c>
      <c r="J51" s="193">
        <f>I51-H51</f>
        <v>0</v>
      </c>
      <c r="K51" s="163">
        <f>SUM(K52:K53)</f>
        <v>52</v>
      </c>
      <c r="L51" s="193">
        <f>K51</f>
        <v>52</v>
      </c>
      <c r="M51" s="193">
        <f>L51-K51</f>
        <v>0</v>
      </c>
      <c r="N51" s="163">
        <f>SUM(N52:N53)</f>
        <v>48.25</v>
      </c>
      <c r="O51" s="193">
        <f>N51</f>
        <v>48.25</v>
      </c>
      <c r="P51" s="193">
        <f>O51-N51</f>
        <v>0</v>
      </c>
      <c r="Q51" s="205">
        <f>B51+E51+H51+K51+N51</f>
        <v>134.25</v>
      </c>
      <c r="R51" s="193">
        <f>Q51</f>
        <v>134.25</v>
      </c>
      <c r="S51" s="193">
        <f>R51-Q51</f>
        <v>0</v>
      </c>
      <c r="T51" s="164">
        <f>SUM(T52:T53)</f>
        <v>4.25</v>
      </c>
      <c r="U51" s="193">
        <f>T51</f>
        <v>4.25</v>
      </c>
      <c r="V51" s="193">
        <f>U51-T51</f>
        <v>0</v>
      </c>
      <c r="W51" s="208">
        <f>T51+Q51</f>
        <v>138.5</v>
      </c>
      <c r="X51" s="193">
        <f>W51</f>
        <v>138.5</v>
      </c>
      <c r="Y51" s="193">
        <f>X51-W51</f>
        <v>0</v>
      </c>
      <c r="Z51" s="144"/>
      <c r="AA51" s="144"/>
      <c r="AB51" s="144"/>
      <c r="AC51" s="144"/>
      <c r="AD51" s="309"/>
      <c r="AE51" s="309"/>
      <c r="AF51" s="145"/>
      <c r="AG51" s="309"/>
      <c r="AH51" s="309"/>
      <c r="AI51" s="145"/>
      <c r="AJ51" s="309"/>
      <c r="AK51" s="309"/>
      <c r="AL51" s="309"/>
    </row>
    <row r="52" spans="1:38" s="103" customFormat="1" ht="12.75">
      <c r="A52" s="142" t="s">
        <v>159</v>
      </c>
      <c r="B52" s="165">
        <v>6</v>
      </c>
      <c r="C52" s="166">
        <v>6</v>
      </c>
      <c r="D52" s="166">
        <f>C52-B52</f>
        <v>0</v>
      </c>
      <c r="E52" s="166">
        <v>4</v>
      </c>
      <c r="F52" s="166">
        <f>E52</f>
        <v>4</v>
      </c>
      <c r="G52" s="166">
        <f>F52-E52</f>
        <v>0</v>
      </c>
      <c r="H52" s="166">
        <v>4</v>
      </c>
      <c r="I52" s="166">
        <f>H52</f>
        <v>4</v>
      </c>
      <c r="J52" s="166">
        <f>I52-H52</f>
        <v>0</v>
      </c>
      <c r="K52" s="162">
        <v>50</v>
      </c>
      <c r="L52" s="166">
        <f>K52</f>
        <v>50</v>
      </c>
      <c r="M52" s="166">
        <f>L52-K52</f>
        <v>0</v>
      </c>
      <c r="N52" s="162">
        <v>43.25</v>
      </c>
      <c r="O52" s="166">
        <f>N52</f>
        <v>43.25</v>
      </c>
      <c r="P52" s="166">
        <f>O52-N52</f>
        <v>0</v>
      </c>
      <c r="Q52" s="206">
        <f>B52+E52+H52+K52+N52</f>
        <v>107.25</v>
      </c>
      <c r="R52" s="166">
        <f>Q52</f>
        <v>107.25</v>
      </c>
      <c r="S52" s="166">
        <f>R52-Q52</f>
        <v>0</v>
      </c>
      <c r="T52" s="167">
        <v>3</v>
      </c>
      <c r="U52" s="166">
        <f>T52</f>
        <v>3</v>
      </c>
      <c r="V52" s="166">
        <f>U52-T52</f>
        <v>0</v>
      </c>
      <c r="W52" s="209">
        <f>T52+Q52</f>
        <v>110.25</v>
      </c>
      <c r="X52" s="166">
        <f>W52</f>
        <v>110.25</v>
      </c>
      <c r="Y52" s="166">
        <f>X52-W52</f>
        <v>0</v>
      </c>
      <c r="Z52" s="126"/>
      <c r="AA52" s="126"/>
      <c r="AB52" s="126"/>
      <c r="AC52" s="126"/>
      <c r="AD52" s="310"/>
      <c r="AE52" s="310"/>
      <c r="AF52" s="126"/>
      <c r="AG52" s="310"/>
      <c r="AH52" s="310"/>
      <c r="AI52" s="127"/>
      <c r="AJ52" s="310"/>
      <c r="AK52" s="310"/>
      <c r="AL52" s="310"/>
    </row>
    <row r="53" spans="1:38" s="103" customFormat="1" ht="12.75">
      <c r="A53" s="142" t="s">
        <v>160</v>
      </c>
      <c r="B53" s="165">
        <v>2</v>
      </c>
      <c r="C53" s="166">
        <v>2</v>
      </c>
      <c r="D53" s="166">
        <f>C53-B53</f>
        <v>0</v>
      </c>
      <c r="E53" s="166">
        <v>10</v>
      </c>
      <c r="F53" s="166">
        <f>E53</f>
        <v>10</v>
      </c>
      <c r="G53" s="166">
        <f>F53-E53</f>
        <v>0</v>
      </c>
      <c r="H53" s="166">
        <v>8</v>
      </c>
      <c r="I53" s="166">
        <f>H53</f>
        <v>8</v>
      </c>
      <c r="J53" s="166">
        <f>I53-H53</f>
        <v>0</v>
      </c>
      <c r="K53" s="162">
        <v>2</v>
      </c>
      <c r="L53" s="166">
        <f>K53</f>
        <v>2</v>
      </c>
      <c r="M53" s="166">
        <f>L53-K53</f>
        <v>0</v>
      </c>
      <c r="N53" s="162">
        <v>5</v>
      </c>
      <c r="O53" s="166">
        <f>N53</f>
        <v>5</v>
      </c>
      <c r="P53" s="166">
        <f>O53-N53</f>
        <v>0</v>
      </c>
      <c r="Q53" s="206">
        <f>B53+E53+H53+K53+N53</f>
        <v>27</v>
      </c>
      <c r="R53" s="166">
        <f>Q53</f>
        <v>27</v>
      </c>
      <c r="S53" s="166">
        <f>R53-Q53</f>
        <v>0</v>
      </c>
      <c r="T53" s="167">
        <v>1.25</v>
      </c>
      <c r="U53" s="166">
        <f>T53</f>
        <v>1.25</v>
      </c>
      <c r="V53" s="166">
        <f>U53-T53</f>
        <v>0</v>
      </c>
      <c r="W53" s="209">
        <f>T53+Q53</f>
        <v>28.25</v>
      </c>
      <c r="X53" s="166">
        <f>W53</f>
        <v>28.25</v>
      </c>
      <c r="Y53" s="166">
        <f>X53-W53</f>
        <v>0</v>
      </c>
      <c r="Z53" s="127"/>
      <c r="AA53" s="127"/>
      <c r="AB53" s="127"/>
      <c r="AC53" s="127"/>
      <c r="AD53" s="310"/>
      <c r="AE53" s="310"/>
      <c r="AF53" s="127"/>
      <c r="AG53" s="310"/>
      <c r="AH53" s="310"/>
      <c r="AI53" s="127"/>
      <c r="AJ53" s="310"/>
      <c r="AK53" s="310"/>
      <c r="AL53" s="310"/>
    </row>
    <row r="54" spans="1:38" s="100" customFormat="1" ht="13.5" thickBot="1">
      <c r="A54" s="143" t="s">
        <v>165</v>
      </c>
      <c r="B54" s="168">
        <v>2</v>
      </c>
      <c r="C54" s="169">
        <v>2</v>
      </c>
      <c r="D54" s="169">
        <f>C54-B54</f>
        <v>0</v>
      </c>
      <c r="E54" s="169">
        <v>0</v>
      </c>
      <c r="F54" s="169">
        <f>E54</f>
        <v>0</v>
      </c>
      <c r="G54" s="169">
        <f>F54-E54</f>
        <v>0</v>
      </c>
      <c r="H54" s="169"/>
      <c r="I54" s="169">
        <f>H54</f>
        <v>0</v>
      </c>
      <c r="J54" s="169">
        <f>I54-H54</f>
        <v>0</v>
      </c>
      <c r="K54" s="170">
        <v>1</v>
      </c>
      <c r="L54" s="169">
        <f>K54</f>
        <v>1</v>
      </c>
      <c r="M54" s="169">
        <f>L54-K54</f>
        <v>0</v>
      </c>
      <c r="N54" s="170">
        <v>0</v>
      </c>
      <c r="O54" s="169">
        <f>N54</f>
        <v>0</v>
      </c>
      <c r="P54" s="169">
        <f>O54-N54</f>
        <v>0</v>
      </c>
      <c r="Q54" s="207">
        <f>B54+E54+H54+K54+N54</f>
        <v>3</v>
      </c>
      <c r="R54" s="169">
        <f>Q54</f>
        <v>3</v>
      </c>
      <c r="S54" s="169">
        <f>R54-Q54</f>
        <v>0</v>
      </c>
      <c r="T54" s="171">
        <v>0</v>
      </c>
      <c r="U54" s="169">
        <f>T54</f>
        <v>0</v>
      </c>
      <c r="V54" s="169">
        <f>U54-T54</f>
        <v>0</v>
      </c>
      <c r="W54" s="210">
        <f>T54+Q54</f>
        <v>3</v>
      </c>
      <c r="X54" s="169">
        <f>W54</f>
        <v>3</v>
      </c>
      <c r="Y54" s="169">
        <f>X54-W54</f>
        <v>0</v>
      </c>
      <c r="Z54" s="145"/>
      <c r="AA54" s="145"/>
      <c r="AB54" s="145"/>
      <c r="AC54" s="145"/>
      <c r="AD54" s="309"/>
      <c r="AE54" s="309"/>
      <c r="AF54" s="145"/>
      <c r="AG54" s="309"/>
      <c r="AH54" s="309"/>
      <c r="AI54" s="145"/>
      <c r="AJ54" s="309"/>
      <c r="AK54" s="309"/>
      <c r="AL54" s="309"/>
    </row>
    <row r="55" spans="29:38" ht="15.75"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</row>
  </sheetData>
  <sheetProtection/>
  <mergeCells count="26">
    <mergeCell ref="Z4:AB4"/>
    <mergeCell ref="Z28:AB28"/>
    <mergeCell ref="Q4:S4"/>
    <mergeCell ref="Q28:S28"/>
    <mergeCell ref="T4:V4"/>
    <mergeCell ref="T28:V28"/>
    <mergeCell ref="A4:A5"/>
    <mergeCell ref="A28:A29"/>
    <mergeCell ref="E4:G4"/>
    <mergeCell ref="E28:G28"/>
    <mergeCell ref="N4:P4"/>
    <mergeCell ref="N28:P28"/>
    <mergeCell ref="B4:D4"/>
    <mergeCell ref="B28:D28"/>
    <mergeCell ref="H28:J28"/>
    <mergeCell ref="K4:M4"/>
    <mergeCell ref="H4:J4"/>
    <mergeCell ref="AC28:AE28"/>
    <mergeCell ref="AF4:AH4"/>
    <mergeCell ref="AF28:AH28"/>
    <mergeCell ref="AI4:AK4"/>
    <mergeCell ref="AI28:AK28"/>
    <mergeCell ref="W4:Y4"/>
    <mergeCell ref="AC4:AE4"/>
    <mergeCell ref="W28:Y28"/>
    <mergeCell ref="K28:M28"/>
  </mergeCells>
  <printOptions/>
  <pageMargins left="0.4724409448818898" right="0.3937007874015748" top="0.35433070866141736" bottom="0.35433070866141736" header="0.31496062992125984" footer="0.31496062992125984"/>
  <pageSetup fitToWidth="6" horizontalDpi="600" verticalDpi="600" orientation="portrait" paperSize="9" scale="99" r:id="rId1"/>
  <colBreaks count="1" manualBreakCount="1">
    <brk id="13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zoomScalePageLayoutView="0" workbookViewId="0" topLeftCell="A1">
      <selection activeCell="E50" sqref="E50"/>
    </sheetView>
  </sheetViews>
  <sheetFormatPr defaultColWidth="9.00390625" defaultRowHeight="12.75"/>
  <cols>
    <col min="1" max="1" width="3.875" style="0" customWidth="1"/>
    <col min="2" max="2" width="60.625" style="0" customWidth="1"/>
    <col min="3" max="4" width="10.125" style="0" customWidth="1"/>
    <col min="5" max="5" width="8.125" style="0" customWidth="1"/>
    <col min="6" max="6" width="1.25" style="0" customWidth="1"/>
  </cols>
  <sheetData>
    <row r="1" spans="1:6" s="2" customFormat="1" ht="13.5" customHeight="1">
      <c r="A1" s="96" t="s">
        <v>295</v>
      </c>
      <c r="B1" s="95"/>
      <c r="C1" s="95"/>
      <c r="D1" s="173"/>
      <c r="E1" s="173"/>
      <c r="F1" s="5"/>
    </row>
    <row r="2" spans="1:6" s="2" customFormat="1" ht="13.5">
      <c r="A2" s="96" t="s">
        <v>289</v>
      </c>
      <c r="B2" s="17"/>
      <c r="C2" s="5"/>
      <c r="D2" s="5"/>
      <c r="E2" s="5"/>
      <c r="F2" s="5"/>
    </row>
    <row r="3" spans="1:6" s="2" customFormat="1" ht="16.5" customHeight="1">
      <c r="A3" s="419" t="s">
        <v>175</v>
      </c>
      <c r="B3" s="420"/>
      <c r="C3" s="420"/>
      <c r="D3" s="25"/>
      <c r="E3" s="25"/>
      <c r="F3" s="25"/>
    </row>
    <row r="4" spans="1:6" s="2" customFormat="1" ht="16.5" customHeight="1">
      <c r="A4" s="419" t="s">
        <v>4</v>
      </c>
      <c r="B4" s="419"/>
      <c r="C4" s="419"/>
      <c r="D4" s="1"/>
      <c r="E4" s="1"/>
      <c r="F4" s="1"/>
    </row>
    <row r="5" spans="1:6" s="296" customFormat="1" ht="39" customHeight="1">
      <c r="A5" s="293"/>
      <c r="B5" s="294"/>
      <c r="C5" s="297" t="s">
        <v>229</v>
      </c>
      <c r="D5" s="297" t="s">
        <v>230</v>
      </c>
      <c r="E5" s="297" t="s">
        <v>231</v>
      </c>
      <c r="F5" s="295"/>
    </row>
    <row r="6" spans="1:6" s="123" customFormat="1" ht="16.5" customHeight="1">
      <c r="A6" s="122" t="s">
        <v>1</v>
      </c>
      <c r="B6" s="122" t="s">
        <v>94</v>
      </c>
      <c r="C6" s="122"/>
      <c r="D6" s="122"/>
      <c r="E6" s="122"/>
      <c r="F6" s="122"/>
    </row>
    <row r="7" spans="1:6" s="151" customFormat="1" ht="16.5" customHeight="1">
      <c r="A7" s="302" t="s">
        <v>5</v>
      </c>
      <c r="B7" s="302" t="s">
        <v>72</v>
      </c>
      <c r="C7" s="351">
        <v>67248</v>
      </c>
      <c r="D7" s="351">
        <v>67248</v>
      </c>
      <c r="E7" s="351">
        <f>D7-C7</f>
        <v>0</v>
      </c>
      <c r="F7" s="355"/>
    </row>
    <row r="8" spans="1:6" s="368" customFormat="1" ht="16.5" customHeight="1">
      <c r="A8" s="302" t="s">
        <v>6</v>
      </c>
      <c r="B8" s="302" t="s">
        <v>217</v>
      </c>
      <c r="C8" s="351">
        <v>20000</v>
      </c>
      <c r="D8" s="351">
        <v>20000</v>
      </c>
      <c r="E8" s="351">
        <f>D8-C8</f>
        <v>0</v>
      </c>
      <c r="F8" s="367"/>
    </row>
    <row r="9" spans="2:6" s="104" customFormat="1" ht="16.5" customHeight="1">
      <c r="B9" s="104" t="s">
        <v>3</v>
      </c>
      <c r="C9" s="361">
        <f>SUM(C7:C8)</f>
        <v>87248</v>
      </c>
      <c r="D9" s="361">
        <f>SUM(D7:D8)</f>
        <v>87248</v>
      </c>
      <c r="E9" s="361">
        <f>D9-C9</f>
        <v>0</v>
      </c>
      <c r="F9" s="369"/>
    </row>
    <row r="10" spans="3:6" s="151" customFormat="1" ht="20.25" customHeight="1">
      <c r="C10" s="355"/>
      <c r="D10" s="355"/>
      <c r="E10" s="355"/>
      <c r="F10" s="358"/>
    </row>
    <row r="11" spans="1:6" s="104" customFormat="1" ht="16.5" customHeight="1">
      <c r="A11" s="104" t="s">
        <v>10</v>
      </c>
      <c r="B11" s="117" t="s">
        <v>95</v>
      </c>
      <c r="C11" s="361"/>
      <c r="D11" s="361"/>
      <c r="E11" s="361"/>
      <c r="F11" s="361"/>
    </row>
    <row r="12" spans="1:6" s="151" customFormat="1" ht="16.5" customHeight="1">
      <c r="A12" s="302" t="s">
        <v>5</v>
      </c>
      <c r="B12" s="302" t="s">
        <v>253</v>
      </c>
      <c r="C12" s="351">
        <v>100000</v>
      </c>
      <c r="D12" s="351">
        <v>100000</v>
      </c>
      <c r="E12" s="351">
        <f aca="true" t="shared" si="0" ref="E12:E21">D12-C12</f>
        <v>0</v>
      </c>
      <c r="F12" s="358"/>
    </row>
    <row r="13" spans="1:6" s="151" customFormat="1" ht="16.5" customHeight="1">
      <c r="A13" s="302" t="s">
        <v>6</v>
      </c>
      <c r="B13" s="302" t="s">
        <v>181</v>
      </c>
      <c r="C13" s="351">
        <v>1293</v>
      </c>
      <c r="D13" s="351">
        <v>1293</v>
      </c>
      <c r="E13" s="351">
        <f t="shared" si="0"/>
        <v>0</v>
      </c>
      <c r="F13" s="358"/>
    </row>
    <row r="14" spans="1:6" s="151" customFormat="1" ht="16.5" customHeight="1">
      <c r="A14" s="153" t="s">
        <v>7</v>
      </c>
      <c r="B14" s="153" t="s">
        <v>204</v>
      </c>
      <c r="C14" s="354">
        <v>2380</v>
      </c>
      <c r="D14" s="354">
        <v>2380</v>
      </c>
      <c r="E14" s="354">
        <f t="shared" si="0"/>
        <v>0</v>
      </c>
      <c r="F14" s="358"/>
    </row>
    <row r="15" spans="1:6" s="151" customFormat="1" ht="16.5" customHeight="1">
      <c r="A15" s="153" t="s">
        <v>8</v>
      </c>
      <c r="B15" s="153" t="s">
        <v>203</v>
      </c>
      <c r="C15" s="354">
        <v>17860</v>
      </c>
      <c r="D15" s="354">
        <v>17860</v>
      </c>
      <c r="E15" s="354">
        <f t="shared" si="0"/>
        <v>0</v>
      </c>
      <c r="F15" s="358"/>
    </row>
    <row r="16" spans="1:6" s="151" customFormat="1" ht="29.25" customHeight="1">
      <c r="A16" s="302" t="s">
        <v>9</v>
      </c>
      <c r="B16" s="302" t="s">
        <v>248</v>
      </c>
      <c r="C16" s="351"/>
      <c r="D16" s="351">
        <v>142504</v>
      </c>
      <c r="E16" s="351">
        <f t="shared" si="0"/>
        <v>142504</v>
      </c>
      <c r="F16" s="358"/>
    </row>
    <row r="17" spans="1:6" s="151" customFormat="1" ht="29.25" customHeight="1">
      <c r="A17" s="302" t="s">
        <v>20</v>
      </c>
      <c r="B17" s="302" t="s">
        <v>249</v>
      </c>
      <c r="C17" s="351"/>
      <c r="D17" s="351">
        <v>59138</v>
      </c>
      <c r="E17" s="351">
        <f t="shared" si="0"/>
        <v>59138</v>
      </c>
      <c r="F17" s="358"/>
    </row>
    <row r="18" spans="1:6" s="151" customFormat="1" ht="29.25" customHeight="1">
      <c r="A18" s="302" t="s">
        <v>21</v>
      </c>
      <c r="B18" s="302" t="s">
        <v>250</v>
      </c>
      <c r="C18" s="351"/>
      <c r="D18" s="351">
        <v>84309</v>
      </c>
      <c r="E18" s="351">
        <f t="shared" si="0"/>
        <v>84309</v>
      </c>
      <c r="F18" s="358"/>
    </row>
    <row r="19" spans="1:6" s="151" customFormat="1" ht="29.25" customHeight="1">
      <c r="A19" s="302" t="s">
        <v>23</v>
      </c>
      <c r="B19" s="302" t="s">
        <v>251</v>
      </c>
      <c r="C19" s="351"/>
      <c r="D19" s="351">
        <v>290000</v>
      </c>
      <c r="E19" s="351">
        <f t="shared" si="0"/>
        <v>290000</v>
      </c>
      <c r="F19" s="358"/>
    </row>
    <row r="20" spans="1:6" s="151" customFormat="1" ht="16.5" customHeight="1">
      <c r="A20" s="302" t="s">
        <v>51</v>
      </c>
      <c r="B20" s="302" t="s">
        <v>252</v>
      </c>
      <c r="C20" s="351"/>
      <c r="D20" s="351">
        <v>93000</v>
      </c>
      <c r="E20" s="351">
        <f t="shared" si="0"/>
        <v>93000</v>
      </c>
      <c r="F20" s="358"/>
    </row>
    <row r="21" spans="1:6" s="151" customFormat="1" ht="33.75" customHeight="1">
      <c r="A21" s="302" t="s">
        <v>52</v>
      </c>
      <c r="B21" s="302" t="s">
        <v>254</v>
      </c>
      <c r="C21" s="351"/>
      <c r="D21" s="351">
        <v>2160</v>
      </c>
      <c r="E21" s="351">
        <f t="shared" si="0"/>
        <v>2160</v>
      </c>
      <c r="F21" s="358"/>
    </row>
    <row r="22" spans="3:6" s="104" customFormat="1" ht="16.5" customHeight="1">
      <c r="C22" s="361">
        <f>SUM(C12:C20)</f>
        <v>121533</v>
      </c>
      <c r="D22" s="361">
        <f>SUM(D12:D21)</f>
        <v>792644</v>
      </c>
      <c r="E22" s="361">
        <f>SUM(E12:E21)</f>
        <v>671111</v>
      </c>
      <c r="F22" s="369"/>
    </row>
    <row r="23" spans="2:6" s="151" customFormat="1" ht="22.5" customHeight="1">
      <c r="B23" s="370"/>
      <c r="C23" s="355"/>
      <c r="D23" s="355"/>
      <c r="E23" s="355"/>
      <c r="F23" s="355"/>
    </row>
    <row r="24" spans="1:6" s="104" customFormat="1" ht="16.5" customHeight="1">
      <c r="A24" s="104" t="s">
        <v>11</v>
      </c>
      <c r="B24" s="117" t="s">
        <v>70</v>
      </c>
      <c r="C24" s="361"/>
      <c r="D24" s="361"/>
      <c r="E24" s="361"/>
      <c r="F24" s="361"/>
    </row>
    <row r="25" spans="1:6" s="104" customFormat="1" ht="16.5" customHeight="1">
      <c r="A25" s="368" t="s">
        <v>5</v>
      </c>
      <c r="B25" s="371" t="s">
        <v>97</v>
      </c>
      <c r="C25" s="361"/>
      <c r="D25" s="361"/>
      <c r="E25" s="361"/>
      <c r="F25" s="361"/>
    </row>
    <row r="26" spans="1:6" s="151" customFormat="1" ht="16.5" customHeight="1">
      <c r="A26" s="302" t="s">
        <v>5</v>
      </c>
      <c r="B26" s="302" t="s">
        <v>71</v>
      </c>
      <c r="C26" s="351">
        <v>8218</v>
      </c>
      <c r="D26" s="351">
        <v>8218</v>
      </c>
      <c r="E26" s="351">
        <f>D26-C26</f>
        <v>0</v>
      </c>
      <c r="F26" s="358"/>
    </row>
    <row r="27" spans="1:6" s="373" customFormat="1" ht="16.5" customHeight="1">
      <c r="A27" s="153" t="s">
        <v>6</v>
      </c>
      <c r="B27" s="153" t="s">
        <v>12</v>
      </c>
      <c r="C27" s="354">
        <v>283</v>
      </c>
      <c r="D27" s="354">
        <v>283</v>
      </c>
      <c r="E27" s="354">
        <f>D27-C27</f>
        <v>0</v>
      </c>
      <c r="F27" s="372"/>
    </row>
    <row r="28" spans="1:6" s="151" customFormat="1" ht="16.5" customHeight="1">
      <c r="A28" s="153" t="s">
        <v>7</v>
      </c>
      <c r="B28" s="153" t="s">
        <v>13</v>
      </c>
      <c r="C28" s="354">
        <v>3498</v>
      </c>
      <c r="D28" s="354">
        <v>3498</v>
      </c>
      <c r="E28" s="354">
        <f>D28-C28</f>
        <v>0</v>
      </c>
      <c r="F28" s="358"/>
    </row>
    <row r="29" spans="1:6" s="151" customFormat="1" ht="16.5" customHeight="1">
      <c r="A29" s="153" t="s">
        <v>8</v>
      </c>
      <c r="B29" s="153" t="s">
        <v>14</v>
      </c>
      <c r="C29" s="354">
        <v>1358</v>
      </c>
      <c r="D29" s="354">
        <v>1358</v>
      </c>
      <c r="E29" s="354">
        <f>D29-C29</f>
        <v>0</v>
      </c>
      <c r="F29" s="358"/>
    </row>
    <row r="30" spans="2:6" s="104" customFormat="1" ht="16.5" customHeight="1">
      <c r="B30" s="371" t="s">
        <v>3</v>
      </c>
      <c r="C30" s="374">
        <f>SUM(C26:C29)</f>
        <v>13357</v>
      </c>
      <c r="D30" s="374">
        <f>SUM(D26:D29)</f>
        <v>13357</v>
      </c>
      <c r="E30" s="374">
        <f>D30-C30</f>
        <v>0</v>
      </c>
      <c r="F30" s="361"/>
    </row>
    <row r="31" spans="1:6" s="104" customFormat="1" ht="16.5" customHeight="1">
      <c r="A31" s="368" t="s">
        <v>6</v>
      </c>
      <c r="B31" s="371" t="s">
        <v>96</v>
      </c>
      <c r="C31" s="361"/>
      <c r="D31" s="361"/>
      <c r="E31" s="361"/>
      <c r="F31" s="361"/>
    </row>
    <row r="32" spans="1:6" s="151" customFormat="1" ht="16.5" customHeight="1">
      <c r="A32" s="302" t="s">
        <v>5</v>
      </c>
      <c r="B32" s="302"/>
      <c r="C32" s="351"/>
      <c r="D32" s="351"/>
      <c r="E32" s="351">
        <f>D32-C32</f>
        <v>0</v>
      </c>
      <c r="F32" s="358"/>
    </row>
    <row r="33" spans="1:6" s="151" customFormat="1" ht="16.5" customHeight="1">
      <c r="A33" s="302" t="s">
        <v>6</v>
      </c>
      <c r="B33" s="302"/>
      <c r="C33" s="351"/>
      <c r="D33" s="351"/>
      <c r="E33" s="351">
        <f>D33-C33</f>
        <v>0</v>
      </c>
      <c r="F33" s="358"/>
    </row>
    <row r="34" spans="2:6" s="104" customFormat="1" ht="16.5" customHeight="1">
      <c r="B34" s="368" t="s">
        <v>3</v>
      </c>
      <c r="C34" s="374">
        <f>SUM(C32:C33)</f>
        <v>0</v>
      </c>
      <c r="D34" s="374">
        <f>SUM(D32:D33)</f>
        <v>0</v>
      </c>
      <c r="E34" s="374">
        <f>D34-C34</f>
        <v>0</v>
      </c>
      <c r="F34" s="369"/>
    </row>
    <row r="35" spans="2:6" s="104" customFormat="1" ht="16.5" customHeight="1">
      <c r="B35" s="104" t="s">
        <v>3</v>
      </c>
      <c r="C35" s="361">
        <f>C30+C34</f>
        <v>13357</v>
      </c>
      <c r="D35" s="361">
        <f>D30+D34</f>
        <v>13357</v>
      </c>
      <c r="E35" s="361">
        <f>D35-C35</f>
        <v>0</v>
      </c>
      <c r="F35" s="369"/>
    </row>
    <row r="36" spans="2:6" s="104" customFormat="1" ht="16.5" customHeight="1">
      <c r="B36" s="117"/>
      <c r="C36" s="361"/>
      <c r="D36" s="361"/>
      <c r="E36" s="361"/>
      <c r="F36" s="361"/>
    </row>
    <row r="37" spans="2:6" s="104" customFormat="1" ht="28.5" customHeight="1">
      <c r="B37" s="104" t="s">
        <v>98</v>
      </c>
      <c r="C37" s="361">
        <f>C9+C22+C35</f>
        <v>222138</v>
      </c>
      <c r="D37" s="361">
        <f>D9+D22+D35</f>
        <v>893249</v>
      </c>
      <c r="E37" s="361">
        <f>D37-C37</f>
        <v>671111</v>
      </c>
      <c r="F37" s="369"/>
    </row>
    <row r="38" spans="3:6" s="104" customFormat="1" ht="29.25" customHeight="1">
      <c r="C38" s="361"/>
      <c r="D38" s="361"/>
      <c r="E38" s="361"/>
      <c r="F38" s="369"/>
    </row>
    <row r="39" spans="1:6" s="104" customFormat="1" ht="16.5" customHeight="1">
      <c r="A39" s="104" t="s">
        <v>15</v>
      </c>
      <c r="B39" s="117" t="s">
        <v>99</v>
      </c>
      <c r="C39" s="361"/>
      <c r="D39" s="361"/>
      <c r="E39" s="361"/>
      <c r="F39" s="361"/>
    </row>
    <row r="40" spans="1:6" s="373" customFormat="1" ht="16.5" customHeight="1">
      <c r="A40" s="302" t="s">
        <v>5</v>
      </c>
      <c r="B40" s="302" t="s">
        <v>182</v>
      </c>
      <c r="C40" s="351">
        <v>20275</v>
      </c>
      <c r="D40" s="351">
        <v>20275</v>
      </c>
      <c r="E40" s="351">
        <f>D40-C40</f>
        <v>0</v>
      </c>
      <c r="F40" s="372"/>
    </row>
    <row r="41" spans="2:6" s="104" customFormat="1" ht="16.5" customHeight="1">
      <c r="B41" s="371" t="s">
        <v>3</v>
      </c>
      <c r="C41" s="374">
        <f>SUM(C40:C40)</f>
        <v>20275</v>
      </c>
      <c r="D41" s="374">
        <f>SUM(D40:D40)</f>
        <v>20275</v>
      </c>
      <c r="E41" s="374">
        <f>D41-C41</f>
        <v>0</v>
      </c>
      <c r="F41" s="361"/>
    </row>
    <row r="42" spans="3:6" s="151" customFormat="1" ht="16.5" customHeight="1">
      <c r="C42" s="358"/>
      <c r="D42" s="358"/>
      <c r="E42" s="358"/>
      <c r="F42" s="358"/>
    </row>
    <row r="43" spans="2:6" s="104" customFormat="1" ht="16.5" customHeight="1">
      <c r="B43" s="117" t="s">
        <v>100</v>
      </c>
      <c r="C43" s="361">
        <f>C41</f>
        <v>20275</v>
      </c>
      <c r="D43" s="361">
        <f>D41</f>
        <v>20275</v>
      </c>
      <c r="E43" s="361">
        <f>D43-C43</f>
        <v>0</v>
      </c>
      <c r="F43" s="361"/>
    </row>
    <row r="44" spans="2:6" s="104" customFormat="1" ht="16.5" customHeight="1">
      <c r="B44" s="117"/>
      <c r="C44" s="361"/>
      <c r="D44" s="361"/>
      <c r="E44" s="361"/>
      <c r="F44" s="361"/>
    </row>
    <row r="45" spans="2:6" s="151" customFormat="1" ht="16.5" customHeight="1">
      <c r="B45" s="104" t="s">
        <v>16</v>
      </c>
      <c r="C45" s="369">
        <f>C37+C43</f>
        <v>242413</v>
      </c>
      <c r="D45" s="369">
        <f>D37+D43</f>
        <v>913524</v>
      </c>
      <c r="E45" s="369">
        <f>D45-C45</f>
        <v>671111</v>
      </c>
      <c r="F45" s="358"/>
    </row>
    <row r="46" spans="2:6" s="151" customFormat="1" ht="16.5" customHeight="1">
      <c r="B46" s="104" t="s">
        <v>56</v>
      </c>
      <c r="C46" s="358"/>
      <c r="D46" s="358"/>
      <c r="E46" s="358"/>
      <c r="F46" s="358"/>
    </row>
    <row r="47" spans="2:6" s="151" customFormat="1" ht="16.5" customHeight="1">
      <c r="B47" s="375" t="s">
        <v>57</v>
      </c>
      <c r="C47" s="376">
        <f>C45-C48</f>
        <v>217034</v>
      </c>
      <c r="D47" s="376">
        <f>D45-D48</f>
        <v>888145</v>
      </c>
      <c r="E47" s="376">
        <f>D47-C47</f>
        <v>671111</v>
      </c>
      <c r="F47" s="358"/>
    </row>
    <row r="48" spans="2:6" s="151" customFormat="1" ht="16.5" customHeight="1">
      <c r="B48" s="377" t="s">
        <v>55</v>
      </c>
      <c r="C48" s="363">
        <f>C29+C28+C27+C15+C14</f>
        <v>25379</v>
      </c>
      <c r="D48" s="363">
        <f>D29+D28+D27+D15+D14</f>
        <v>25379</v>
      </c>
      <c r="E48" s="363">
        <f>D48-C48</f>
        <v>0</v>
      </c>
      <c r="F48" s="358" t="s">
        <v>285</v>
      </c>
    </row>
    <row r="49" spans="3:6" s="151" customFormat="1" ht="12.75">
      <c r="C49" s="358"/>
      <c r="D49" s="358"/>
      <c r="E49" s="358"/>
      <c r="F49" s="358"/>
    </row>
    <row r="50" s="331" customFormat="1" ht="12.75"/>
    <row r="51" spans="3:5" s="331" customFormat="1" ht="12.75">
      <c r="C51" s="378"/>
      <c r="D51" s="378"/>
      <c r="E51" s="378"/>
    </row>
  </sheetData>
  <sheetProtection/>
  <mergeCells count="2">
    <mergeCell ref="A3:C3"/>
    <mergeCell ref="A4:C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7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zoomScaleSheetLayoutView="100" zoomScalePageLayoutView="0" workbookViewId="0" topLeftCell="A1">
      <selection activeCell="E50" sqref="E50"/>
    </sheetView>
  </sheetViews>
  <sheetFormatPr defaultColWidth="9.00390625" defaultRowHeight="12.75"/>
  <cols>
    <col min="1" max="1" width="3.25390625" style="0" bestFit="1" customWidth="1"/>
    <col min="2" max="2" width="59.375" style="0" customWidth="1"/>
    <col min="3" max="3" width="9.25390625" style="0" bestFit="1" customWidth="1"/>
    <col min="4" max="4" width="11.25390625" style="0" bestFit="1" customWidth="1"/>
    <col min="5" max="5" width="9.75390625" style="0" customWidth="1"/>
    <col min="6" max="6" width="1.625" style="0" customWidth="1"/>
    <col min="8" max="8" width="9.25390625" style="0" bestFit="1" customWidth="1"/>
  </cols>
  <sheetData>
    <row r="1" spans="1:5" s="2" customFormat="1" ht="13.5" customHeight="1">
      <c r="A1" s="96" t="s">
        <v>296</v>
      </c>
      <c r="B1" s="95"/>
      <c r="C1" s="95"/>
      <c r="D1" s="173"/>
      <c r="E1" s="173"/>
    </row>
    <row r="2" spans="1:5" s="2" customFormat="1" ht="13.5">
      <c r="A2" s="96" t="s">
        <v>290</v>
      </c>
      <c r="B2" s="173"/>
      <c r="C2" s="173"/>
      <c r="D2" s="173"/>
      <c r="E2" s="173"/>
    </row>
    <row r="3" spans="1:5" s="2" customFormat="1" ht="15" customHeight="1">
      <c r="A3" s="419" t="s">
        <v>176</v>
      </c>
      <c r="B3" s="419"/>
      <c r="C3" s="419"/>
      <c r="D3" s="1"/>
      <c r="E3" s="1"/>
    </row>
    <row r="4" spans="1:5" s="2" customFormat="1" ht="25.5">
      <c r="A4" s="1"/>
      <c r="B4" s="1"/>
      <c r="C4" s="297" t="s">
        <v>229</v>
      </c>
      <c r="D4" s="297" t="s">
        <v>230</v>
      </c>
      <c r="E4" s="297" t="s">
        <v>231</v>
      </c>
    </row>
    <row r="5" spans="1:5" s="106" customFormat="1" ht="13.5" customHeight="1">
      <c r="A5" s="64" t="s">
        <v>1</v>
      </c>
      <c r="B5" s="104" t="s">
        <v>84</v>
      </c>
      <c r="C5" s="105"/>
      <c r="D5" s="105"/>
      <c r="E5" s="105"/>
    </row>
    <row r="6" spans="1:6" s="350" customFormat="1" ht="16.5" customHeight="1">
      <c r="A6" s="347" t="s">
        <v>5</v>
      </c>
      <c r="B6" s="301" t="s">
        <v>24</v>
      </c>
      <c r="C6" s="348">
        <v>5000</v>
      </c>
      <c r="D6" s="348">
        <f>5000-379</f>
        <v>4621</v>
      </c>
      <c r="E6" s="348">
        <f aca="true" t="shared" si="0" ref="E6:E35">D6-C6</f>
        <v>-379</v>
      </c>
      <c r="F6" s="349"/>
    </row>
    <row r="7" spans="1:6" s="350" customFormat="1" ht="16.5" customHeight="1">
      <c r="A7" s="347" t="s">
        <v>6</v>
      </c>
      <c r="B7" s="301" t="s">
        <v>22</v>
      </c>
      <c r="C7" s="348">
        <v>6000</v>
      </c>
      <c r="D7" s="348">
        <v>6000</v>
      </c>
      <c r="E7" s="348">
        <f t="shared" si="0"/>
        <v>0</v>
      </c>
      <c r="F7" s="349"/>
    </row>
    <row r="8" spans="1:6" s="350" customFormat="1" ht="16.5" customHeight="1">
      <c r="A8" s="347" t="s">
        <v>7</v>
      </c>
      <c r="B8" s="301" t="s">
        <v>183</v>
      </c>
      <c r="C8" s="348">
        <v>100000</v>
      </c>
      <c r="D8" s="348">
        <v>100000</v>
      </c>
      <c r="E8" s="348">
        <f t="shared" si="0"/>
        <v>0</v>
      </c>
      <c r="F8" s="349"/>
    </row>
    <row r="9" spans="1:5" s="349" customFormat="1" ht="16.5" customHeight="1">
      <c r="A9" s="347" t="s">
        <v>8</v>
      </c>
      <c r="B9" s="302" t="s">
        <v>184</v>
      </c>
      <c r="C9" s="351">
        <v>6000</v>
      </c>
      <c r="D9" s="351">
        <v>6000</v>
      </c>
      <c r="E9" s="351">
        <f t="shared" si="0"/>
        <v>0</v>
      </c>
    </row>
    <row r="10" spans="1:5" s="349" customFormat="1" ht="16.5" customHeight="1">
      <c r="A10" s="347" t="s">
        <v>9</v>
      </c>
      <c r="B10" s="302" t="s">
        <v>185</v>
      </c>
      <c r="C10" s="351">
        <v>3000</v>
      </c>
      <c r="D10" s="351">
        <v>3000</v>
      </c>
      <c r="E10" s="351">
        <f t="shared" si="0"/>
        <v>0</v>
      </c>
    </row>
    <row r="11" spans="1:5" s="349" customFormat="1" ht="16.5" customHeight="1">
      <c r="A11" s="347" t="s">
        <v>20</v>
      </c>
      <c r="B11" s="302" t="s">
        <v>149</v>
      </c>
      <c r="C11" s="351">
        <v>1000</v>
      </c>
      <c r="D11" s="351">
        <v>1000</v>
      </c>
      <c r="E11" s="351">
        <f t="shared" si="0"/>
        <v>0</v>
      </c>
    </row>
    <row r="12" spans="1:5" s="349" customFormat="1" ht="16.5" customHeight="1">
      <c r="A12" s="347" t="s">
        <v>21</v>
      </c>
      <c r="B12" s="302" t="s">
        <v>74</v>
      </c>
      <c r="C12" s="351">
        <v>5000</v>
      </c>
      <c r="D12" s="351">
        <v>5000</v>
      </c>
      <c r="E12" s="351">
        <f t="shared" si="0"/>
        <v>0</v>
      </c>
    </row>
    <row r="13" spans="1:7" s="349" customFormat="1" ht="16.5" customHeight="1">
      <c r="A13" s="347" t="s">
        <v>23</v>
      </c>
      <c r="B13" s="302" t="s">
        <v>75</v>
      </c>
      <c r="C13" s="351">
        <v>5000</v>
      </c>
      <c r="D13" s="351">
        <v>5000</v>
      </c>
      <c r="E13" s="351">
        <f t="shared" si="0"/>
        <v>0</v>
      </c>
      <c r="G13" s="151"/>
    </row>
    <row r="14" spans="1:7" s="349" customFormat="1" ht="16.5" customHeight="1">
      <c r="A14" s="347" t="s">
        <v>51</v>
      </c>
      <c r="B14" s="302" t="s">
        <v>186</v>
      </c>
      <c r="C14" s="351">
        <v>2000</v>
      </c>
      <c r="D14" s="351">
        <v>2000</v>
      </c>
      <c r="E14" s="351">
        <f t="shared" si="0"/>
        <v>0</v>
      </c>
      <c r="G14" s="151"/>
    </row>
    <row r="15" spans="1:7" s="349" customFormat="1" ht="15" customHeight="1">
      <c r="A15" s="347" t="s">
        <v>52</v>
      </c>
      <c r="B15" s="303" t="s">
        <v>222</v>
      </c>
      <c r="C15" s="352">
        <v>3500</v>
      </c>
      <c r="D15" s="352">
        <v>0</v>
      </c>
      <c r="E15" s="352">
        <f t="shared" si="0"/>
        <v>-3500</v>
      </c>
      <c r="G15" s="151"/>
    </row>
    <row r="16" spans="1:7" s="349" customFormat="1" ht="22.5" customHeight="1">
      <c r="A16" s="353" t="s">
        <v>215</v>
      </c>
      <c r="B16" s="153" t="s">
        <v>214</v>
      </c>
      <c r="C16" s="354">
        <v>2380</v>
      </c>
      <c r="D16" s="354">
        <v>2380</v>
      </c>
      <c r="E16" s="354">
        <f t="shared" si="0"/>
        <v>0</v>
      </c>
      <c r="G16" s="355"/>
    </row>
    <row r="17" spans="1:7" s="349" customFormat="1" ht="20.25" customHeight="1">
      <c r="A17" s="353" t="s">
        <v>162</v>
      </c>
      <c r="B17" s="153" t="s">
        <v>205</v>
      </c>
      <c r="C17" s="354">
        <v>8000</v>
      </c>
      <c r="D17" s="354">
        <v>8000</v>
      </c>
      <c r="E17" s="354">
        <f t="shared" si="0"/>
        <v>0</v>
      </c>
      <c r="G17" s="355"/>
    </row>
    <row r="18" spans="1:7" s="349" customFormat="1" ht="25.5">
      <c r="A18" s="353" t="s">
        <v>44</v>
      </c>
      <c r="B18" s="153" t="s">
        <v>206</v>
      </c>
      <c r="C18" s="354">
        <v>3000</v>
      </c>
      <c r="D18" s="354">
        <v>3000</v>
      </c>
      <c r="E18" s="354">
        <f t="shared" si="0"/>
        <v>0</v>
      </c>
      <c r="G18" s="355"/>
    </row>
    <row r="19" spans="1:7" s="349" customFormat="1" ht="25.5">
      <c r="A19" s="353" t="s">
        <v>187</v>
      </c>
      <c r="B19" s="153" t="s">
        <v>207</v>
      </c>
      <c r="C19" s="354">
        <v>900</v>
      </c>
      <c r="D19" s="354">
        <v>900</v>
      </c>
      <c r="E19" s="354">
        <f t="shared" si="0"/>
        <v>0</v>
      </c>
      <c r="G19" s="355"/>
    </row>
    <row r="20" spans="1:7" s="349" customFormat="1" ht="25.5">
      <c r="A20" s="353" t="s">
        <v>188</v>
      </c>
      <c r="B20" s="153" t="s">
        <v>208</v>
      </c>
      <c r="C20" s="354">
        <v>2200</v>
      </c>
      <c r="D20" s="354">
        <v>2200</v>
      </c>
      <c r="E20" s="354">
        <f t="shared" si="0"/>
        <v>0</v>
      </c>
      <c r="G20" s="355"/>
    </row>
    <row r="21" spans="1:7" s="349" customFormat="1" ht="25.5">
      <c r="A21" s="353" t="s">
        <v>201</v>
      </c>
      <c r="B21" s="153" t="s">
        <v>209</v>
      </c>
      <c r="C21" s="354">
        <v>4700</v>
      </c>
      <c r="D21" s="354">
        <v>4700</v>
      </c>
      <c r="E21" s="354">
        <f t="shared" si="0"/>
        <v>0</v>
      </c>
      <c r="G21" s="355"/>
    </row>
    <row r="22" spans="1:5" s="349" customFormat="1" ht="15" customHeight="1">
      <c r="A22" s="353" t="s">
        <v>210</v>
      </c>
      <c r="B22" s="161" t="s">
        <v>158</v>
      </c>
      <c r="C22" s="356">
        <v>500</v>
      </c>
      <c r="D22" s="356">
        <v>500</v>
      </c>
      <c r="E22" s="356">
        <f t="shared" si="0"/>
        <v>0</v>
      </c>
    </row>
    <row r="23" spans="1:5" s="349" customFormat="1" ht="25.5">
      <c r="A23" s="357" t="s">
        <v>216</v>
      </c>
      <c r="B23" s="302" t="s">
        <v>248</v>
      </c>
      <c r="C23" s="351"/>
      <c r="D23" s="351">
        <v>142504</v>
      </c>
      <c r="E23" s="351">
        <f t="shared" si="0"/>
        <v>142504</v>
      </c>
    </row>
    <row r="24" spans="1:6" s="151" customFormat="1" ht="29.25" customHeight="1">
      <c r="A24" s="357" t="s">
        <v>211</v>
      </c>
      <c r="B24" s="302" t="s">
        <v>251</v>
      </c>
      <c r="C24" s="351"/>
      <c r="D24" s="351">
        <v>290000</v>
      </c>
      <c r="E24" s="351">
        <f t="shared" si="0"/>
        <v>290000</v>
      </c>
      <c r="F24" s="358"/>
    </row>
    <row r="25" spans="1:6" s="151" customFormat="1" ht="33.75" customHeight="1">
      <c r="A25" s="357" t="s">
        <v>255</v>
      </c>
      <c r="B25" s="302" t="s">
        <v>254</v>
      </c>
      <c r="C25" s="351"/>
      <c r="D25" s="351">
        <v>2160</v>
      </c>
      <c r="E25" s="351">
        <f t="shared" si="0"/>
        <v>2160</v>
      </c>
      <c r="F25" s="358"/>
    </row>
    <row r="26" spans="1:5" s="349" customFormat="1" ht="28.5" customHeight="1">
      <c r="A26" s="357" t="s">
        <v>256</v>
      </c>
      <c r="B26" s="302" t="s">
        <v>189</v>
      </c>
      <c r="C26" s="351">
        <v>1000</v>
      </c>
      <c r="D26" s="351">
        <v>1000</v>
      </c>
      <c r="E26" s="351">
        <f t="shared" si="0"/>
        <v>0</v>
      </c>
    </row>
    <row r="27" spans="1:5" s="349" customFormat="1" ht="28.5" customHeight="1">
      <c r="A27" s="357" t="s">
        <v>257</v>
      </c>
      <c r="B27" s="302" t="s">
        <v>269</v>
      </c>
      <c r="C27" s="351"/>
      <c r="D27" s="351">
        <v>75</v>
      </c>
      <c r="E27" s="351">
        <f t="shared" si="0"/>
        <v>75</v>
      </c>
    </row>
    <row r="28" spans="1:5" s="349" customFormat="1" ht="12.75">
      <c r="A28" s="357" t="s">
        <v>267</v>
      </c>
      <c r="B28" s="302" t="s">
        <v>190</v>
      </c>
      <c r="C28" s="351">
        <v>1000</v>
      </c>
      <c r="D28" s="351">
        <v>3500</v>
      </c>
      <c r="E28" s="351">
        <f t="shared" si="0"/>
        <v>2500</v>
      </c>
    </row>
    <row r="29" spans="1:5" s="349" customFormat="1" ht="12.75">
      <c r="A29" s="357" t="s">
        <v>268</v>
      </c>
      <c r="B29" s="302" t="s">
        <v>272</v>
      </c>
      <c r="C29" s="351"/>
      <c r="D29" s="351">
        <f>94+65+193</f>
        <v>352</v>
      </c>
      <c r="E29" s="351">
        <f t="shared" si="0"/>
        <v>352</v>
      </c>
    </row>
    <row r="30" spans="1:5" s="349" customFormat="1" ht="25.5">
      <c r="A30" s="357" t="s">
        <v>270</v>
      </c>
      <c r="B30" s="302" t="s">
        <v>271</v>
      </c>
      <c r="C30" s="351"/>
      <c r="D30" s="351">
        <f>193+16+57</f>
        <v>266</v>
      </c>
      <c r="E30" s="351">
        <f t="shared" si="0"/>
        <v>266</v>
      </c>
    </row>
    <row r="31" spans="1:5" s="349" customFormat="1" ht="25.5">
      <c r="A31" s="357" t="s">
        <v>274</v>
      </c>
      <c r="B31" s="302" t="s">
        <v>273</v>
      </c>
      <c r="C31" s="351"/>
      <c r="D31" s="351">
        <v>1851</v>
      </c>
      <c r="E31" s="351">
        <f t="shared" si="0"/>
        <v>1851</v>
      </c>
    </row>
    <row r="32" spans="1:5" s="349" customFormat="1" ht="38.25">
      <c r="A32" s="357" t="s">
        <v>278</v>
      </c>
      <c r="B32" s="302" t="s">
        <v>275</v>
      </c>
      <c r="C32" s="351"/>
      <c r="D32" s="351">
        <v>174</v>
      </c>
      <c r="E32" s="351">
        <f t="shared" si="0"/>
        <v>174</v>
      </c>
    </row>
    <row r="33" spans="1:5" s="349" customFormat="1" ht="25.5">
      <c r="A33" s="357" t="s">
        <v>279</v>
      </c>
      <c r="B33" s="302" t="s">
        <v>276</v>
      </c>
      <c r="C33" s="351"/>
      <c r="D33" s="351">
        <v>2952</v>
      </c>
      <c r="E33" s="351">
        <f t="shared" si="0"/>
        <v>2952</v>
      </c>
    </row>
    <row r="34" spans="1:5" s="349" customFormat="1" ht="12.75">
      <c r="A34" s="357" t="s">
        <v>280</v>
      </c>
      <c r="B34" s="302" t="s">
        <v>277</v>
      </c>
      <c r="C34" s="351"/>
      <c r="D34" s="351">
        <v>200</v>
      </c>
      <c r="E34" s="351">
        <f t="shared" si="0"/>
        <v>200</v>
      </c>
    </row>
    <row r="35" spans="1:5" s="349" customFormat="1" ht="12.75">
      <c r="A35" s="357" t="s">
        <v>281</v>
      </c>
      <c r="B35" s="302" t="s">
        <v>282</v>
      </c>
      <c r="C35" s="351"/>
      <c r="D35" s="351">
        <v>699</v>
      </c>
      <c r="E35" s="351">
        <f t="shared" si="0"/>
        <v>699</v>
      </c>
    </row>
    <row r="36" spans="1:5" s="151" customFormat="1" ht="16.5" customHeight="1">
      <c r="A36" s="359"/>
      <c r="B36" s="104" t="s">
        <v>3</v>
      </c>
      <c r="C36" s="360">
        <f>SUM(C6:C28)</f>
        <v>160180</v>
      </c>
      <c r="D36" s="360">
        <f>SUM(D6:D35)</f>
        <v>600034</v>
      </c>
      <c r="E36" s="360">
        <f>SUM(E6:E35)</f>
        <v>439854</v>
      </c>
    </row>
    <row r="37" spans="1:5" s="151" customFormat="1" ht="26.25" customHeight="1">
      <c r="A37" s="359"/>
      <c r="B37" s="104"/>
      <c r="C37" s="360"/>
      <c r="D37" s="360"/>
      <c r="E37" s="360"/>
    </row>
    <row r="38" spans="1:5" s="151" customFormat="1" ht="16.5" customHeight="1">
      <c r="A38" s="104" t="s">
        <v>2</v>
      </c>
      <c r="B38" s="104" t="s">
        <v>85</v>
      </c>
      <c r="C38" s="361"/>
      <c r="D38" s="361"/>
      <c r="E38" s="361">
        <f aca="true" t="shared" si="1" ref="E38:E48">D38-C38</f>
        <v>0</v>
      </c>
    </row>
    <row r="39" spans="1:5" s="349" customFormat="1" ht="12.75">
      <c r="A39" s="362" t="s">
        <v>5</v>
      </c>
      <c r="B39" s="153" t="s">
        <v>223</v>
      </c>
      <c r="C39" s="363">
        <v>3800</v>
      </c>
      <c r="D39" s="363">
        <v>0</v>
      </c>
      <c r="E39" s="363">
        <f t="shared" si="1"/>
        <v>-3800</v>
      </c>
    </row>
    <row r="40" spans="1:8" s="350" customFormat="1" ht="15.75">
      <c r="A40" s="347" t="s">
        <v>6</v>
      </c>
      <c r="B40" s="301" t="s">
        <v>191</v>
      </c>
      <c r="C40" s="348">
        <v>1270</v>
      </c>
      <c r="D40" s="348">
        <f>1270-650-176</f>
        <v>444</v>
      </c>
      <c r="E40" s="348">
        <f t="shared" si="1"/>
        <v>-826</v>
      </c>
      <c r="F40" s="349"/>
      <c r="H40" s="364"/>
    </row>
    <row r="41" spans="1:6" s="350" customFormat="1" ht="15.75">
      <c r="A41" s="347" t="s">
        <v>7</v>
      </c>
      <c r="B41" s="302" t="s">
        <v>192</v>
      </c>
      <c r="C41" s="348">
        <v>21568</v>
      </c>
      <c r="D41" s="348">
        <v>21568</v>
      </c>
      <c r="E41" s="348">
        <f t="shared" si="1"/>
        <v>0</v>
      </c>
      <c r="F41" s="349"/>
    </row>
    <row r="42" spans="1:6" s="349" customFormat="1" ht="25.5">
      <c r="A42" s="347" t="s">
        <v>8</v>
      </c>
      <c r="B42" s="303" t="s">
        <v>224</v>
      </c>
      <c r="C42" s="365">
        <v>46315</v>
      </c>
      <c r="D42" s="365">
        <f>46315-2850</f>
        <v>43465</v>
      </c>
      <c r="E42" s="365">
        <f t="shared" si="1"/>
        <v>-2850</v>
      </c>
      <c r="F42" s="366"/>
    </row>
    <row r="43" spans="1:6" s="349" customFormat="1" ht="12.75">
      <c r="A43" s="347" t="s">
        <v>9</v>
      </c>
      <c r="B43" s="303" t="s">
        <v>197</v>
      </c>
      <c r="C43" s="365">
        <v>300</v>
      </c>
      <c r="D43" s="365">
        <v>300</v>
      </c>
      <c r="E43" s="365">
        <f t="shared" si="1"/>
        <v>0</v>
      </c>
      <c r="F43" s="366"/>
    </row>
    <row r="44" spans="1:6" s="151" customFormat="1" ht="38.25">
      <c r="A44" s="347" t="s">
        <v>20</v>
      </c>
      <c r="B44" s="302" t="s">
        <v>249</v>
      </c>
      <c r="C44" s="351"/>
      <c r="D44" s="351">
        <v>59138</v>
      </c>
      <c r="E44" s="351">
        <f t="shared" si="1"/>
        <v>59138</v>
      </c>
      <c r="F44" s="358"/>
    </row>
    <row r="45" spans="1:6" s="151" customFormat="1" ht="38.25">
      <c r="A45" s="347" t="s">
        <v>21</v>
      </c>
      <c r="B45" s="302" t="s">
        <v>250</v>
      </c>
      <c r="C45" s="351"/>
      <c r="D45" s="351">
        <v>84309</v>
      </c>
      <c r="E45" s="351">
        <f t="shared" si="1"/>
        <v>84309</v>
      </c>
      <c r="F45" s="358"/>
    </row>
    <row r="46" spans="1:6" s="151" customFormat="1" ht="25.5">
      <c r="A46" s="347" t="s">
        <v>51</v>
      </c>
      <c r="B46" s="302" t="s">
        <v>252</v>
      </c>
      <c r="C46" s="351"/>
      <c r="D46" s="351">
        <f>88384+3000</f>
        <v>91384</v>
      </c>
      <c r="E46" s="351">
        <f t="shared" si="1"/>
        <v>91384</v>
      </c>
      <c r="F46" s="358"/>
    </row>
    <row r="47" spans="1:6" s="151" customFormat="1" ht="12.75">
      <c r="A47" s="347" t="s">
        <v>52</v>
      </c>
      <c r="B47" s="302" t="s">
        <v>264</v>
      </c>
      <c r="C47" s="351"/>
      <c r="D47" s="351">
        <v>5306</v>
      </c>
      <c r="E47" s="351">
        <f t="shared" si="1"/>
        <v>5306</v>
      </c>
      <c r="F47" s="358"/>
    </row>
    <row r="48" spans="1:6" s="151" customFormat="1" ht="25.5">
      <c r="A48" s="347" t="s">
        <v>265</v>
      </c>
      <c r="B48" s="302" t="s">
        <v>266</v>
      </c>
      <c r="C48" s="351"/>
      <c r="D48" s="351">
        <v>6688</v>
      </c>
      <c r="E48" s="351">
        <f t="shared" si="1"/>
        <v>6688</v>
      </c>
      <c r="F48" s="358"/>
    </row>
    <row r="49" spans="1:5" s="64" customFormat="1" ht="16.5" customHeight="1">
      <c r="A49" s="300"/>
      <c r="B49" s="104" t="s">
        <v>3</v>
      </c>
      <c r="C49" s="110">
        <f>SUM(C39:C48)</f>
        <v>73253</v>
      </c>
      <c r="D49" s="110">
        <f>SUM(D39:D48)</f>
        <v>312602</v>
      </c>
      <c r="E49" s="110">
        <f>SUM(E39:E48)</f>
        <v>239349</v>
      </c>
    </row>
    <row r="50" spans="1:5" s="64" customFormat="1" ht="12.75">
      <c r="A50" s="106"/>
      <c r="B50" s="104"/>
      <c r="C50" s="110"/>
      <c r="D50" s="110"/>
      <c r="E50" s="110"/>
    </row>
    <row r="51" spans="1:5" s="64" customFormat="1" ht="16.5" customHeight="1">
      <c r="A51" s="64" t="s">
        <v>11</v>
      </c>
      <c r="B51" s="64" t="s">
        <v>101</v>
      </c>
      <c r="C51" s="105"/>
      <c r="D51" s="105"/>
      <c r="E51" s="105"/>
    </row>
    <row r="52" spans="1:5" s="64" customFormat="1" ht="16.5" customHeight="1">
      <c r="A52" s="65" t="s">
        <v>5</v>
      </c>
      <c r="B52" s="65" t="s">
        <v>102</v>
      </c>
      <c r="C52" s="111"/>
      <c r="D52" s="111"/>
      <c r="E52" s="111"/>
    </row>
    <row r="53" spans="1:5" s="106" customFormat="1" ht="16.5" customHeight="1">
      <c r="A53" s="154" t="s">
        <v>5</v>
      </c>
      <c r="B53" s="155" t="s">
        <v>14</v>
      </c>
      <c r="C53" s="156">
        <v>1358</v>
      </c>
      <c r="D53" s="156">
        <v>1358</v>
      </c>
      <c r="E53" s="156">
        <f>D53-C53</f>
        <v>0</v>
      </c>
    </row>
    <row r="54" spans="1:5" s="106" customFormat="1" ht="16.5" customHeight="1">
      <c r="A54" s="154" t="s">
        <v>6</v>
      </c>
      <c r="B54" s="155" t="s">
        <v>53</v>
      </c>
      <c r="C54" s="156">
        <v>0</v>
      </c>
      <c r="D54" s="156">
        <v>0</v>
      </c>
      <c r="E54" s="156">
        <f>D54-C54</f>
        <v>0</v>
      </c>
    </row>
    <row r="55" spans="2:5" s="64" customFormat="1" ht="16.5" customHeight="1">
      <c r="B55" s="65" t="s">
        <v>3</v>
      </c>
      <c r="C55" s="111">
        <f>SUM(C53:C54)</f>
        <v>1358</v>
      </c>
      <c r="D55" s="111">
        <f>SUM(D53:D54)</f>
        <v>1358</v>
      </c>
      <c r="E55" s="111">
        <f>D55-C55</f>
        <v>0</v>
      </c>
    </row>
    <row r="56" spans="1:5" s="64" customFormat="1" ht="16.5" customHeight="1">
      <c r="A56" s="65" t="s">
        <v>6</v>
      </c>
      <c r="B56" s="65" t="s">
        <v>103</v>
      </c>
      <c r="C56" s="105"/>
      <c r="D56" s="105"/>
      <c r="E56" s="105"/>
    </row>
    <row r="57" spans="1:5" s="106" customFormat="1" ht="16.5" customHeight="1">
      <c r="A57" s="28" t="s">
        <v>5</v>
      </c>
      <c r="B57" s="306" t="s">
        <v>38</v>
      </c>
      <c r="C57" s="304">
        <v>5802</v>
      </c>
      <c r="D57" s="304">
        <v>5802</v>
      </c>
      <c r="E57" s="304">
        <f>D57-C57</f>
        <v>0</v>
      </c>
    </row>
    <row r="58" spans="1:5" s="106" customFormat="1" ht="16.5" customHeight="1">
      <c r="A58" s="28" t="s">
        <v>6</v>
      </c>
      <c r="B58" s="306" t="s">
        <v>73</v>
      </c>
      <c r="C58" s="305">
        <v>190</v>
      </c>
      <c r="D58" s="305">
        <v>190</v>
      </c>
      <c r="E58" s="305">
        <f>D58-C58</f>
        <v>0</v>
      </c>
    </row>
    <row r="59" spans="2:5" s="64" customFormat="1" ht="16.5" customHeight="1">
      <c r="B59" s="65" t="s">
        <v>3</v>
      </c>
      <c r="C59" s="111">
        <f>SUM(C57:C58)</f>
        <v>5992</v>
      </c>
      <c r="D59" s="111">
        <f>SUM(D57:D58)</f>
        <v>5992</v>
      </c>
      <c r="E59" s="111">
        <f>D59-C59</f>
        <v>0</v>
      </c>
    </row>
    <row r="60" spans="1:5" s="64" customFormat="1" ht="16.5" customHeight="1">
      <c r="A60" s="124" t="s">
        <v>7</v>
      </c>
      <c r="B60" s="65" t="s">
        <v>104</v>
      </c>
      <c r="C60" s="105"/>
      <c r="D60" s="105"/>
      <c r="E60" s="105"/>
    </row>
    <row r="61" spans="1:5" s="106" customFormat="1" ht="16.5" customHeight="1">
      <c r="A61" s="154" t="s">
        <v>5</v>
      </c>
      <c r="B61" s="155" t="s">
        <v>213</v>
      </c>
      <c r="C61" s="156">
        <v>1630</v>
      </c>
      <c r="D61" s="156">
        <v>1630</v>
      </c>
      <c r="E61" s="156">
        <f aca="true" t="shared" si="2" ref="E61:E67">D61-C61</f>
        <v>0</v>
      </c>
    </row>
    <row r="62" spans="1:5" s="106" customFormat="1" ht="16.5" customHeight="1">
      <c r="A62" s="154" t="s">
        <v>6</v>
      </c>
      <c r="B62" s="155" t="s">
        <v>263</v>
      </c>
      <c r="C62" s="156"/>
      <c r="D62" s="156">
        <v>1200</v>
      </c>
      <c r="E62" s="156">
        <f t="shared" si="2"/>
        <v>1200</v>
      </c>
    </row>
    <row r="63" spans="1:5" s="107" customFormat="1" ht="17.25" customHeight="1">
      <c r="A63" s="312" t="s">
        <v>7</v>
      </c>
      <c r="B63" s="313" t="s">
        <v>259</v>
      </c>
      <c r="C63" s="314">
        <v>0</v>
      </c>
      <c r="D63" s="314">
        <f>3800+842</f>
        <v>4642</v>
      </c>
      <c r="E63" s="314">
        <f t="shared" si="2"/>
        <v>4642</v>
      </c>
    </row>
    <row r="64" spans="1:5" s="107" customFormat="1" ht="17.25" customHeight="1">
      <c r="A64" s="312" t="s">
        <v>8</v>
      </c>
      <c r="B64" s="313" t="s">
        <v>260</v>
      </c>
      <c r="C64" s="314">
        <v>0</v>
      </c>
      <c r="D64" s="314">
        <v>1575</v>
      </c>
      <c r="E64" s="314">
        <f t="shared" si="2"/>
        <v>1575</v>
      </c>
    </row>
    <row r="65" spans="1:5" s="107" customFormat="1" ht="17.25" customHeight="1">
      <c r="A65" s="312" t="s">
        <v>9</v>
      </c>
      <c r="B65" s="313" t="s">
        <v>261</v>
      </c>
      <c r="C65" s="314">
        <v>0</v>
      </c>
      <c r="D65" s="314">
        <v>682</v>
      </c>
      <c r="E65" s="314">
        <f t="shared" si="2"/>
        <v>682</v>
      </c>
    </row>
    <row r="66" spans="1:7" s="107" customFormat="1" ht="15" customHeight="1">
      <c r="A66" s="312" t="s">
        <v>20</v>
      </c>
      <c r="B66" s="311" t="s">
        <v>258</v>
      </c>
      <c r="C66" s="315">
        <v>0</v>
      </c>
      <c r="D66" s="315">
        <v>3500</v>
      </c>
      <c r="E66" s="315">
        <f t="shared" si="2"/>
        <v>3500</v>
      </c>
      <c r="G66" s="106"/>
    </row>
    <row r="67" spans="1:5" s="106" customFormat="1" ht="16.5" customHeight="1">
      <c r="A67" s="154" t="s">
        <v>9</v>
      </c>
      <c r="B67" s="155" t="s">
        <v>262</v>
      </c>
      <c r="C67" s="156"/>
      <c r="D67" s="156">
        <v>250</v>
      </c>
      <c r="E67" s="156">
        <f t="shared" si="2"/>
        <v>250</v>
      </c>
    </row>
    <row r="68" spans="2:5" s="64" customFormat="1" ht="16.5" customHeight="1">
      <c r="B68" s="65" t="s">
        <v>3</v>
      </c>
      <c r="C68" s="111">
        <f>SUM(C61:C67)</f>
        <v>1630</v>
      </c>
      <c r="D68" s="111">
        <f>SUM(D61:D67)</f>
        <v>13479</v>
      </c>
      <c r="E68" s="111">
        <f>SUM(E61:E67)</f>
        <v>11849</v>
      </c>
    </row>
    <row r="69" spans="1:5" s="106" customFormat="1" ht="16.5" customHeight="1">
      <c r="A69" s="112" t="s">
        <v>8</v>
      </c>
      <c r="B69" s="113" t="s">
        <v>105</v>
      </c>
      <c r="C69" s="114"/>
      <c r="D69" s="114"/>
      <c r="E69" s="114"/>
    </row>
    <row r="70" spans="1:6" s="108" customFormat="1" ht="15.75">
      <c r="A70" s="152" t="s">
        <v>45</v>
      </c>
      <c r="B70" s="157" t="s">
        <v>54</v>
      </c>
      <c r="C70" s="158"/>
      <c r="D70" s="158"/>
      <c r="E70" s="158">
        <f>D70-C70</f>
        <v>0</v>
      </c>
      <c r="F70" s="107"/>
    </row>
    <row r="71" spans="1:5" s="106" customFormat="1" ht="12.75">
      <c r="A71" s="115"/>
      <c r="B71" s="113" t="s">
        <v>3</v>
      </c>
      <c r="C71" s="116">
        <f>SUM(C70:C70)</f>
        <v>0</v>
      </c>
      <c r="D71" s="116">
        <f>SUM(D70:D70)</f>
        <v>0</v>
      </c>
      <c r="E71" s="116">
        <f>D71-C71</f>
        <v>0</v>
      </c>
    </row>
    <row r="72" spans="1:5" s="64" customFormat="1" ht="12.75">
      <c r="A72" s="106"/>
      <c r="B72" s="104" t="s">
        <v>3</v>
      </c>
      <c r="C72" s="110">
        <f>C71+C68+C59+C55</f>
        <v>8980</v>
      </c>
      <c r="D72" s="110">
        <f>D71+D68+D59+D55</f>
        <v>20829</v>
      </c>
      <c r="E72" s="110">
        <f>D72-C72</f>
        <v>11849</v>
      </c>
    </row>
    <row r="73" spans="3:5" s="64" customFormat="1" ht="16.5" customHeight="1">
      <c r="C73" s="105"/>
      <c r="D73" s="105"/>
      <c r="E73" s="105"/>
    </row>
    <row r="74" spans="2:5" s="64" customFormat="1" ht="16.5" customHeight="1">
      <c r="B74" s="104" t="s">
        <v>106</v>
      </c>
      <c r="C74" s="105">
        <f>C72+C49+C36</f>
        <v>242413</v>
      </c>
      <c r="D74" s="105">
        <f>D72+D49+D36</f>
        <v>933465</v>
      </c>
      <c r="E74" s="105">
        <f>D74-C74</f>
        <v>691052</v>
      </c>
    </row>
    <row r="75" spans="2:5" s="64" customFormat="1" ht="16.5" customHeight="1">
      <c r="B75" s="104"/>
      <c r="C75" s="105"/>
      <c r="D75" s="105"/>
      <c r="E75" s="105"/>
    </row>
    <row r="76" spans="1:5" s="64" customFormat="1" ht="16.5" customHeight="1">
      <c r="A76" s="64" t="s">
        <v>15</v>
      </c>
      <c r="B76" s="117" t="s">
        <v>109</v>
      </c>
      <c r="C76" s="105"/>
      <c r="D76" s="105"/>
      <c r="E76" s="105"/>
    </row>
    <row r="77" spans="1:6" s="119" customFormat="1" ht="16.5" customHeight="1">
      <c r="A77" s="28" t="s">
        <v>5</v>
      </c>
      <c r="B77" s="302" t="s">
        <v>108</v>
      </c>
      <c r="C77" s="109">
        <v>0</v>
      </c>
      <c r="D77" s="109">
        <v>0</v>
      </c>
      <c r="E77" s="109">
        <f>D77-C77</f>
        <v>0</v>
      </c>
      <c r="F77" s="118"/>
    </row>
    <row r="78" spans="2:5" s="64" customFormat="1" ht="16.5" customHeight="1">
      <c r="B78" s="117" t="s">
        <v>3</v>
      </c>
      <c r="C78" s="105">
        <f>SUM(C77:C77)</f>
        <v>0</v>
      </c>
      <c r="D78" s="105">
        <f>SUM(D77:D77)</f>
        <v>0</v>
      </c>
      <c r="E78" s="105">
        <f>D78-C78</f>
        <v>0</v>
      </c>
    </row>
    <row r="79" spans="2:5" s="119" customFormat="1" ht="16.5" customHeight="1">
      <c r="B79" s="117" t="s">
        <v>107</v>
      </c>
      <c r="C79" s="105">
        <v>0</v>
      </c>
      <c r="D79" s="105">
        <v>0</v>
      </c>
      <c r="E79" s="105">
        <f>D79-C79</f>
        <v>0</v>
      </c>
    </row>
    <row r="80" spans="1:5" s="64" customFormat="1" ht="12.75">
      <c r="A80" s="106"/>
      <c r="C80" s="105"/>
      <c r="D80" s="105"/>
      <c r="E80" s="105"/>
    </row>
    <row r="81" spans="1:5" s="64" customFormat="1" ht="16.5" customHeight="1">
      <c r="A81" s="106"/>
      <c r="B81" s="64" t="s">
        <v>16</v>
      </c>
      <c r="C81" s="105">
        <f>C74+C79</f>
        <v>242413</v>
      </c>
      <c r="D81" s="105">
        <f>D74+D79</f>
        <v>933465</v>
      </c>
      <c r="E81" s="105">
        <f>D81-C81</f>
        <v>691052</v>
      </c>
    </row>
    <row r="82" spans="1:5" s="64" customFormat="1" ht="16.5" customHeight="1">
      <c r="A82" s="106"/>
      <c r="B82" s="64" t="s">
        <v>56</v>
      </c>
      <c r="C82" s="105"/>
      <c r="D82" s="105"/>
      <c r="E82" s="105"/>
    </row>
    <row r="83" spans="2:5" s="106" customFormat="1" ht="16.5" customHeight="1">
      <c r="B83" s="298" t="s">
        <v>57</v>
      </c>
      <c r="C83" s="299">
        <f>C81-C84</f>
        <v>213945</v>
      </c>
      <c r="D83" s="299">
        <f>D81-D84</f>
        <v>907347</v>
      </c>
      <c r="E83" s="299">
        <f>D83-C83</f>
        <v>693402</v>
      </c>
    </row>
    <row r="84" spans="2:6" s="106" customFormat="1" ht="16.5" customHeight="1">
      <c r="B84" s="159" t="s">
        <v>55</v>
      </c>
      <c r="C84" s="160">
        <f>C70+C54+C53+C22+C39+C16+C17+C18+C19+C20+C21+C61+C62+C67</f>
        <v>28468</v>
      </c>
      <c r="D84" s="160">
        <f>D70+D54+D53+D22+D39+D16+D17+D18+D19+D20+D21+D61+D62+D67</f>
        <v>26118</v>
      </c>
      <c r="E84" s="160">
        <f>E70+E54+E53+E22+E39+E16+E17+E18+E19+E20+E21+E61+E62+E67</f>
        <v>-2350</v>
      </c>
      <c r="F84" s="160">
        <f>F70+F54+F53+F22+F39+F16+F17+F18+F19+F20+F21+F61+F62+F67</f>
        <v>0</v>
      </c>
    </row>
    <row r="85" spans="3:5" s="106" customFormat="1" ht="11.25" customHeight="1">
      <c r="C85" s="120"/>
      <c r="D85" s="120"/>
      <c r="E85" s="120"/>
    </row>
    <row r="86" spans="3:5" s="106" customFormat="1" ht="11.25" customHeight="1">
      <c r="C86" s="120"/>
      <c r="D86" s="120"/>
      <c r="E86" s="120"/>
    </row>
    <row r="87" spans="2:6" s="106" customFormat="1" ht="23.25" customHeight="1">
      <c r="B87" s="64" t="s">
        <v>77</v>
      </c>
      <c r="C87" s="105">
        <f>'4. melléklet'!C45-'5. melléklet '!C81</f>
        <v>0</v>
      </c>
      <c r="D87" s="105">
        <f>'4. melléklet'!D45-'5. melléklet '!D81</f>
        <v>-19941</v>
      </c>
      <c r="E87" s="105">
        <f>D87-C87</f>
        <v>-19941</v>
      </c>
      <c r="F87" s="120"/>
    </row>
    <row r="88" spans="3:5" s="106" customFormat="1" ht="11.25" customHeight="1">
      <c r="C88" s="120"/>
      <c r="D88" s="120"/>
      <c r="E88" s="120"/>
    </row>
    <row r="89" spans="3:5" s="106" customFormat="1" ht="11.25" customHeight="1">
      <c r="C89" s="120"/>
      <c r="D89" s="120"/>
      <c r="E89" s="120"/>
    </row>
    <row r="90" spans="1:5" s="106" customFormat="1" ht="11.25" customHeight="1">
      <c r="A90" s="106" t="s">
        <v>144</v>
      </c>
      <c r="B90" s="64" t="s">
        <v>76</v>
      </c>
      <c r="C90" s="120"/>
      <c r="D90" s="120"/>
      <c r="E90" s="120"/>
    </row>
    <row r="91" spans="1:5" s="121" customFormat="1" ht="12.75">
      <c r="A91" s="148" t="s">
        <v>5</v>
      </c>
      <c r="B91" s="149" t="s">
        <v>150</v>
      </c>
      <c r="C91" s="150">
        <v>15000</v>
      </c>
      <c r="D91" s="150"/>
      <c r="E91" s="150"/>
    </row>
    <row r="92" spans="1:5" s="106" customFormat="1" ht="25.5">
      <c r="A92" s="148" t="s">
        <v>6</v>
      </c>
      <c r="B92" s="151" t="s">
        <v>198</v>
      </c>
      <c r="C92" s="125">
        <v>11400</v>
      </c>
      <c r="D92" s="125"/>
      <c r="E92" s="125"/>
    </row>
    <row r="93" spans="1:8" s="2" customFormat="1" ht="12.75">
      <c r="A93" s="148" t="s">
        <v>7</v>
      </c>
      <c r="B93" s="106" t="s">
        <v>212</v>
      </c>
      <c r="C93" s="120">
        <v>8000</v>
      </c>
      <c r="D93" s="120"/>
      <c r="E93" s="120"/>
      <c r="F93" s="106"/>
      <c r="G93" s="106"/>
      <c r="H93" s="106"/>
    </row>
    <row r="94" spans="1:6" s="106" customFormat="1" ht="12.75">
      <c r="A94" s="148" t="s">
        <v>8</v>
      </c>
      <c r="B94" s="151" t="s">
        <v>193</v>
      </c>
      <c r="C94" s="120">
        <v>2490</v>
      </c>
      <c r="D94" s="120"/>
      <c r="E94" s="120"/>
      <c r="F94" s="120"/>
    </row>
    <row r="95" spans="1:5" s="121" customFormat="1" ht="12.75">
      <c r="A95" s="148" t="s">
        <v>9</v>
      </c>
      <c r="B95" s="149" t="s">
        <v>195</v>
      </c>
      <c r="C95" s="150">
        <v>1730</v>
      </c>
      <c r="D95" s="150"/>
      <c r="E95" s="150"/>
    </row>
    <row r="96" spans="1:5" s="106" customFormat="1" ht="25.5">
      <c r="A96" s="148" t="s">
        <v>20</v>
      </c>
      <c r="B96" s="151" t="s">
        <v>196</v>
      </c>
      <c r="C96" s="125">
        <v>1135</v>
      </c>
      <c r="D96" s="125"/>
      <c r="E96" s="125"/>
    </row>
    <row r="97" spans="1:5" s="106" customFormat="1" ht="12.75">
      <c r="A97" s="148" t="s">
        <v>21</v>
      </c>
      <c r="B97" s="151" t="s">
        <v>202</v>
      </c>
      <c r="C97" s="125">
        <v>19196</v>
      </c>
      <c r="D97" s="125"/>
      <c r="E97" s="125"/>
    </row>
    <row r="98" spans="1:5" s="106" customFormat="1" ht="12.75">
      <c r="A98" s="148" t="s">
        <v>23</v>
      </c>
      <c r="B98" s="151" t="s">
        <v>199</v>
      </c>
      <c r="C98" s="125">
        <v>30480</v>
      </c>
      <c r="D98" s="125"/>
      <c r="E98" s="125"/>
    </row>
    <row r="99" spans="1:5" s="106" customFormat="1" ht="12.75">
      <c r="A99" s="148" t="s">
        <v>51</v>
      </c>
      <c r="B99" s="151" t="s">
        <v>200</v>
      </c>
      <c r="C99" s="125">
        <v>8636</v>
      </c>
      <c r="D99" s="125"/>
      <c r="E99" s="125"/>
    </row>
    <row r="100" spans="1:5" s="121" customFormat="1" ht="12.75">
      <c r="A100" s="148" t="s">
        <v>52</v>
      </c>
      <c r="B100" s="149" t="s">
        <v>194</v>
      </c>
      <c r="C100" s="150">
        <v>2230</v>
      </c>
      <c r="D100" s="150"/>
      <c r="E100" s="150"/>
    </row>
    <row r="101" spans="1:8" s="147" customFormat="1" ht="12.75">
      <c r="A101" s="64"/>
      <c r="B101" s="117" t="s">
        <v>3</v>
      </c>
      <c r="C101" s="105">
        <f>SUM(C91:C99)</f>
        <v>98067</v>
      </c>
      <c r="D101" s="105"/>
      <c r="E101" s="105"/>
      <c r="F101" s="64" t="s">
        <v>285</v>
      </c>
      <c r="G101" s="64"/>
      <c r="H101" s="64"/>
    </row>
    <row r="102" spans="1:8" s="2" customFormat="1" ht="12.75">
      <c r="A102" s="106"/>
      <c r="B102" s="106"/>
      <c r="C102" s="120"/>
      <c r="D102" s="120"/>
      <c r="E102" s="120"/>
      <c r="F102" s="106"/>
      <c r="G102" s="106"/>
      <c r="H102" s="106"/>
    </row>
    <row r="103" spans="1:8" s="2" customFormat="1" ht="12.75">
      <c r="A103" s="106"/>
      <c r="B103" s="106"/>
      <c r="C103" s="120"/>
      <c r="D103" s="120"/>
      <c r="E103" s="120"/>
      <c r="F103" s="106"/>
      <c r="G103" s="106"/>
      <c r="H103" s="106"/>
    </row>
    <row r="104" spans="1:8" s="2" customFormat="1" ht="12.75">
      <c r="A104" s="106"/>
      <c r="B104" s="106"/>
      <c r="C104" s="120"/>
      <c r="D104" s="120"/>
      <c r="E104" s="120"/>
      <c r="F104" s="106"/>
      <c r="G104" s="106"/>
      <c r="H104" s="106"/>
    </row>
    <row r="105" spans="1:8" ht="12.75">
      <c r="A105" s="146"/>
      <c r="B105" s="146"/>
      <c r="C105" s="146"/>
      <c r="D105" s="146"/>
      <c r="E105" s="146"/>
      <c r="F105" s="146"/>
      <c r="G105" s="146"/>
      <c r="H105" s="146"/>
    </row>
    <row r="106" spans="1:8" ht="12.75">
      <c r="A106" s="146"/>
      <c r="B106" s="146"/>
      <c r="C106" s="146"/>
      <c r="D106" s="146"/>
      <c r="E106" s="146"/>
      <c r="F106" s="146"/>
      <c r="G106" s="146"/>
      <c r="H106" s="146"/>
    </row>
    <row r="107" spans="1:8" ht="12.75">
      <c r="A107" s="146"/>
      <c r="B107" s="146"/>
      <c r="C107" s="146"/>
      <c r="D107" s="146"/>
      <c r="E107" s="146"/>
      <c r="F107" s="146"/>
      <c r="G107" s="146"/>
      <c r="H107" s="146"/>
    </row>
    <row r="108" spans="1:8" ht="12.75">
      <c r="A108" s="146"/>
      <c r="B108" s="146"/>
      <c r="C108" s="146"/>
      <c r="D108" s="146"/>
      <c r="E108" s="146"/>
      <c r="F108" s="146"/>
      <c r="G108" s="146"/>
      <c r="H108" s="146"/>
    </row>
    <row r="109" spans="1:8" ht="12.75">
      <c r="A109" s="146"/>
      <c r="B109" s="146"/>
      <c r="C109" s="146"/>
      <c r="D109" s="146"/>
      <c r="E109" s="146"/>
      <c r="F109" s="146"/>
      <c r="G109" s="146"/>
      <c r="H109" s="146"/>
    </row>
    <row r="110" spans="1:8" ht="12.75">
      <c r="A110" s="146"/>
      <c r="B110" s="146"/>
      <c r="C110" s="146"/>
      <c r="D110" s="146"/>
      <c r="E110" s="146"/>
      <c r="F110" s="146"/>
      <c r="G110" s="146"/>
      <c r="H110" s="146"/>
    </row>
    <row r="111" spans="1:8" ht="12.75">
      <c r="A111" s="146"/>
      <c r="B111" s="146"/>
      <c r="C111" s="146"/>
      <c r="D111" s="146"/>
      <c r="E111" s="146"/>
      <c r="F111" s="146"/>
      <c r="G111" s="146"/>
      <c r="H111" s="146"/>
    </row>
    <row r="112" spans="1:8" ht="12.75">
      <c r="A112" s="146"/>
      <c r="B112" s="146"/>
      <c r="C112" s="146"/>
      <c r="D112" s="146"/>
      <c r="E112" s="146"/>
      <c r="F112" s="146"/>
      <c r="G112" s="146"/>
      <c r="H112" s="146"/>
    </row>
    <row r="113" spans="1:8" ht="12.75">
      <c r="A113" s="146"/>
      <c r="B113" s="146"/>
      <c r="C113" s="146"/>
      <c r="D113" s="146"/>
      <c r="E113" s="146"/>
      <c r="F113" s="146"/>
      <c r="G113" s="146"/>
      <c r="H113" s="146"/>
    </row>
    <row r="114" spans="1:8" ht="12.75">
      <c r="A114" s="146"/>
      <c r="B114" s="146"/>
      <c r="C114" s="146"/>
      <c r="D114" s="146"/>
      <c r="E114" s="146"/>
      <c r="F114" s="146"/>
      <c r="G114" s="146"/>
      <c r="H114" s="146"/>
    </row>
    <row r="115" spans="1:8" ht="12.75">
      <c r="A115" s="146"/>
      <c r="B115" s="146"/>
      <c r="C115" s="146"/>
      <c r="D115" s="146"/>
      <c r="E115" s="146"/>
      <c r="F115" s="146"/>
      <c r="G115" s="146"/>
      <c r="H115" s="146"/>
    </row>
    <row r="116" spans="1:8" ht="12.75">
      <c r="A116" s="146"/>
      <c r="B116" s="146"/>
      <c r="C116" s="146"/>
      <c r="D116" s="146"/>
      <c r="E116" s="146"/>
      <c r="F116" s="146"/>
      <c r="G116" s="146"/>
      <c r="H116" s="146"/>
    </row>
    <row r="117" spans="1:8" ht="12.75">
      <c r="A117" s="146"/>
      <c r="B117" s="146"/>
      <c r="C117" s="146"/>
      <c r="D117" s="146"/>
      <c r="E117" s="146"/>
      <c r="F117" s="146"/>
      <c r="G117" s="146"/>
      <c r="H117" s="146"/>
    </row>
  </sheetData>
  <sheetProtection/>
  <mergeCells count="1">
    <mergeCell ref="A3:C3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7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111"/>
  <sheetViews>
    <sheetView zoomScaleSheetLayoutView="100" zoomScalePageLayoutView="0" workbookViewId="0" topLeftCell="A1">
      <selection activeCell="E50" sqref="E50"/>
    </sheetView>
  </sheetViews>
  <sheetFormatPr defaultColWidth="9.00390625" defaultRowHeight="12.75"/>
  <cols>
    <col min="1" max="1" width="7.125" style="94" customWidth="1"/>
    <col min="2" max="2" width="39.375" style="27" customWidth="1"/>
    <col min="3" max="3" width="14.00390625" style="7" customWidth="1"/>
    <col min="4" max="4" width="16.125" style="6" customWidth="1"/>
    <col min="5" max="16384" width="9.125" style="6" customWidth="1"/>
  </cols>
  <sheetData>
    <row r="1" spans="1:37" ht="12.75" customHeight="1">
      <c r="A1" s="427" t="s">
        <v>297</v>
      </c>
      <c r="B1" s="427"/>
      <c r="C1" s="332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</row>
    <row r="2" spans="1:37" ht="13.5">
      <c r="A2" s="96" t="s">
        <v>291</v>
      </c>
      <c r="B2" s="335"/>
      <c r="C2" s="332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</row>
    <row r="3" spans="1:37" ht="13.5">
      <c r="A3" s="334"/>
      <c r="B3" s="423" t="s">
        <v>134</v>
      </c>
      <c r="C3" s="424"/>
      <c r="D3" s="424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</row>
    <row r="4" spans="1:37" ht="24.75" customHeight="1">
      <c r="A4" s="421" t="s">
        <v>177</v>
      </c>
      <c r="B4" s="422"/>
      <c r="C4" s="422"/>
      <c r="D4" s="422"/>
      <c r="E4" s="422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</row>
    <row r="5" spans="1:37" ht="12.75">
      <c r="A5" s="422"/>
      <c r="B5" s="422"/>
      <c r="C5" s="422"/>
      <c r="D5" s="422"/>
      <c r="E5" s="422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</row>
    <row r="6" spans="1:37" ht="13.5">
      <c r="A6" s="334"/>
      <c r="B6" s="336"/>
      <c r="C6" s="337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</row>
    <row r="7" spans="1:37" ht="29.25" customHeight="1">
      <c r="A7" s="338" t="s">
        <v>135</v>
      </c>
      <c r="B7" s="425" t="s">
        <v>178</v>
      </c>
      <c r="C7" s="426"/>
      <c r="D7" s="426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</row>
    <row r="8" spans="1:37" ht="19.5" customHeight="1">
      <c r="A8" s="338"/>
      <c r="B8" s="339"/>
      <c r="C8" s="340"/>
      <c r="D8" s="340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</row>
    <row r="9" spans="1:37" ht="13.5">
      <c r="A9" s="334"/>
      <c r="B9" s="344"/>
      <c r="C9" s="343"/>
      <c r="D9" s="333"/>
      <c r="E9" s="333"/>
      <c r="F9" s="333"/>
      <c r="G9" s="333"/>
      <c r="H9" s="333"/>
      <c r="I9" s="333"/>
      <c r="J9" s="333"/>
      <c r="K9" s="333"/>
      <c r="L9" s="333" t="s">
        <v>143</v>
      </c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</row>
    <row r="10" spans="1:37" ht="13.5">
      <c r="A10" s="334" t="s">
        <v>5</v>
      </c>
      <c r="B10" s="345" t="s">
        <v>218</v>
      </c>
      <c r="C10" s="346" t="s">
        <v>179</v>
      </c>
      <c r="D10" s="346" t="s">
        <v>3</v>
      </c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</row>
    <row r="11" spans="1:37" ht="13.5">
      <c r="A11" s="334"/>
      <c r="B11" s="341" t="s">
        <v>136</v>
      </c>
      <c r="C11" s="342"/>
      <c r="D11" s="34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</row>
    <row r="12" spans="1:37" ht="13.5">
      <c r="A12" s="334"/>
      <c r="B12" s="333" t="s">
        <v>137</v>
      </c>
      <c r="C12" s="343">
        <f>(4183+18800)*0.85</f>
        <v>19535.55</v>
      </c>
      <c r="D12" s="343">
        <f>SUM(C12:C12)</f>
        <v>19535.55</v>
      </c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</row>
    <row r="13" spans="1:37" ht="13.5">
      <c r="A13" s="334"/>
      <c r="B13" s="333" t="s">
        <v>138</v>
      </c>
      <c r="C13" s="343">
        <f>(4183+18800)*0.1</f>
        <v>2298.3</v>
      </c>
      <c r="D13" s="343">
        <f>SUM(C13:C13)</f>
        <v>2298.3</v>
      </c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</row>
    <row r="14" spans="1:37" ht="13.5">
      <c r="A14" s="334"/>
      <c r="B14" s="333" t="s">
        <v>139</v>
      </c>
      <c r="C14" s="343"/>
      <c r="D14" s="343">
        <f>SUM(C14:C14)</f>
        <v>0</v>
      </c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</row>
    <row r="15" spans="1:37" ht="13.5">
      <c r="A15" s="334"/>
      <c r="B15" s="333" t="s">
        <v>140</v>
      </c>
      <c r="C15" s="343">
        <f>C23-C12-C13-C14</f>
        <v>7476.150000000001</v>
      </c>
      <c r="D15" s="343">
        <f>SUM(C15:C15)</f>
        <v>7476.150000000001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</row>
    <row r="16" spans="1:37" ht="13.5">
      <c r="A16" s="334"/>
      <c r="B16" s="341" t="s">
        <v>3</v>
      </c>
      <c r="C16" s="342">
        <f>SUM(C12:C15)</f>
        <v>29310</v>
      </c>
      <c r="D16" s="342">
        <f>SUM(C16:C16)</f>
        <v>29310</v>
      </c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</row>
    <row r="17" spans="1:37" ht="9.75" customHeight="1">
      <c r="A17" s="334"/>
      <c r="B17" s="333"/>
      <c r="C17" s="343"/>
      <c r="D17" s="34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</row>
    <row r="18" spans="1:37" ht="13.5">
      <c r="A18" s="334"/>
      <c r="B18" s="341" t="s">
        <v>141</v>
      </c>
      <c r="C18" s="342"/>
      <c r="D18" s="34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</row>
    <row r="19" spans="1:37" ht="13.5">
      <c r="A19" s="334"/>
      <c r="B19" s="333" t="s">
        <v>19</v>
      </c>
      <c r="C19" s="343"/>
      <c r="D19" s="34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</row>
    <row r="20" spans="1:37" ht="15" customHeight="1">
      <c r="A20" s="334"/>
      <c r="B20" s="333" t="s">
        <v>69</v>
      </c>
      <c r="C20" s="343">
        <v>18800</v>
      </c>
      <c r="D20" s="343">
        <f>SUM(C20:C20)</f>
        <v>18800</v>
      </c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</row>
    <row r="21" spans="1:37" ht="13.5">
      <c r="A21" s="334"/>
      <c r="B21" s="333" t="s">
        <v>17</v>
      </c>
      <c r="C21" s="343">
        <v>10510</v>
      </c>
      <c r="D21" s="343">
        <f>SUM(C21:C21)</f>
        <v>10510</v>
      </c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</row>
    <row r="22" spans="1:37" ht="13.5">
      <c r="A22" s="334"/>
      <c r="B22" s="333" t="s">
        <v>142</v>
      </c>
      <c r="C22" s="343"/>
      <c r="D22" s="343">
        <f>SUM(C22:C22)</f>
        <v>0</v>
      </c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</row>
    <row r="23" spans="1:37" ht="13.5">
      <c r="A23" s="334"/>
      <c r="B23" s="341" t="s">
        <v>3</v>
      </c>
      <c r="C23" s="342">
        <f>SUM(C19:C22)</f>
        <v>29310</v>
      </c>
      <c r="D23" s="343">
        <f>SUM(C23:C23)</f>
        <v>29310</v>
      </c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</row>
    <row r="24" spans="1:37" ht="13.5">
      <c r="A24" s="334"/>
      <c r="B24" s="341"/>
      <c r="C24" s="342"/>
      <c r="D24" s="34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</row>
    <row r="25" spans="1:37" ht="13.5">
      <c r="A25" s="334"/>
      <c r="B25" s="341"/>
      <c r="C25" s="342"/>
      <c r="D25" s="34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</row>
    <row r="26" spans="1:37" ht="13.5">
      <c r="A26" s="334" t="s">
        <v>6</v>
      </c>
      <c r="B26" s="345" t="s">
        <v>219</v>
      </c>
      <c r="C26" s="346" t="s">
        <v>179</v>
      </c>
      <c r="D26" s="346" t="s">
        <v>3</v>
      </c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</row>
    <row r="27" spans="1:37" ht="13.5">
      <c r="A27" s="334"/>
      <c r="B27" s="341" t="s">
        <v>136</v>
      </c>
      <c r="C27" s="342"/>
      <c r="D27" s="34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</row>
    <row r="28" spans="1:37" ht="13.5">
      <c r="A28" s="334"/>
      <c r="B28" s="333" t="s">
        <v>137</v>
      </c>
      <c r="C28" s="343"/>
      <c r="D28" s="343">
        <f>SUM(C28:C28)</f>
        <v>0</v>
      </c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</row>
    <row r="29" spans="1:37" ht="13.5">
      <c r="A29" s="334"/>
      <c r="B29" s="333" t="s">
        <v>138</v>
      </c>
      <c r="C29" s="343">
        <v>65410</v>
      </c>
      <c r="D29" s="343">
        <f>SUM(C29:C29)</f>
        <v>65410</v>
      </c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</row>
    <row r="30" spans="1:37" ht="13.5">
      <c r="A30" s="334"/>
      <c r="B30" s="333" t="s">
        <v>139</v>
      </c>
      <c r="C30" s="343"/>
      <c r="D30" s="343">
        <f>SUM(C30:C30)</f>
        <v>0</v>
      </c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</row>
    <row r="31" spans="1:37" ht="13.5">
      <c r="A31" s="334"/>
      <c r="B31" s="333" t="s">
        <v>140</v>
      </c>
      <c r="C31" s="343">
        <f>C39-C28-C29-C30</f>
        <v>0</v>
      </c>
      <c r="D31" s="343">
        <f>SUM(C31:C31)</f>
        <v>0</v>
      </c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</row>
    <row r="32" spans="1:37" ht="13.5">
      <c r="A32" s="334"/>
      <c r="B32" s="341" t="s">
        <v>3</v>
      </c>
      <c r="C32" s="342">
        <f>SUM(C28:C31)</f>
        <v>65410</v>
      </c>
      <c r="D32" s="342">
        <f>SUM(C32:C32)</f>
        <v>65410</v>
      </c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</row>
    <row r="33" spans="1:37" ht="9.75" customHeight="1">
      <c r="A33" s="334"/>
      <c r="B33" s="333"/>
      <c r="C33" s="343"/>
      <c r="D33" s="34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</row>
    <row r="34" spans="1:37" ht="13.5">
      <c r="A34" s="334"/>
      <c r="B34" s="341" t="s">
        <v>141</v>
      </c>
      <c r="C34" s="342"/>
      <c r="D34" s="34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</row>
    <row r="35" spans="1:37" ht="13.5">
      <c r="A35" s="334"/>
      <c r="B35" s="333" t="s">
        <v>19</v>
      </c>
      <c r="C35" s="343"/>
      <c r="D35" s="34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</row>
    <row r="36" spans="1:37" ht="13.5">
      <c r="A36" s="334"/>
      <c r="B36" s="333" t="s">
        <v>69</v>
      </c>
      <c r="C36" s="343">
        <v>2380</v>
      </c>
      <c r="D36" s="343">
        <f>SUM(C36:C36)</f>
        <v>2380</v>
      </c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</row>
    <row r="37" spans="1:37" ht="13.5">
      <c r="A37" s="334"/>
      <c r="B37" s="333" t="s">
        <v>17</v>
      </c>
      <c r="C37" s="343">
        <v>31366</v>
      </c>
      <c r="D37" s="343">
        <f>SUM(C37:C37)</f>
        <v>31366</v>
      </c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</row>
    <row r="38" spans="1:37" ht="13.5">
      <c r="A38" s="334"/>
      <c r="B38" s="333" t="s">
        <v>220</v>
      </c>
      <c r="C38" s="343">
        <v>31664</v>
      </c>
      <c r="D38" s="343">
        <f>SUM(C38:C38)</f>
        <v>31664</v>
      </c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</row>
    <row r="39" spans="1:37" ht="13.5">
      <c r="A39" s="334"/>
      <c r="B39" s="341" t="s">
        <v>3</v>
      </c>
      <c r="C39" s="342">
        <f>SUM(C35:C38)</f>
        <v>65410</v>
      </c>
      <c r="D39" s="343">
        <f>SUM(C39:C39)</f>
        <v>65410</v>
      </c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</row>
    <row r="40" spans="1:37" ht="13.5">
      <c r="A40" s="334"/>
      <c r="B40" s="341"/>
      <c r="C40" s="342"/>
      <c r="D40" s="34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</row>
    <row r="42" spans="1:4" ht="54">
      <c r="A42" s="338" t="s">
        <v>7</v>
      </c>
      <c r="B42" s="373" t="s">
        <v>249</v>
      </c>
      <c r="C42" s="346" t="s">
        <v>179</v>
      </c>
      <c r="D42" s="346" t="s">
        <v>3</v>
      </c>
    </row>
    <row r="43" spans="1:4" ht="13.5">
      <c r="A43" s="334"/>
      <c r="B43" s="341" t="s">
        <v>136</v>
      </c>
      <c r="C43" s="342"/>
      <c r="D43" s="343"/>
    </row>
    <row r="44" spans="1:4" ht="13.5">
      <c r="A44" s="334"/>
      <c r="B44" s="333" t="s">
        <v>283</v>
      </c>
      <c r="C44" s="343">
        <v>59138</v>
      </c>
      <c r="D44" s="343">
        <f>SUM(C44:C44)</f>
        <v>59138</v>
      </c>
    </row>
    <row r="45" spans="1:4" ht="13.5">
      <c r="A45" s="334"/>
      <c r="B45" s="333" t="s">
        <v>139</v>
      </c>
      <c r="C45" s="343"/>
      <c r="D45" s="343">
        <f>SUM(C45:C45)</f>
        <v>0</v>
      </c>
    </row>
    <row r="46" spans="1:4" ht="13.5">
      <c r="A46" s="334"/>
      <c r="B46" s="333" t="s">
        <v>140</v>
      </c>
      <c r="C46" s="343">
        <f>C54-C44-C45</f>
        <v>0</v>
      </c>
      <c r="D46" s="343">
        <f>SUM(C46:C46)</f>
        <v>0</v>
      </c>
    </row>
    <row r="47" spans="1:4" ht="13.5">
      <c r="A47" s="334"/>
      <c r="B47" s="341" t="s">
        <v>3</v>
      </c>
      <c r="C47" s="342">
        <f>SUM(C44:C46)</f>
        <v>59138</v>
      </c>
      <c r="D47" s="342">
        <f>SUM(C47:C47)</f>
        <v>59138</v>
      </c>
    </row>
    <row r="48" spans="1:4" ht="13.5">
      <c r="A48" s="334"/>
      <c r="B48" s="333"/>
      <c r="C48" s="343"/>
      <c r="D48" s="343"/>
    </row>
    <row r="49" spans="1:4" ht="13.5">
      <c r="A49" s="334"/>
      <c r="B49" s="341" t="s">
        <v>141</v>
      </c>
      <c r="C49" s="342"/>
      <c r="D49" s="343"/>
    </row>
    <row r="50" spans="1:4" ht="13.5">
      <c r="A50" s="334"/>
      <c r="B50" s="333" t="s">
        <v>19</v>
      </c>
      <c r="C50" s="343">
        <v>59138</v>
      </c>
      <c r="D50" s="343">
        <f>SUM(C50:C50)</f>
        <v>59138</v>
      </c>
    </row>
    <row r="51" spans="1:4" ht="13.5">
      <c r="A51" s="334"/>
      <c r="B51" s="333" t="s">
        <v>69</v>
      </c>
      <c r="C51" s="343"/>
      <c r="D51" s="343">
        <f>SUM(C51:C51)</f>
        <v>0</v>
      </c>
    </row>
    <row r="52" spans="1:4" ht="13.5">
      <c r="A52" s="334"/>
      <c r="B52" s="333" t="s">
        <v>17</v>
      </c>
      <c r="C52" s="343">
        <v>0</v>
      </c>
      <c r="D52" s="343">
        <f>SUM(C52:C52)</f>
        <v>0</v>
      </c>
    </row>
    <row r="53" spans="1:4" ht="13.5">
      <c r="A53" s="334"/>
      <c r="B53" s="333" t="s">
        <v>220</v>
      </c>
      <c r="C53" s="343">
        <v>0</v>
      </c>
      <c r="D53" s="343">
        <f>SUM(C53:C53)</f>
        <v>0</v>
      </c>
    </row>
    <row r="54" spans="1:4" ht="13.5">
      <c r="A54" s="334"/>
      <c r="B54" s="341" t="s">
        <v>3</v>
      </c>
      <c r="C54" s="342">
        <f>SUM(C50:C53)</f>
        <v>59138</v>
      </c>
      <c r="D54" s="343">
        <f>SUM(C54:C54)</f>
        <v>59138</v>
      </c>
    </row>
    <row r="56" spans="1:4" ht="54">
      <c r="A56" s="338" t="s">
        <v>8</v>
      </c>
      <c r="B56" s="373" t="s">
        <v>250</v>
      </c>
      <c r="C56" s="346" t="s">
        <v>179</v>
      </c>
      <c r="D56" s="346" t="s">
        <v>3</v>
      </c>
    </row>
    <row r="57" spans="1:4" ht="13.5">
      <c r="A57" s="334"/>
      <c r="B57" s="341" t="s">
        <v>136</v>
      </c>
      <c r="C57" s="342"/>
      <c r="D57" s="343"/>
    </row>
    <row r="58" spans="1:4" ht="13.5">
      <c r="A58" s="334"/>
      <c r="B58" s="333" t="s">
        <v>283</v>
      </c>
      <c r="C58" s="343">
        <v>84309</v>
      </c>
      <c r="D58" s="343">
        <f>SUM(C58:C58)</f>
        <v>84309</v>
      </c>
    </row>
    <row r="59" spans="1:4" ht="13.5">
      <c r="A59" s="334"/>
      <c r="B59" s="333" t="s">
        <v>139</v>
      </c>
      <c r="C59" s="343"/>
      <c r="D59" s="343">
        <f>SUM(C59:C59)</f>
        <v>0</v>
      </c>
    </row>
    <row r="60" spans="1:4" ht="13.5">
      <c r="A60" s="334"/>
      <c r="B60" s="333" t="s">
        <v>140</v>
      </c>
      <c r="C60" s="343">
        <f>C68-C58-C59</f>
        <v>0</v>
      </c>
      <c r="D60" s="343">
        <f>SUM(C60:C60)</f>
        <v>0</v>
      </c>
    </row>
    <row r="61" spans="1:4" ht="13.5">
      <c r="A61" s="334"/>
      <c r="B61" s="341" t="s">
        <v>3</v>
      </c>
      <c r="C61" s="342">
        <f>SUM(C58:C60)</f>
        <v>84309</v>
      </c>
      <c r="D61" s="342">
        <f>SUM(C61:C61)</f>
        <v>84309</v>
      </c>
    </row>
    <row r="62" spans="1:4" ht="13.5">
      <c r="A62" s="334"/>
      <c r="B62" s="333"/>
      <c r="C62" s="343"/>
      <c r="D62" s="343"/>
    </row>
    <row r="63" spans="1:4" ht="13.5">
      <c r="A63" s="334"/>
      <c r="B63" s="341" t="s">
        <v>141</v>
      </c>
      <c r="C63" s="342"/>
      <c r="D63" s="343"/>
    </row>
    <row r="64" spans="1:4" ht="13.5">
      <c r="A64" s="334"/>
      <c r="B64" s="333" t="s">
        <v>19</v>
      </c>
      <c r="C64" s="343">
        <v>84309</v>
      </c>
      <c r="D64" s="343">
        <f>SUM(C64:C64)</f>
        <v>84309</v>
      </c>
    </row>
    <row r="65" spans="1:4" ht="13.5">
      <c r="A65" s="334"/>
      <c r="B65" s="333" t="s">
        <v>69</v>
      </c>
      <c r="C65" s="343"/>
      <c r="D65" s="343">
        <f>SUM(C65:C65)</f>
        <v>0</v>
      </c>
    </row>
    <row r="66" spans="1:4" ht="13.5">
      <c r="A66" s="334"/>
      <c r="B66" s="333" t="s">
        <v>17</v>
      </c>
      <c r="C66" s="343">
        <v>0</v>
      </c>
      <c r="D66" s="343">
        <f>SUM(C66:C66)</f>
        <v>0</v>
      </c>
    </row>
    <row r="67" spans="1:4" ht="13.5">
      <c r="A67" s="334"/>
      <c r="B67" s="333" t="s">
        <v>220</v>
      </c>
      <c r="C67" s="343">
        <v>0</v>
      </c>
      <c r="D67" s="343">
        <f>SUM(C67:C67)</f>
        <v>0</v>
      </c>
    </row>
    <row r="68" spans="1:4" ht="13.5">
      <c r="A68" s="334"/>
      <c r="B68" s="341" t="s">
        <v>3</v>
      </c>
      <c r="C68" s="342">
        <f>SUM(C64:C67)</f>
        <v>84309</v>
      </c>
      <c r="D68" s="343">
        <f>SUM(C68:C68)</f>
        <v>84309</v>
      </c>
    </row>
    <row r="70" spans="1:4" ht="48.75" customHeight="1">
      <c r="A70" s="338" t="s">
        <v>9</v>
      </c>
      <c r="B70" s="373" t="s">
        <v>248</v>
      </c>
      <c r="C70" s="346" t="s">
        <v>179</v>
      </c>
      <c r="D70" s="346" t="s">
        <v>3</v>
      </c>
    </row>
    <row r="71" spans="1:4" ht="13.5">
      <c r="A71" s="334"/>
      <c r="B71" s="341" t="s">
        <v>136</v>
      </c>
      <c r="C71" s="342"/>
      <c r="D71" s="343"/>
    </row>
    <row r="72" spans="1:4" ht="13.5">
      <c r="A72" s="334"/>
      <c r="B72" s="333" t="s">
        <v>283</v>
      </c>
      <c r="C72" s="343">
        <v>142504</v>
      </c>
      <c r="D72" s="343">
        <f>SUM(C72:C72)</f>
        <v>142504</v>
      </c>
    </row>
    <row r="73" spans="1:4" ht="13.5">
      <c r="A73" s="334"/>
      <c r="B73" s="333" t="s">
        <v>139</v>
      </c>
      <c r="C73" s="343"/>
      <c r="D73" s="343">
        <f>SUM(C73:C73)</f>
        <v>0</v>
      </c>
    </row>
    <row r="74" spans="1:4" ht="13.5">
      <c r="A74" s="334"/>
      <c r="B74" s="333" t="s">
        <v>140</v>
      </c>
      <c r="C74" s="343">
        <f>C82-C72-C73</f>
        <v>0</v>
      </c>
      <c r="D74" s="343">
        <f>SUM(C74:C74)</f>
        <v>0</v>
      </c>
    </row>
    <row r="75" spans="1:4" ht="13.5">
      <c r="A75" s="334"/>
      <c r="B75" s="341" t="s">
        <v>3</v>
      </c>
      <c r="C75" s="342">
        <f>SUM(C72:C74)</f>
        <v>142504</v>
      </c>
      <c r="D75" s="342">
        <f>SUM(C75:C75)</f>
        <v>142504</v>
      </c>
    </row>
    <row r="76" spans="1:4" ht="13.5">
      <c r="A76" s="334"/>
      <c r="B76" s="333"/>
      <c r="C76" s="343"/>
      <c r="D76" s="343"/>
    </row>
    <row r="77" spans="1:4" ht="13.5">
      <c r="A77" s="334"/>
      <c r="B77" s="341" t="s">
        <v>141</v>
      </c>
      <c r="C77" s="342"/>
      <c r="D77" s="343"/>
    </row>
    <row r="78" spans="1:4" ht="13.5">
      <c r="A78" s="334"/>
      <c r="B78" s="333" t="s">
        <v>19</v>
      </c>
      <c r="C78" s="343">
        <v>0</v>
      </c>
      <c r="D78" s="343">
        <f>SUM(C78:C78)</f>
        <v>0</v>
      </c>
    </row>
    <row r="79" spans="1:4" ht="13.5">
      <c r="A79" s="334"/>
      <c r="B79" s="333" t="s">
        <v>69</v>
      </c>
      <c r="C79" s="343">
        <v>142504</v>
      </c>
      <c r="D79" s="343">
        <f>SUM(C79:C79)</f>
        <v>142504</v>
      </c>
    </row>
    <row r="80" spans="1:4" ht="13.5">
      <c r="A80" s="334"/>
      <c r="B80" s="333" t="s">
        <v>17</v>
      </c>
      <c r="C80" s="343">
        <v>0</v>
      </c>
      <c r="D80" s="343">
        <f>SUM(C80:C80)</f>
        <v>0</v>
      </c>
    </row>
    <row r="81" spans="1:4" ht="13.5">
      <c r="A81" s="334"/>
      <c r="B81" s="333" t="s">
        <v>220</v>
      </c>
      <c r="C81" s="343">
        <v>0</v>
      </c>
      <c r="D81" s="343">
        <f>SUM(C81:C81)</f>
        <v>0</v>
      </c>
    </row>
    <row r="82" spans="1:4" ht="13.5">
      <c r="A82" s="334"/>
      <c r="B82" s="341" t="s">
        <v>3</v>
      </c>
      <c r="C82" s="342">
        <f>SUM(C78:C81)</f>
        <v>142504</v>
      </c>
      <c r="D82" s="343">
        <f>SUM(C82:C82)</f>
        <v>142504</v>
      </c>
    </row>
    <row r="84" spans="1:4" ht="48.75" customHeight="1">
      <c r="A84" s="338" t="s">
        <v>20</v>
      </c>
      <c r="B84" s="373" t="s">
        <v>251</v>
      </c>
      <c r="C84" s="346" t="s">
        <v>179</v>
      </c>
      <c r="D84" s="346" t="s">
        <v>3</v>
      </c>
    </row>
    <row r="85" spans="1:4" ht="13.5">
      <c r="A85" s="334"/>
      <c r="B85" s="341" t="s">
        <v>136</v>
      </c>
      <c r="C85" s="342"/>
      <c r="D85" s="343"/>
    </row>
    <row r="86" spans="1:4" ht="13.5">
      <c r="A86" s="334"/>
      <c r="B86" s="333" t="s">
        <v>283</v>
      </c>
      <c r="C86" s="343">
        <v>290000</v>
      </c>
      <c r="D86" s="343">
        <f>SUM(C86:C86)</f>
        <v>290000</v>
      </c>
    </row>
    <row r="87" spans="1:4" ht="13.5">
      <c r="A87" s="334"/>
      <c r="B87" s="333" t="s">
        <v>139</v>
      </c>
      <c r="C87" s="343"/>
      <c r="D87" s="343">
        <f>SUM(C87:C87)</f>
        <v>0</v>
      </c>
    </row>
    <row r="88" spans="1:4" ht="13.5">
      <c r="A88" s="334"/>
      <c r="B88" s="333" t="s">
        <v>140</v>
      </c>
      <c r="C88" s="343">
        <f>C96-C86-C87</f>
        <v>0</v>
      </c>
      <c r="D88" s="343">
        <f>SUM(C88:C88)</f>
        <v>0</v>
      </c>
    </row>
    <row r="89" spans="1:4" ht="13.5">
      <c r="A89" s="334"/>
      <c r="B89" s="341" t="s">
        <v>3</v>
      </c>
      <c r="C89" s="342">
        <f>SUM(C86:C88)</f>
        <v>290000</v>
      </c>
      <c r="D89" s="342">
        <f>SUM(C89:C89)</f>
        <v>290000</v>
      </c>
    </row>
    <row r="90" spans="1:4" ht="13.5">
      <c r="A90" s="334"/>
      <c r="B90" s="333"/>
      <c r="C90" s="343"/>
      <c r="D90" s="343"/>
    </row>
    <row r="91" spans="1:4" ht="13.5">
      <c r="A91" s="334"/>
      <c r="B91" s="341" t="s">
        <v>141</v>
      </c>
      <c r="C91" s="342"/>
      <c r="D91" s="343"/>
    </row>
    <row r="92" spans="1:4" ht="13.5">
      <c r="A92" s="334"/>
      <c r="B92" s="333" t="s">
        <v>19</v>
      </c>
      <c r="C92" s="343">
        <v>0</v>
      </c>
      <c r="D92" s="343">
        <f>SUM(C92:C92)</f>
        <v>0</v>
      </c>
    </row>
    <row r="93" spans="1:4" ht="13.5">
      <c r="A93" s="334"/>
      <c r="B93" s="333" t="s">
        <v>69</v>
      </c>
      <c r="C93" s="343">
        <v>290000</v>
      </c>
      <c r="D93" s="343">
        <f>SUM(C93:C93)</f>
        <v>290000</v>
      </c>
    </row>
    <row r="94" spans="1:4" ht="13.5">
      <c r="A94" s="334"/>
      <c r="B94" s="333" t="s">
        <v>17</v>
      </c>
      <c r="C94" s="343">
        <v>0</v>
      </c>
      <c r="D94" s="343">
        <f>SUM(C94:C94)</f>
        <v>0</v>
      </c>
    </row>
    <row r="95" spans="1:4" ht="13.5">
      <c r="A95" s="334"/>
      <c r="B95" s="333" t="s">
        <v>220</v>
      </c>
      <c r="C95" s="343">
        <v>0</v>
      </c>
      <c r="D95" s="343">
        <f>SUM(C95:C95)</f>
        <v>0</v>
      </c>
    </row>
    <row r="96" spans="1:4" ht="13.5">
      <c r="A96" s="334"/>
      <c r="B96" s="341" t="s">
        <v>3</v>
      </c>
      <c r="C96" s="342">
        <f>SUM(C92:C95)</f>
        <v>290000</v>
      </c>
      <c r="D96" s="343">
        <f>SUM(C96:C96)</f>
        <v>290000</v>
      </c>
    </row>
    <row r="99" spans="1:4" ht="40.5">
      <c r="A99" s="338" t="s">
        <v>21</v>
      </c>
      <c r="B99" s="373" t="s">
        <v>254</v>
      </c>
      <c r="C99" s="346" t="s">
        <v>179</v>
      </c>
      <c r="D99" s="346" t="s">
        <v>3</v>
      </c>
    </row>
    <row r="100" spans="1:4" ht="13.5">
      <c r="A100" s="334"/>
      <c r="B100" s="341" t="s">
        <v>136</v>
      </c>
      <c r="C100" s="342"/>
      <c r="D100" s="343"/>
    </row>
    <row r="101" spans="1:4" ht="13.5">
      <c r="A101" s="334"/>
      <c r="B101" s="333" t="s">
        <v>283</v>
      </c>
      <c r="C101" s="343">
        <v>9000</v>
      </c>
      <c r="D101" s="343">
        <f>SUM(C101:C101)</f>
        <v>9000</v>
      </c>
    </row>
    <row r="102" spans="1:4" ht="13.5">
      <c r="A102" s="334"/>
      <c r="B102" s="333" t="s">
        <v>139</v>
      </c>
      <c r="C102" s="343"/>
      <c r="D102" s="343">
        <f>SUM(C102:C102)</f>
        <v>0</v>
      </c>
    </row>
    <row r="103" spans="1:4" ht="13.5">
      <c r="A103" s="334"/>
      <c r="B103" s="333" t="s">
        <v>140</v>
      </c>
      <c r="C103" s="343">
        <f>C111-C101-C102</f>
        <v>0</v>
      </c>
      <c r="D103" s="343">
        <f>SUM(C103:C103)</f>
        <v>0</v>
      </c>
    </row>
    <row r="104" spans="1:4" ht="13.5">
      <c r="A104" s="334"/>
      <c r="B104" s="341" t="s">
        <v>3</v>
      </c>
      <c r="C104" s="342">
        <f>SUM(C101:C103)</f>
        <v>9000</v>
      </c>
      <c r="D104" s="342">
        <f>SUM(C104:C104)</f>
        <v>9000</v>
      </c>
    </row>
    <row r="105" spans="1:4" ht="13.5">
      <c r="A105" s="334"/>
      <c r="B105" s="333"/>
      <c r="C105" s="343"/>
      <c r="D105" s="343"/>
    </row>
    <row r="106" spans="1:4" ht="13.5">
      <c r="A106" s="334"/>
      <c r="B106" s="341" t="s">
        <v>141</v>
      </c>
      <c r="C106" s="342"/>
      <c r="D106" s="343"/>
    </row>
    <row r="107" spans="1:4" ht="13.5">
      <c r="A107" s="334"/>
      <c r="B107" s="333" t="s">
        <v>19</v>
      </c>
      <c r="C107" s="343">
        <v>0</v>
      </c>
      <c r="D107" s="343">
        <f>SUM(C107:C107)</f>
        <v>0</v>
      </c>
    </row>
    <row r="108" spans="1:4" ht="13.5">
      <c r="A108" s="334"/>
      <c r="B108" s="333" t="s">
        <v>69</v>
      </c>
      <c r="C108" s="343">
        <v>2160</v>
      </c>
      <c r="D108" s="343">
        <f>SUM(C108:C108)</f>
        <v>2160</v>
      </c>
    </row>
    <row r="109" spans="1:4" ht="13.5">
      <c r="A109" s="334"/>
      <c r="B109" s="333" t="s">
        <v>17</v>
      </c>
      <c r="C109" s="343">
        <v>5620</v>
      </c>
      <c r="D109" s="343">
        <f>SUM(C109:C109)</f>
        <v>5620</v>
      </c>
    </row>
    <row r="110" spans="1:4" ht="13.5">
      <c r="A110" s="334"/>
      <c r="B110" s="333" t="s">
        <v>284</v>
      </c>
      <c r="C110" s="343">
        <v>1220</v>
      </c>
      <c r="D110" s="343">
        <f>SUM(C110:C110)</f>
        <v>1220</v>
      </c>
    </row>
    <row r="111" spans="1:5" ht="13.5">
      <c r="A111" s="334"/>
      <c r="B111" s="341" t="s">
        <v>3</v>
      </c>
      <c r="C111" s="342">
        <f>SUM(C107:C110)</f>
        <v>9000</v>
      </c>
      <c r="D111" s="343">
        <f>SUM(C111:C111)</f>
        <v>9000</v>
      </c>
      <c r="E111" s="6" t="s">
        <v>285</v>
      </c>
    </row>
  </sheetData>
  <sheetProtection/>
  <mergeCells count="4">
    <mergeCell ref="A4:E5"/>
    <mergeCell ref="B3:D3"/>
    <mergeCell ref="B7:D7"/>
    <mergeCell ref="A1:B1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2017-09-07T08:33:16Z</cp:lastPrinted>
  <dcterms:created xsi:type="dcterms:W3CDTF">2007-11-15T07:32:30Z</dcterms:created>
  <dcterms:modified xsi:type="dcterms:W3CDTF">2017-09-21T08:38:23Z</dcterms:modified>
  <cp:category/>
  <cp:version/>
  <cp:contentType/>
  <cp:contentStatus/>
</cp:coreProperties>
</file>