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filterPrivacy="1" defaultThemeVersion="124226"/>
  <bookViews>
    <workbookView xWindow="0" yWindow="0" windowWidth="23040" windowHeight="906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B20" i="1" l="1"/>
  <c r="D20" i="1"/>
  <c r="C24" i="1" l="1"/>
  <c r="D24" i="1"/>
  <c r="B24" i="1"/>
  <c r="E24" i="1"/>
  <c r="G24" i="1" s="1"/>
  <c r="D25" i="1"/>
  <c r="C25" i="1"/>
  <c r="B25" i="1"/>
  <c r="E25" i="1" s="1"/>
  <c r="G25" i="1" s="1"/>
  <c r="B23" i="1"/>
  <c r="B16" i="1"/>
  <c r="E41" i="1"/>
  <c r="G41" i="1" s="1"/>
  <c r="D18" i="1" l="1"/>
  <c r="C18" i="1"/>
  <c r="F49" i="1" l="1"/>
  <c r="E47" i="1"/>
  <c r="G47" i="1" s="1"/>
  <c r="E46" i="1"/>
  <c r="G46" i="1" s="1"/>
  <c r="E45" i="1"/>
  <c r="G45" i="1" s="1"/>
  <c r="E44" i="1"/>
  <c r="G44" i="1" s="1"/>
  <c r="E43" i="1"/>
  <c r="G43" i="1" s="1"/>
  <c r="E42" i="1"/>
  <c r="G42" i="1" s="1"/>
  <c r="E40" i="1"/>
  <c r="G40" i="1" s="1"/>
  <c r="E39" i="1"/>
  <c r="G39" i="1" s="1"/>
  <c r="E38" i="1"/>
  <c r="G38" i="1" s="1"/>
  <c r="E37" i="1"/>
  <c r="G37" i="1" s="1"/>
  <c r="E36" i="1"/>
  <c r="G36" i="1" s="1"/>
  <c r="E35" i="1"/>
  <c r="G35" i="1" s="1"/>
  <c r="E34" i="1"/>
  <c r="G34" i="1" s="1"/>
  <c r="E33" i="1"/>
  <c r="G33" i="1" s="1"/>
  <c r="E32" i="1"/>
  <c r="G32" i="1" s="1"/>
  <c r="E31" i="1"/>
  <c r="G31" i="1" s="1"/>
  <c r="D30" i="1"/>
  <c r="C30" i="1"/>
  <c r="B30" i="1"/>
  <c r="E30" i="1" s="1"/>
  <c r="G30" i="1" s="1"/>
  <c r="E29" i="1"/>
  <c r="G29" i="1" s="1"/>
  <c r="F28" i="1"/>
  <c r="D26" i="1"/>
  <c r="C26" i="1"/>
  <c r="B26" i="1"/>
  <c r="D23" i="1"/>
  <c r="C23" i="1"/>
  <c r="F22" i="1"/>
  <c r="F51" i="1" s="1"/>
  <c r="E21" i="1"/>
  <c r="G21" i="1" s="1"/>
  <c r="D27" i="1"/>
  <c r="C20" i="1"/>
  <c r="C27" i="1" s="1"/>
  <c r="B27" i="1"/>
  <c r="E27" i="1" s="1"/>
  <c r="G27" i="1" s="1"/>
  <c r="E19" i="1"/>
  <c r="G19" i="1" s="1"/>
  <c r="B18" i="1"/>
  <c r="E18" i="1" s="1"/>
  <c r="G18" i="1" s="1"/>
  <c r="D17" i="1"/>
  <c r="C17" i="1"/>
  <c r="B17" i="1"/>
  <c r="D16" i="1"/>
  <c r="C16" i="1"/>
  <c r="F13" i="1"/>
  <c r="F53" i="1" s="1"/>
  <c r="E12" i="1"/>
  <c r="G12" i="1" s="1"/>
  <c r="E11" i="1"/>
  <c r="G11" i="1" s="1"/>
  <c r="D10" i="1"/>
  <c r="C10" i="1"/>
  <c r="B10" i="1"/>
  <c r="D9" i="1"/>
  <c r="C9" i="1"/>
  <c r="B9" i="1"/>
  <c r="D8" i="1"/>
  <c r="C8" i="1"/>
  <c r="B8" i="1"/>
  <c r="C7" i="1"/>
  <c r="C13" i="1" s="1"/>
  <c r="E8" i="1" l="1"/>
  <c r="G8" i="1" s="1"/>
  <c r="C22" i="1"/>
  <c r="D7" i="1"/>
  <c r="D13" i="1" s="1"/>
  <c r="E10" i="1"/>
  <c r="G10" i="1" s="1"/>
  <c r="E17" i="1"/>
  <c r="G17" i="1" s="1"/>
  <c r="E9" i="1"/>
  <c r="G9" i="1" s="1"/>
  <c r="B22" i="1"/>
  <c r="D22" i="1"/>
  <c r="E26" i="1"/>
  <c r="G26" i="1" s="1"/>
  <c r="B28" i="1"/>
  <c r="D28" i="1"/>
  <c r="C28" i="1"/>
  <c r="B7" i="1"/>
  <c r="E16" i="1"/>
  <c r="G16" i="1" s="1"/>
  <c r="E20" i="1"/>
  <c r="G20" i="1" s="1"/>
  <c r="E23" i="1"/>
  <c r="G23" i="1" s="1"/>
  <c r="B48" i="1"/>
  <c r="B49" i="1" s="1"/>
  <c r="D48" i="1"/>
  <c r="D49" i="1" s="1"/>
  <c r="C48" i="1"/>
  <c r="C49" i="1" s="1"/>
  <c r="C51" i="1" l="1"/>
  <c r="C53" i="1" s="1"/>
  <c r="D51" i="1"/>
  <c r="D53" i="1" s="1"/>
  <c r="E7" i="1"/>
  <c r="B13" i="1"/>
  <c r="E22" i="1"/>
  <c r="G22" i="1" s="1"/>
  <c r="E28" i="1"/>
  <c r="G28" i="1" s="1"/>
  <c r="B51" i="1"/>
  <c r="E48" i="1"/>
  <c r="E13" i="1" l="1"/>
  <c r="G13" i="1" s="1"/>
  <c r="G7" i="1"/>
  <c r="E49" i="1"/>
  <c r="G49" i="1" s="1"/>
  <c r="G48" i="1"/>
  <c r="B53" i="1"/>
  <c r="E51" i="1" l="1"/>
  <c r="E53" i="1" l="1"/>
  <c r="G53" i="1" s="1"/>
  <c r="G51" i="1"/>
</calcChain>
</file>

<file path=xl/sharedStrings.xml><?xml version="1.0" encoding="utf-8"?>
<sst xmlns="http://schemas.openxmlformats.org/spreadsheetml/2006/main" count="51" uniqueCount="51">
  <si>
    <t xml:space="preserve">Vértesalja Óvoda 2018. évi összesített költségvetése </t>
  </si>
  <si>
    <t>Csákberény</t>
  </si>
  <si>
    <t>Csókakő</t>
  </si>
  <si>
    <t>Söréd</t>
  </si>
  <si>
    <t>Konyha</t>
  </si>
  <si>
    <t>Állami támogatás Összesen</t>
  </si>
  <si>
    <t>Óvodaped.</t>
  </si>
  <si>
    <t>Segítők</t>
  </si>
  <si>
    <t>Működtetés</t>
  </si>
  <si>
    <t>Ped II.</t>
  </si>
  <si>
    <t>Térítési díj bevétel (áfával növelten)</t>
  </si>
  <si>
    <t>Bevételek összesen</t>
  </si>
  <si>
    <t>Bér</t>
  </si>
  <si>
    <t>Óvoda vezető bére</t>
  </si>
  <si>
    <t>Óvoda titkár bére</t>
  </si>
  <si>
    <t xml:space="preserve">Cafetéria </t>
  </si>
  <si>
    <t>Utiktg térítés (munkábajárás)</t>
  </si>
  <si>
    <t>Személyi juttatások összesen:</t>
  </si>
  <si>
    <t>Bér járuléka</t>
  </si>
  <si>
    <t>Külső óraadók járuléka</t>
  </si>
  <si>
    <t>Cafetéria járuléka</t>
  </si>
  <si>
    <t>Járulék összesen</t>
  </si>
  <si>
    <t>Utiktg térítés (kiküdetés)</t>
  </si>
  <si>
    <t>Munkaruha</t>
  </si>
  <si>
    <t>Gyógyszer</t>
  </si>
  <si>
    <t>Könyv, folyóirat</t>
  </si>
  <si>
    <t>Szakmai anyag, irodaszer, nyomtatvány</t>
  </si>
  <si>
    <t>Kisértékű tárgyi eszköz</t>
  </si>
  <si>
    <t>Továbbképzés</t>
  </si>
  <si>
    <t>Szállítás</t>
  </si>
  <si>
    <t>Postaköltség</t>
  </si>
  <si>
    <t>Játék felülvizsg.</t>
  </si>
  <si>
    <t>Telefon</t>
  </si>
  <si>
    <t>Fénymásoló bérlet</t>
  </si>
  <si>
    <t>Alapanyag beszerzés</t>
  </si>
  <si>
    <t>tisztítószer, egyéb eszköz</t>
  </si>
  <si>
    <t>winmenza program</t>
  </si>
  <si>
    <t>közüzemi díjak</t>
  </si>
  <si>
    <t>szemétszáll, kéményell, rágcsálóírtás, egyéb szolg</t>
  </si>
  <si>
    <t>Bankktg.</t>
  </si>
  <si>
    <t>Áfa</t>
  </si>
  <si>
    <t>Dologi kiadások</t>
  </si>
  <si>
    <t>Kiadások összesen</t>
  </si>
  <si>
    <t>Egyenleg</t>
  </si>
  <si>
    <t>SNI számlás</t>
  </si>
  <si>
    <t>Külső óraadók (SNI)</t>
  </si>
  <si>
    <t>Óvoda vezető bérének járuléka</t>
  </si>
  <si>
    <t>Óvoda titkár bérének járuléka</t>
  </si>
  <si>
    <t>Óvodák összesen</t>
  </si>
  <si>
    <t>Mindösszesen</t>
  </si>
  <si>
    <t>15. melléklet az 1/2018. (III.14.)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</si>
</sst>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&quot;Ft&quot;_-;\-* #,##0\ &quot;Ft&quot;_-;_-* &quot;-&quot;??\ &quot;Ft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/>
    <xf numFmtId="164" fontId="2" fillId="2" borderId="0" xfId="0" applyNumberFormat="1" applyFont="1" applyFill="1"/>
    <xf numFmtId="0" fontId="3" fillId="0" borderId="0" xfId="0" applyFont="1" applyFill="1"/>
    <xf numFmtId="164" fontId="3" fillId="0" borderId="0" xfId="0" applyNumberFormat="1" applyFont="1" applyFill="1"/>
    <xf numFmtId="164" fontId="3" fillId="2" borderId="0" xfId="0" applyNumberFormat="1" applyFont="1" applyFill="1"/>
    <xf numFmtId="0" fontId="2" fillId="2" borderId="0" xfId="0" applyFont="1" applyFill="1"/>
    <xf numFmtId="0" fontId="1" fillId="0" borderId="1" xfId="0" applyFont="1" applyFill="1" applyBorder="1"/>
    <xf numFmtId="164" fontId="1" fillId="0" borderId="2" xfId="0" applyNumberFormat="1" applyFont="1" applyFill="1" applyBorder="1"/>
    <xf numFmtId="164" fontId="1" fillId="2" borderId="2" xfId="0" applyNumberFormat="1" applyFont="1" applyFill="1" applyBorder="1"/>
    <xf numFmtId="0" fontId="4" fillId="0" borderId="0" xfId="0" applyFont="1" applyFill="1"/>
    <xf numFmtId="164" fontId="4" fillId="0" borderId="0" xfId="0" applyNumberFormat="1" applyFont="1" applyFill="1"/>
    <xf numFmtId="164" fontId="4" fillId="2" borderId="0" xfId="0" applyNumberFormat="1" applyFont="1" applyFill="1"/>
    <xf numFmtId="0" fontId="2" fillId="0" borderId="1" xfId="0" applyFont="1" applyFill="1" applyBorder="1"/>
    <xf numFmtId="0" fontId="1" fillId="0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2" fillId="2" borderId="0" xfId="0" applyNumberFormat="1" applyFont="1" applyFill="1" applyBorder="1"/>
    <xf numFmtId="0" fontId="1" fillId="3" borderId="2" xfId="0" applyFont="1" applyFill="1" applyBorder="1" applyAlignment="1">
      <alignment horizontal="center" vertical="center"/>
    </xf>
    <xf numFmtId="164" fontId="2" fillId="3" borderId="0" xfId="0" applyNumberFormat="1" applyFont="1" applyFill="1"/>
    <xf numFmtId="164" fontId="1" fillId="3" borderId="2" xfId="0" applyNumberFormat="1" applyFont="1" applyFill="1" applyBorder="1"/>
    <xf numFmtId="0" fontId="2" fillId="3" borderId="0" xfId="0" applyFont="1" applyFill="1"/>
    <xf numFmtId="164" fontId="4" fillId="3" borderId="0" xfId="0" applyNumberFormat="1" applyFont="1" applyFill="1"/>
    <xf numFmtId="164" fontId="2" fillId="3" borderId="0" xfId="0" applyNumberFormat="1" applyFont="1" applyFill="1" applyAlignment="1">
      <alignment vertical="center" wrapText="1"/>
    </xf>
    <xf numFmtId="0" fontId="1" fillId="4" borderId="3" xfId="0" applyFont="1" applyFill="1" applyBorder="1" applyAlignment="1">
      <alignment horizontal="center" vertical="center"/>
    </xf>
    <xf numFmtId="164" fontId="2" fillId="4" borderId="0" xfId="0" applyNumberFormat="1" applyFont="1" applyFill="1"/>
    <xf numFmtId="164" fontId="1" fillId="4" borderId="3" xfId="0" applyNumberFormat="1" applyFont="1" applyFill="1" applyBorder="1"/>
    <xf numFmtId="164" fontId="4" fillId="4" borderId="0" xfId="0" applyNumberFormat="1" applyFont="1" applyFill="1"/>
    <xf numFmtId="0" fontId="5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tabSelected="1" workbookViewId="0">
      <pane xSplit="1" ySplit="6" topLeftCell="B16" activePane="bottomRight" state="frozen"/>
      <selection pane="topRight" activeCell="B1" sqref="B1"/>
      <selection pane="bottomLeft" activeCell="A5" sqref="A5"/>
      <selection pane="bottomRight" activeCell="A3" sqref="A3:F3"/>
    </sheetView>
  </sheetViews>
  <sheetFormatPr defaultColWidth="24.109375" defaultRowHeight="15" x14ac:dyDescent="0.25"/>
  <cols>
    <col min="1" max="1" width="48.33203125" style="1" customWidth="1"/>
    <col min="2" max="7" width="19.88671875" style="1" customWidth="1"/>
    <col min="8" max="16384" width="24.109375" style="1"/>
  </cols>
  <sheetData>
    <row r="1" spans="1:7" ht="15.6" x14ac:dyDescent="0.3">
      <c r="A1" s="29" t="s">
        <v>50</v>
      </c>
    </row>
    <row r="2" spans="1:7" ht="15.6" x14ac:dyDescent="0.3">
      <c r="A2" s="29"/>
    </row>
    <row r="3" spans="1:7" ht="15.6" x14ac:dyDescent="0.25">
      <c r="A3" s="30" t="s">
        <v>0</v>
      </c>
      <c r="B3" s="30"/>
      <c r="C3" s="30"/>
      <c r="D3" s="30"/>
      <c r="E3" s="30"/>
      <c r="F3" s="30"/>
    </row>
    <row r="5" spans="1:7" ht="15.6" thickBot="1" x14ac:dyDescent="0.3"/>
    <row r="6" spans="1:7" ht="16.2" thickBot="1" x14ac:dyDescent="0.35">
      <c r="A6" s="14"/>
      <c r="B6" s="15" t="s">
        <v>1</v>
      </c>
      <c r="C6" s="15" t="s">
        <v>2</v>
      </c>
      <c r="D6" s="15" t="s">
        <v>3</v>
      </c>
      <c r="E6" s="16" t="s">
        <v>48</v>
      </c>
      <c r="F6" s="18" t="s">
        <v>4</v>
      </c>
      <c r="G6" s="24" t="s">
        <v>49</v>
      </c>
    </row>
    <row r="7" spans="1:7" x14ac:dyDescent="0.25">
      <c r="A7" s="1" t="s">
        <v>5</v>
      </c>
      <c r="B7" s="2">
        <f>SUM(B8:B11)</f>
        <v>19410960</v>
      </c>
      <c r="C7" s="2">
        <f t="shared" ref="C7:D7" si="0">SUM(C8:C11)</f>
        <v>26990070</v>
      </c>
      <c r="D7" s="2">
        <f t="shared" si="0"/>
        <v>13871170</v>
      </c>
      <c r="E7" s="3">
        <f t="shared" ref="E7:E11" si="1">SUM(B7:D7)</f>
        <v>60272200</v>
      </c>
      <c r="F7" s="19">
        <v>5315907</v>
      </c>
      <c r="G7" s="25">
        <f>E7+F7</f>
        <v>65588107</v>
      </c>
    </row>
    <row r="8" spans="1:7" ht="15.6" x14ac:dyDescent="0.3">
      <c r="A8" s="4" t="s">
        <v>6</v>
      </c>
      <c r="B8" s="5">
        <f>2.84*4419000</f>
        <v>12549960</v>
      </c>
      <c r="C8" s="5">
        <f>4.03*4419000</f>
        <v>17808570</v>
      </c>
      <c r="D8" s="5">
        <f>1.93*4419000</f>
        <v>8528670</v>
      </c>
      <c r="E8" s="6">
        <f t="shared" si="1"/>
        <v>38887200</v>
      </c>
      <c r="F8" s="19">
        <v>0</v>
      </c>
      <c r="G8" s="25">
        <f t="shared" ref="G8:G53" si="2">E8+F8</f>
        <v>38887200</v>
      </c>
    </row>
    <row r="9" spans="1:7" ht="15.6" x14ac:dyDescent="0.3">
      <c r="A9" s="4" t="s">
        <v>7</v>
      </c>
      <c r="B9" s="5">
        <f>2*2205000</f>
        <v>4410000</v>
      </c>
      <c r="C9" s="5">
        <f>2.5*2205000</f>
        <v>5512500</v>
      </c>
      <c r="D9" s="5">
        <f>1.5*2205000</f>
        <v>3307500</v>
      </c>
      <c r="E9" s="6">
        <f t="shared" si="1"/>
        <v>13230000</v>
      </c>
      <c r="F9" s="19">
        <v>0</v>
      </c>
      <c r="G9" s="25">
        <f t="shared" si="2"/>
        <v>13230000</v>
      </c>
    </row>
    <row r="10" spans="1:7" ht="15.6" x14ac:dyDescent="0.3">
      <c r="A10" s="4" t="s">
        <v>8</v>
      </c>
      <c r="B10" s="5">
        <f>30*81700</f>
        <v>2451000</v>
      </c>
      <c r="C10" s="5">
        <f>40*81700</f>
        <v>3268000</v>
      </c>
      <c r="D10" s="5">
        <f>20*81700</f>
        <v>1634000</v>
      </c>
      <c r="E10" s="6">
        <f t="shared" si="1"/>
        <v>7353000</v>
      </c>
      <c r="F10" s="19">
        <v>0</v>
      </c>
      <c r="G10" s="25">
        <f t="shared" si="2"/>
        <v>7353000</v>
      </c>
    </row>
    <row r="11" spans="1:7" ht="15.6" x14ac:dyDescent="0.3">
      <c r="A11" s="4" t="s">
        <v>9</v>
      </c>
      <c r="B11" s="5">
        <v>0</v>
      </c>
      <c r="C11" s="5">
        <v>401000</v>
      </c>
      <c r="D11" s="5">
        <v>401000</v>
      </c>
      <c r="E11" s="6">
        <f t="shared" si="1"/>
        <v>802000</v>
      </c>
      <c r="F11" s="19">
        <v>0</v>
      </c>
      <c r="G11" s="25">
        <f t="shared" si="2"/>
        <v>802000</v>
      </c>
    </row>
    <row r="12" spans="1:7" ht="15.6" thickBot="1" x14ac:dyDescent="0.3">
      <c r="A12" s="1" t="s">
        <v>10</v>
      </c>
      <c r="B12" s="1">
        <v>0</v>
      </c>
      <c r="C12" s="1">
        <v>0</v>
      </c>
      <c r="D12" s="1">
        <v>0</v>
      </c>
      <c r="E12" s="7">
        <f>SUM(B12:D12)</f>
        <v>0</v>
      </c>
      <c r="F12" s="19">
        <v>6350000</v>
      </c>
      <c r="G12" s="25">
        <f t="shared" si="2"/>
        <v>6350000</v>
      </c>
    </row>
    <row r="13" spans="1:7" ht="16.2" thickBot="1" x14ac:dyDescent="0.35">
      <c r="A13" s="8" t="s">
        <v>11</v>
      </c>
      <c r="B13" s="9">
        <f>B12+B7</f>
        <v>19410960</v>
      </c>
      <c r="C13" s="9">
        <f t="shared" ref="C13:E13" si="3">C12+C7</f>
        <v>26990070</v>
      </c>
      <c r="D13" s="9">
        <f t="shared" si="3"/>
        <v>13871170</v>
      </c>
      <c r="E13" s="10">
        <f t="shared" si="3"/>
        <v>60272200</v>
      </c>
      <c r="F13" s="20">
        <f>SUM(F7:F12)</f>
        <v>11665907</v>
      </c>
      <c r="G13" s="26">
        <f t="shared" si="2"/>
        <v>71938107</v>
      </c>
    </row>
    <row r="14" spans="1:7" x14ac:dyDescent="0.25">
      <c r="E14" s="7"/>
      <c r="F14" s="21"/>
      <c r="G14" s="25"/>
    </row>
    <row r="15" spans="1:7" x14ac:dyDescent="0.25">
      <c r="E15" s="7"/>
      <c r="F15" s="21"/>
      <c r="G15" s="25"/>
    </row>
    <row r="16" spans="1:7" x14ac:dyDescent="0.25">
      <c r="A16" s="1" t="s">
        <v>12</v>
      </c>
      <c r="B16" s="2">
        <f>(337700+264900+230300+198600+193100)*11+(1731856-86150-401940-86150)+230250*3.5</f>
        <v>15434091</v>
      </c>
      <c r="C16" s="2">
        <f>(398600+283200+264900+212500+198600+197000+96600)*11+1551199</f>
        <v>19716599</v>
      </c>
      <c r="D16" s="2">
        <f>(380600+282900+196100+96600)*11+913053</f>
        <v>11431253</v>
      </c>
      <c r="E16" s="3">
        <f>SUM(B16:D16)</f>
        <v>46581943</v>
      </c>
      <c r="F16" s="19">
        <v>5551199</v>
      </c>
      <c r="G16" s="25">
        <f t="shared" si="2"/>
        <v>52133142</v>
      </c>
    </row>
    <row r="17" spans="1:7" x14ac:dyDescent="0.25">
      <c r="A17" s="1" t="s">
        <v>13</v>
      </c>
      <c r="B17" s="2">
        <f>(410800*11+401940)/90*30</f>
        <v>1640246.6666666667</v>
      </c>
      <c r="C17" s="2">
        <f>(410800*11+401940)/90*40</f>
        <v>2186995.5555555555</v>
      </c>
      <c r="D17" s="2">
        <f>(410800*11+401940)/90*20</f>
        <v>1093497.7777777778</v>
      </c>
      <c r="E17" s="3">
        <f t="shared" ref="E17:E18" si="4">SUM(B17:D17)</f>
        <v>4920740</v>
      </c>
      <c r="F17" s="19"/>
      <c r="G17" s="25">
        <f t="shared" si="2"/>
        <v>4920740</v>
      </c>
    </row>
    <row r="18" spans="1:7" x14ac:dyDescent="0.25">
      <c r="A18" s="1" t="s">
        <v>14</v>
      </c>
      <c r="B18" s="2">
        <f>(106550*11+86150)/90*30</f>
        <v>419400</v>
      </c>
      <c r="C18" s="2">
        <f>(106550*11+86150)/90*40</f>
        <v>559200</v>
      </c>
      <c r="D18" s="2">
        <f>(106550*11+86150)/90*20</f>
        <v>279600</v>
      </c>
      <c r="E18" s="3">
        <f t="shared" si="4"/>
        <v>1258200</v>
      </c>
      <c r="F18" s="19"/>
      <c r="G18" s="25">
        <f t="shared" si="2"/>
        <v>1258200</v>
      </c>
    </row>
    <row r="19" spans="1:7" x14ac:dyDescent="0.25">
      <c r="A19" s="1" t="s">
        <v>45</v>
      </c>
      <c r="B19" s="2">
        <v>100000</v>
      </c>
      <c r="C19" s="2">
        <v>780000</v>
      </c>
      <c r="D19" s="2">
        <v>330000</v>
      </c>
      <c r="E19" s="3">
        <f t="shared" ref="E19:E48" si="5">SUM(B19:D19)</f>
        <v>1210000</v>
      </c>
      <c r="F19" s="19">
        <v>0</v>
      </c>
      <c r="G19" s="25">
        <f t="shared" si="2"/>
        <v>1210000</v>
      </c>
    </row>
    <row r="20" spans="1:7" x14ac:dyDescent="0.25">
      <c r="A20" s="1" t="s">
        <v>15</v>
      </c>
      <c r="B20" s="2">
        <f>10000/1.3422*6.5*12+10000/1.3422*3.5</f>
        <v>607212.03993443598</v>
      </c>
      <c r="C20" s="2">
        <f>10000/1.3422*6.5*12</f>
        <v>581135.44926240493</v>
      </c>
      <c r="D20" s="2">
        <f>10000/1.3422*3.5*12</f>
        <v>312919.0880643719</v>
      </c>
      <c r="E20" s="3">
        <f t="shared" si="5"/>
        <v>1501266.5772612127</v>
      </c>
      <c r="F20" s="19">
        <v>223514</v>
      </c>
      <c r="G20" s="25">
        <f t="shared" si="2"/>
        <v>1724780.5772612127</v>
      </c>
    </row>
    <row r="21" spans="1:7" x14ac:dyDescent="0.25">
      <c r="A21" s="1" t="s">
        <v>16</v>
      </c>
      <c r="B21" s="2">
        <v>222760</v>
      </c>
      <c r="C21" s="2">
        <v>36000</v>
      </c>
      <c r="D21" s="2">
        <v>46800</v>
      </c>
      <c r="E21" s="3">
        <f t="shared" si="5"/>
        <v>305560</v>
      </c>
      <c r="F21" s="19">
        <v>0</v>
      </c>
      <c r="G21" s="25">
        <f t="shared" si="2"/>
        <v>305560</v>
      </c>
    </row>
    <row r="22" spans="1:7" s="4" customFormat="1" ht="15.6" x14ac:dyDescent="0.3">
      <c r="A22" s="11" t="s">
        <v>17</v>
      </c>
      <c r="B22" s="12">
        <f>SUM(B16:B21)</f>
        <v>18423709.706601106</v>
      </c>
      <c r="C22" s="12">
        <f t="shared" ref="C22:E22" si="6">SUM(C16:C21)</f>
        <v>23859930.004817963</v>
      </c>
      <c r="D22" s="12">
        <f t="shared" si="6"/>
        <v>13494069.865842151</v>
      </c>
      <c r="E22" s="13">
        <f t="shared" si="6"/>
        <v>55777709.577261209</v>
      </c>
      <c r="F22" s="22">
        <f>SUM(F16:F21)</f>
        <v>5774713</v>
      </c>
      <c r="G22" s="27">
        <f t="shared" si="2"/>
        <v>61552422.577261209</v>
      </c>
    </row>
    <row r="23" spans="1:7" x14ac:dyDescent="0.25">
      <c r="A23" s="1" t="s">
        <v>18</v>
      </c>
      <c r="B23" s="2">
        <f>((337700+264900+230300+198600+193100)*11)*0.195+(1731856-86150-86150-401940)*0.22+29595+230250*3.5*0.195</f>
        <v>3068183.145</v>
      </c>
      <c r="C23" s="2">
        <f>(398600+283200+264900+212500+198600+197000+96600)*11*0.195+349960</f>
        <v>3892213</v>
      </c>
      <c r="D23" s="2">
        <f>(380600+282900+196100+96600)*11*0.195+203247</f>
        <v>2254296</v>
      </c>
      <c r="E23" s="3">
        <f t="shared" si="5"/>
        <v>9214692.1449999996</v>
      </c>
      <c r="F23" s="19">
        <v>1092688</v>
      </c>
      <c r="G23" s="25">
        <f t="shared" si="2"/>
        <v>10307380.145</v>
      </c>
    </row>
    <row r="24" spans="1:7" x14ac:dyDescent="0.25">
      <c r="A24" s="1" t="s">
        <v>46</v>
      </c>
      <c r="B24" s="2">
        <f>((410800*11)*0.195+(401940*0.22))/90*30</f>
        <v>323197.60000000003</v>
      </c>
      <c r="C24" s="2">
        <f>((410800*11)*0.195+(401940*0.22))/90*40</f>
        <v>430930.13333333336</v>
      </c>
      <c r="D24" s="2">
        <f>((410800*11)*0.195+(401940*0.22))/90*20</f>
        <v>215465.06666666668</v>
      </c>
      <c r="E24" s="3">
        <f t="shared" si="5"/>
        <v>969592.8</v>
      </c>
      <c r="F24" s="19"/>
      <c r="G24" s="25">
        <f t="shared" si="2"/>
        <v>969592.8</v>
      </c>
    </row>
    <row r="25" spans="1:7" x14ac:dyDescent="0.25">
      <c r="A25" s="1" t="s">
        <v>47</v>
      </c>
      <c r="B25" s="2">
        <f>((106550*11)*0.195+(86150*0.22))/90*30</f>
        <v>82500.916666666672</v>
      </c>
      <c r="C25" s="2">
        <f>((106550*11)*0.195+(86150*0.22))/90*40</f>
        <v>110001.22222222222</v>
      </c>
      <c r="D25" s="2">
        <f>((106550*11)*0.195+(86150*0.22))/90*20</f>
        <v>55000.611111111109</v>
      </c>
      <c r="E25" s="3">
        <f t="shared" si="5"/>
        <v>247502.75</v>
      </c>
      <c r="F25" s="19"/>
      <c r="G25" s="25">
        <f t="shared" si="2"/>
        <v>247502.75</v>
      </c>
    </row>
    <row r="26" spans="1:7" x14ac:dyDescent="0.25">
      <c r="A26" s="1" t="s">
        <v>19</v>
      </c>
      <c r="B26" s="2">
        <f>B19*0.9*0.195</f>
        <v>17550</v>
      </c>
      <c r="C26" s="2">
        <f t="shared" ref="C26:D26" si="7">C19*0.9*0.195</f>
        <v>136890</v>
      </c>
      <c r="D26" s="2">
        <f t="shared" si="7"/>
        <v>57915</v>
      </c>
      <c r="E26" s="3">
        <f t="shared" si="5"/>
        <v>212355</v>
      </c>
      <c r="F26" s="19">
        <v>0</v>
      </c>
      <c r="G26" s="25">
        <f t="shared" si="2"/>
        <v>212355</v>
      </c>
    </row>
    <row r="27" spans="1:7" x14ac:dyDescent="0.25">
      <c r="A27" s="1" t="s">
        <v>20</v>
      </c>
      <c r="B27" s="2">
        <f>B20*0.3422</f>
        <v>207787.960065564</v>
      </c>
      <c r="C27" s="2">
        <f t="shared" ref="C27:D27" si="8">C20*0.3422</f>
        <v>198864.55073759498</v>
      </c>
      <c r="D27" s="2">
        <f t="shared" si="8"/>
        <v>107080.91193562807</v>
      </c>
      <c r="E27" s="3">
        <f t="shared" si="5"/>
        <v>513733.42273878702</v>
      </c>
      <c r="F27" s="19">
        <v>76486</v>
      </c>
      <c r="G27" s="25">
        <f t="shared" si="2"/>
        <v>590219.42273878702</v>
      </c>
    </row>
    <row r="28" spans="1:7" s="4" customFormat="1" ht="15.6" x14ac:dyDescent="0.3">
      <c r="A28" s="11" t="s">
        <v>21</v>
      </c>
      <c r="B28" s="12">
        <f>SUM(B23:B27)</f>
        <v>3699219.6217322308</v>
      </c>
      <c r="C28" s="12">
        <f t="shared" ref="C28:D28" si="9">SUM(C23:C27)</f>
        <v>4768898.906293151</v>
      </c>
      <c r="D28" s="12">
        <f t="shared" si="9"/>
        <v>2689757.5897134058</v>
      </c>
      <c r="E28" s="13">
        <f t="shared" si="5"/>
        <v>11157876.117738787</v>
      </c>
      <c r="F28" s="22">
        <f>SUM(F23:F27)</f>
        <v>1169174</v>
      </c>
      <c r="G28" s="27">
        <f t="shared" si="2"/>
        <v>12327050.117738787</v>
      </c>
    </row>
    <row r="29" spans="1:7" x14ac:dyDescent="0.25">
      <c r="A29" s="1" t="s">
        <v>22</v>
      </c>
      <c r="B29" s="2">
        <v>20000</v>
      </c>
      <c r="C29" s="2">
        <v>20000</v>
      </c>
      <c r="D29" s="2">
        <v>20000</v>
      </c>
      <c r="E29" s="3">
        <f t="shared" si="5"/>
        <v>60000</v>
      </c>
      <c r="F29" s="19">
        <v>0</v>
      </c>
      <c r="G29" s="25">
        <f t="shared" si="2"/>
        <v>60000</v>
      </c>
    </row>
    <row r="30" spans="1:7" x14ac:dyDescent="0.25">
      <c r="A30" s="1" t="s">
        <v>23</v>
      </c>
      <c r="B30" s="2">
        <f>10000*7.5</f>
        <v>75000</v>
      </c>
      <c r="C30" s="2">
        <f>10000*6.5</f>
        <v>65000</v>
      </c>
      <c r="D30" s="2">
        <f>10000*3.5</f>
        <v>35000</v>
      </c>
      <c r="E30" s="3">
        <f t="shared" si="5"/>
        <v>175000</v>
      </c>
      <c r="F30" s="19">
        <v>25000</v>
      </c>
      <c r="G30" s="25">
        <f t="shared" si="2"/>
        <v>200000</v>
      </c>
    </row>
    <row r="31" spans="1:7" x14ac:dyDescent="0.25">
      <c r="A31" s="1" t="s">
        <v>24</v>
      </c>
      <c r="B31" s="2">
        <v>10000</v>
      </c>
      <c r="C31" s="2">
        <v>10000</v>
      </c>
      <c r="D31" s="2">
        <v>10000</v>
      </c>
      <c r="E31" s="3">
        <f t="shared" si="5"/>
        <v>30000</v>
      </c>
      <c r="F31" s="23">
        <v>0</v>
      </c>
      <c r="G31" s="25">
        <f t="shared" si="2"/>
        <v>30000</v>
      </c>
    </row>
    <row r="32" spans="1:7" x14ac:dyDescent="0.25">
      <c r="A32" s="1" t="s">
        <v>25</v>
      </c>
      <c r="B32" s="2">
        <v>70000</v>
      </c>
      <c r="C32" s="2">
        <v>70000</v>
      </c>
      <c r="D32" s="2">
        <v>60000</v>
      </c>
      <c r="E32" s="3">
        <f t="shared" si="5"/>
        <v>200000</v>
      </c>
      <c r="F32" s="23">
        <v>0</v>
      </c>
      <c r="G32" s="25">
        <f t="shared" si="2"/>
        <v>200000</v>
      </c>
    </row>
    <row r="33" spans="1:7" x14ac:dyDescent="0.25">
      <c r="A33" s="1" t="s">
        <v>26</v>
      </c>
      <c r="B33" s="2">
        <v>170000</v>
      </c>
      <c r="C33" s="2">
        <v>160000</v>
      </c>
      <c r="D33" s="2">
        <v>120000</v>
      </c>
      <c r="E33" s="3">
        <f t="shared" si="5"/>
        <v>450000</v>
      </c>
      <c r="F33" s="23">
        <v>0</v>
      </c>
      <c r="G33" s="25">
        <f t="shared" si="2"/>
        <v>450000</v>
      </c>
    </row>
    <row r="34" spans="1:7" x14ac:dyDescent="0.25">
      <c r="A34" s="1" t="s">
        <v>27</v>
      </c>
      <c r="B34" s="2">
        <v>440000</v>
      </c>
      <c r="C34" s="2">
        <v>250000</v>
      </c>
      <c r="D34" s="2">
        <v>0</v>
      </c>
      <c r="E34" s="3">
        <f t="shared" si="5"/>
        <v>690000</v>
      </c>
      <c r="F34" s="23">
        <v>0</v>
      </c>
      <c r="G34" s="25">
        <f t="shared" si="2"/>
        <v>690000</v>
      </c>
    </row>
    <row r="35" spans="1:7" x14ac:dyDescent="0.25">
      <c r="A35" s="1" t="s">
        <v>28</v>
      </c>
      <c r="B35" s="2">
        <v>20000</v>
      </c>
      <c r="C35" s="2">
        <v>15000</v>
      </c>
      <c r="D35" s="2">
        <v>15000</v>
      </c>
      <c r="E35" s="3">
        <f t="shared" si="5"/>
        <v>50000</v>
      </c>
      <c r="F35" s="23">
        <v>0</v>
      </c>
      <c r="G35" s="25">
        <f t="shared" si="2"/>
        <v>50000</v>
      </c>
    </row>
    <row r="36" spans="1:7" x14ac:dyDescent="0.25">
      <c r="A36" s="1" t="s">
        <v>29</v>
      </c>
      <c r="B36" s="2">
        <v>40000</v>
      </c>
      <c r="C36" s="2">
        <v>40000</v>
      </c>
      <c r="D36" s="2">
        <v>40000</v>
      </c>
      <c r="E36" s="3">
        <f t="shared" si="5"/>
        <v>120000</v>
      </c>
      <c r="F36" s="23">
        <v>0</v>
      </c>
      <c r="G36" s="25">
        <f t="shared" si="2"/>
        <v>120000</v>
      </c>
    </row>
    <row r="37" spans="1:7" x14ac:dyDescent="0.25">
      <c r="A37" s="1" t="s">
        <v>30</v>
      </c>
      <c r="B37" s="2">
        <v>50000</v>
      </c>
      <c r="C37" s="2">
        <v>30000</v>
      </c>
      <c r="D37" s="2">
        <v>20000</v>
      </c>
      <c r="E37" s="3">
        <f t="shared" si="5"/>
        <v>100000</v>
      </c>
      <c r="F37" s="23">
        <v>0</v>
      </c>
      <c r="G37" s="25">
        <f t="shared" si="2"/>
        <v>100000</v>
      </c>
    </row>
    <row r="38" spans="1:7" x14ac:dyDescent="0.25">
      <c r="A38" s="1" t="s">
        <v>31</v>
      </c>
      <c r="B38" s="2">
        <v>100000</v>
      </c>
      <c r="C38" s="2">
        <v>100000</v>
      </c>
      <c r="D38" s="2">
        <v>100000</v>
      </c>
      <c r="E38" s="3">
        <f t="shared" si="5"/>
        <v>300000</v>
      </c>
      <c r="F38" s="23">
        <v>0</v>
      </c>
      <c r="G38" s="25">
        <f t="shared" si="2"/>
        <v>300000</v>
      </c>
    </row>
    <row r="39" spans="1:7" x14ac:dyDescent="0.25">
      <c r="A39" s="1" t="s">
        <v>32</v>
      </c>
      <c r="B39" s="2">
        <v>50000</v>
      </c>
      <c r="C39" s="2">
        <v>0</v>
      </c>
      <c r="D39" s="2">
        <v>0</v>
      </c>
      <c r="E39" s="3">
        <f t="shared" si="5"/>
        <v>50000</v>
      </c>
      <c r="F39" s="23">
        <v>0</v>
      </c>
      <c r="G39" s="25">
        <f t="shared" si="2"/>
        <v>50000</v>
      </c>
    </row>
    <row r="40" spans="1:7" x14ac:dyDescent="0.25">
      <c r="A40" s="1" t="s">
        <v>33</v>
      </c>
      <c r="B40" s="2">
        <v>0</v>
      </c>
      <c r="C40" s="2">
        <v>20000</v>
      </c>
      <c r="D40" s="2">
        <v>0</v>
      </c>
      <c r="E40" s="3">
        <f t="shared" si="5"/>
        <v>20000</v>
      </c>
      <c r="F40" s="23"/>
      <c r="G40" s="25">
        <f t="shared" si="2"/>
        <v>20000</v>
      </c>
    </row>
    <row r="41" spans="1:7" x14ac:dyDescent="0.25">
      <c r="A41" s="1" t="s">
        <v>44</v>
      </c>
      <c r="B41" s="2">
        <v>170000</v>
      </c>
      <c r="C41" s="2"/>
      <c r="D41" s="2"/>
      <c r="E41" s="3">
        <f t="shared" si="5"/>
        <v>170000</v>
      </c>
      <c r="F41" s="23"/>
      <c r="G41" s="25">
        <f t="shared" si="2"/>
        <v>170000</v>
      </c>
    </row>
    <row r="42" spans="1:7" x14ac:dyDescent="0.25">
      <c r="A42" s="1" t="s">
        <v>34</v>
      </c>
      <c r="B42" s="2">
        <v>0</v>
      </c>
      <c r="C42" s="2">
        <v>0</v>
      </c>
      <c r="D42" s="2">
        <v>0</v>
      </c>
      <c r="E42" s="3">
        <f t="shared" si="5"/>
        <v>0</v>
      </c>
      <c r="F42" s="23">
        <v>5900000</v>
      </c>
      <c r="G42" s="25">
        <f t="shared" si="2"/>
        <v>5900000</v>
      </c>
    </row>
    <row r="43" spans="1:7" x14ac:dyDescent="0.25">
      <c r="A43" s="1" t="s">
        <v>35</v>
      </c>
      <c r="B43" s="2">
        <v>0</v>
      </c>
      <c r="C43" s="2">
        <v>0</v>
      </c>
      <c r="D43" s="2">
        <v>0</v>
      </c>
      <c r="E43" s="3">
        <f t="shared" si="5"/>
        <v>0</v>
      </c>
      <c r="F43" s="23">
        <v>150000</v>
      </c>
      <c r="G43" s="25">
        <f t="shared" si="2"/>
        <v>150000</v>
      </c>
    </row>
    <row r="44" spans="1:7" x14ac:dyDescent="0.25">
      <c r="A44" s="1" t="s">
        <v>36</v>
      </c>
      <c r="B44" s="2">
        <v>0</v>
      </c>
      <c r="C44" s="2">
        <v>0</v>
      </c>
      <c r="D44" s="2">
        <v>0</v>
      </c>
      <c r="E44" s="3">
        <f t="shared" si="5"/>
        <v>0</v>
      </c>
      <c r="F44" s="23">
        <v>30000</v>
      </c>
      <c r="G44" s="25">
        <f t="shared" si="2"/>
        <v>30000</v>
      </c>
    </row>
    <row r="45" spans="1:7" x14ac:dyDescent="0.25">
      <c r="A45" s="1" t="s">
        <v>37</v>
      </c>
      <c r="B45" s="2">
        <v>0</v>
      </c>
      <c r="C45" s="2">
        <v>0</v>
      </c>
      <c r="D45" s="2">
        <v>0</v>
      </c>
      <c r="E45" s="3">
        <f t="shared" si="5"/>
        <v>0</v>
      </c>
      <c r="F45" s="23">
        <v>850000</v>
      </c>
      <c r="G45" s="25">
        <f t="shared" si="2"/>
        <v>850000</v>
      </c>
    </row>
    <row r="46" spans="1:7" x14ac:dyDescent="0.25">
      <c r="A46" s="28" t="s">
        <v>38</v>
      </c>
      <c r="B46" s="2">
        <v>0</v>
      </c>
      <c r="C46" s="2">
        <v>0</v>
      </c>
      <c r="D46" s="2">
        <v>0</v>
      </c>
      <c r="E46" s="3">
        <f t="shared" si="5"/>
        <v>0</v>
      </c>
      <c r="F46" s="23">
        <v>150000</v>
      </c>
      <c r="G46" s="25">
        <f t="shared" si="2"/>
        <v>150000</v>
      </c>
    </row>
    <row r="47" spans="1:7" x14ac:dyDescent="0.25">
      <c r="A47" s="1" t="s">
        <v>39</v>
      </c>
      <c r="B47" s="2">
        <v>70000</v>
      </c>
      <c r="C47" s="2">
        <v>70000</v>
      </c>
      <c r="D47" s="2">
        <v>60000</v>
      </c>
      <c r="E47" s="3">
        <f t="shared" si="5"/>
        <v>200000</v>
      </c>
      <c r="F47" s="23">
        <v>50000</v>
      </c>
      <c r="G47" s="25">
        <f t="shared" si="2"/>
        <v>250000</v>
      </c>
    </row>
    <row r="48" spans="1:7" x14ac:dyDescent="0.25">
      <c r="A48" s="1" t="s">
        <v>40</v>
      </c>
      <c r="B48" s="2">
        <f>(B31+B32)*0.05+(B33+B34+B35+B36+B38+B39+B30)*0.27</f>
        <v>245650.00000000003</v>
      </c>
      <c r="C48" s="2">
        <f t="shared" ref="C48:D48" si="10">(C31+C32)*0.05+(C33+C34+C35+C36+C38+C39+C30)*0.27</f>
        <v>174100</v>
      </c>
      <c r="D48" s="2">
        <f t="shared" si="10"/>
        <v>87200</v>
      </c>
      <c r="E48" s="3">
        <f t="shared" si="5"/>
        <v>506950</v>
      </c>
      <c r="F48" s="23">
        <v>1910250</v>
      </c>
      <c r="G48" s="25">
        <f t="shared" si="2"/>
        <v>2417200</v>
      </c>
    </row>
    <row r="49" spans="1:7" s="4" customFormat="1" ht="15.6" x14ac:dyDescent="0.3">
      <c r="A49" s="11" t="s">
        <v>41</v>
      </c>
      <c r="B49" s="12">
        <f t="shared" ref="B49:E49" si="11">SUM(B29:B48)</f>
        <v>1530650</v>
      </c>
      <c r="C49" s="12">
        <f t="shared" si="11"/>
        <v>1024100</v>
      </c>
      <c r="D49" s="12">
        <f t="shared" si="11"/>
        <v>567200</v>
      </c>
      <c r="E49" s="13">
        <f t="shared" si="11"/>
        <v>3121950</v>
      </c>
      <c r="F49" s="22">
        <f t="shared" ref="F49" si="12">SUM(F29:F48)</f>
        <v>9065250</v>
      </c>
      <c r="G49" s="27">
        <f t="shared" si="2"/>
        <v>12187200</v>
      </c>
    </row>
    <row r="50" spans="1:7" ht="15.6" thickBot="1" x14ac:dyDescent="0.3">
      <c r="B50" s="2"/>
      <c r="C50" s="2"/>
      <c r="D50" s="2"/>
      <c r="E50" s="17"/>
      <c r="F50" s="21"/>
      <c r="G50" s="25"/>
    </row>
    <row r="51" spans="1:7" ht="16.2" thickBot="1" x14ac:dyDescent="0.35">
      <c r="A51" s="8" t="s">
        <v>42</v>
      </c>
      <c r="B51" s="9">
        <f t="shared" ref="B51:E51" si="13">B22+B28+B49</f>
        <v>23653579.328333337</v>
      </c>
      <c r="C51" s="9">
        <f t="shared" si="13"/>
        <v>29652928.911111113</v>
      </c>
      <c r="D51" s="9">
        <f t="shared" si="13"/>
        <v>16751027.455555556</v>
      </c>
      <c r="E51" s="10">
        <f t="shared" si="13"/>
        <v>70057535.694999993</v>
      </c>
      <c r="F51" s="20">
        <f t="shared" ref="F51" si="14">F22+F28+F49</f>
        <v>16009137</v>
      </c>
      <c r="G51" s="26">
        <f t="shared" si="2"/>
        <v>86066672.694999993</v>
      </c>
    </row>
    <row r="52" spans="1:7" x14ac:dyDescent="0.25">
      <c r="B52" s="2"/>
      <c r="C52" s="2"/>
      <c r="D52" s="2"/>
      <c r="E52" s="3"/>
      <c r="F52" s="21"/>
      <c r="G52" s="25"/>
    </row>
    <row r="53" spans="1:7" ht="13.5" customHeight="1" x14ac:dyDescent="0.25">
      <c r="A53" s="1" t="s">
        <v>43</v>
      </c>
      <c r="B53" s="2">
        <f>B13-B51</f>
        <v>-4242619.3283333369</v>
      </c>
      <c r="C53" s="2">
        <f t="shared" ref="C53:E53" si="15">C13-C51</f>
        <v>-2662858.9111111127</v>
      </c>
      <c r="D53" s="2">
        <f t="shared" si="15"/>
        <v>-2879857.4555555563</v>
      </c>
      <c r="E53" s="3">
        <f t="shared" si="15"/>
        <v>-9785335.6949999928</v>
      </c>
      <c r="F53" s="19">
        <f t="shared" ref="F53" si="16">F13-F51</f>
        <v>-4343230</v>
      </c>
      <c r="G53" s="25">
        <f t="shared" si="2"/>
        <v>-14128565.694999993</v>
      </c>
    </row>
    <row r="55" spans="1:7" ht="5.25" customHeight="1" x14ac:dyDescent="0.25"/>
  </sheetData>
  <mergeCells count="1">
    <mergeCell ref="A3:F3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2018-03-14T13:55:08Z</dcterms:modified>
</cp:coreProperties>
</file>