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jtre\zárszámadás végleges 2019\"/>
    </mc:Choice>
  </mc:AlternateContent>
  <bookViews>
    <workbookView xWindow="-105" yWindow="-105" windowWidth="23250" windowHeight="12570" tabRatio="865" activeTab="4"/>
  </bookViews>
  <sheets>
    <sheet name="1. mell. bevételek" sheetId="17" r:id="rId1"/>
    <sheet name="2. mell.kiadások" sheetId="16" r:id="rId2"/>
    <sheet name="3. mell.felhalm." sheetId="14" r:id="rId3"/>
    <sheet name="4. mell. mérleg" sheetId="5" r:id="rId4"/>
    <sheet name="5. mell. közv.tám." sheetId="13" r:id="rId5"/>
  </sheets>
  <definedNames>
    <definedName name="_xlnm.Print_Area" localSheetId="3">'4. mell. mérleg'!$A$2:$H$24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9" i="16" l="1"/>
  <c r="H29" i="16"/>
  <c r="Y23" i="16"/>
  <c r="Z23" i="16"/>
  <c r="H22" i="16"/>
  <c r="S56" i="16" l="1"/>
  <c r="T56" i="16"/>
  <c r="T60" i="16"/>
  <c r="T59" i="16"/>
  <c r="T55" i="16"/>
  <c r="E55" i="16"/>
  <c r="S55" i="16"/>
  <c r="D55" i="16"/>
  <c r="AC19" i="16"/>
  <c r="AC31" i="16"/>
  <c r="Z31" i="16"/>
  <c r="Y20" i="16"/>
  <c r="Z20" i="16"/>
  <c r="T31" i="16"/>
  <c r="N31" i="16"/>
  <c r="H31" i="16"/>
  <c r="G20" i="16"/>
  <c r="H20" i="16"/>
  <c r="T67" i="16"/>
  <c r="S67" i="16"/>
  <c r="D62" i="16"/>
  <c r="D65" i="16"/>
  <c r="D38" i="16"/>
  <c r="E37" i="16"/>
  <c r="E38" i="16"/>
  <c r="E31" i="16"/>
  <c r="D68" i="16" l="1"/>
  <c r="AE69" i="16"/>
  <c r="S50" i="16"/>
  <c r="D46" i="16"/>
  <c r="D48" i="16" s="1"/>
  <c r="G48" i="16"/>
  <c r="AE17" i="16"/>
  <c r="Y11" i="16"/>
  <c r="AH11" i="16" s="1"/>
  <c r="AG9" i="16"/>
  <c r="AI11" i="16"/>
  <c r="AG11" i="16"/>
  <c r="AI10" i="16"/>
  <c r="AH10" i="16"/>
  <c r="AG10" i="16"/>
  <c r="Y9" i="16"/>
  <c r="AH77" i="16"/>
  <c r="AI77" i="16"/>
  <c r="T77" i="16"/>
  <c r="S41" i="16"/>
  <c r="S28" i="16"/>
  <c r="T28" i="16"/>
  <c r="T41" i="16" s="1"/>
  <c r="S19" i="16"/>
  <c r="AF68" i="16"/>
  <c r="AF41" i="16"/>
  <c r="AE41" i="16"/>
  <c r="AE37" i="16"/>
  <c r="AE24" i="16"/>
  <c r="AF16" i="16"/>
  <c r="AE16" i="16"/>
  <c r="AF12" i="16"/>
  <c r="AE12" i="16"/>
  <c r="M37" i="16"/>
  <c r="G37" i="16"/>
  <c r="G41" i="16"/>
  <c r="H41" i="16"/>
  <c r="H12" i="16"/>
  <c r="H16" i="16"/>
  <c r="G16" i="16"/>
  <c r="H15" i="16"/>
  <c r="G15" i="16"/>
  <c r="G12" i="16"/>
  <c r="K37" i="16"/>
  <c r="Z79" i="16"/>
  <c r="Z45" i="16"/>
  <c r="Z41" i="16"/>
  <c r="Y41" i="16"/>
  <c r="Z37" i="16"/>
  <c r="Y73" i="16"/>
  <c r="Y69" i="16"/>
  <c r="Z73" i="16"/>
  <c r="Z68" i="16"/>
  <c r="Z26" i="16"/>
  <c r="Z27" i="16"/>
  <c r="Y27" i="16"/>
  <c r="W28" i="16"/>
  <c r="E73" i="16"/>
  <c r="E62" i="16"/>
  <c r="D41" i="16"/>
  <c r="E28" i="16"/>
  <c r="D19" i="16"/>
  <c r="D25" i="5"/>
  <c r="W28" i="17"/>
  <c r="V28" i="17"/>
  <c r="H28" i="17"/>
  <c r="G28" i="17"/>
  <c r="G24" i="17"/>
  <c r="E25" i="5"/>
  <c r="E28" i="17"/>
  <c r="D28" i="17"/>
  <c r="AF25" i="17"/>
  <c r="AE25" i="17"/>
  <c r="AD25" i="17"/>
  <c r="AF24" i="17"/>
  <c r="AE24" i="17"/>
  <c r="AD24" i="17"/>
  <c r="AF22" i="17"/>
  <c r="AE22" i="17"/>
  <c r="AD22" i="17"/>
  <c r="V15" i="17"/>
  <c r="AE15" i="17" s="1"/>
  <c r="AA24" i="16"/>
  <c r="AA19" i="16"/>
  <c r="U24" i="16"/>
  <c r="U41" i="16"/>
  <c r="U19" i="16"/>
  <c r="R67" i="16"/>
  <c r="R62" i="16"/>
  <c r="F48" i="16"/>
  <c r="F46" i="16"/>
  <c r="F41" i="16"/>
  <c r="F27" i="16"/>
  <c r="F19" i="16"/>
  <c r="C62" i="16"/>
  <c r="AF33" i="17"/>
  <c r="AE33" i="17"/>
  <c r="AF32" i="17"/>
  <c r="AE32" i="17"/>
  <c r="AD33" i="17"/>
  <c r="AD32" i="17"/>
  <c r="AF29" i="17"/>
  <c r="AE29" i="17"/>
  <c r="AD29" i="17"/>
  <c r="AF27" i="17"/>
  <c r="AF28" i="17" s="1"/>
  <c r="AE27" i="17"/>
  <c r="AD27" i="17"/>
  <c r="AF26" i="17"/>
  <c r="AE26" i="17"/>
  <c r="AD26" i="17"/>
  <c r="AF20" i="17"/>
  <c r="AE20" i="17"/>
  <c r="AD20" i="17"/>
  <c r="AF19" i="17"/>
  <c r="AE19" i="17"/>
  <c r="AD19" i="17"/>
  <c r="AF17" i="17"/>
  <c r="AE17" i="17"/>
  <c r="AD17" i="17"/>
  <c r="AF15" i="17"/>
  <c r="AD15" i="17"/>
  <c r="AF13" i="17"/>
  <c r="AE13" i="17"/>
  <c r="AD13" i="17"/>
  <c r="AF12" i="17"/>
  <c r="AE12" i="17"/>
  <c r="AD12" i="17"/>
  <c r="AF11" i="17"/>
  <c r="AE11" i="17"/>
  <c r="AD11" i="17"/>
  <c r="AD10" i="17"/>
  <c r="AD9" i="17"/>
  <c r="F23" i="17"/>
  <c r="AE28" i="17" l="1"/>
  <c r="A2" i="16"/>
  <c r="A2" i="14" s="1"/>
  <c r="A3" i="5" s="1"/>
  <c r="A3" i="13" s="1"/>
  <c r="H39" i="16" l="1"/>
  <c r="E19" i="16"/>
  <c r="E10" i="14" l="1"/>
  <c r="AE67" i="16"/>
  <c r="G73" i="16"/>
  <c r="AB70" i="16"/>
  <c r="E67" i="16"/>
  <c r="AB48" i="16"/>
  <c r="G46" i="16"/>
  <c r="M46" i="16"/>
  <c r="M48" i="16" s="1"/>
  <c r="AB46" i="16"/>
  <c r="Y46" i="16"/>
  <c r="AG38" i="16"/>
  <c r="AG39" i="16"/>
  <c r="AG40" i="16"/>
  <c r="Y24" i="16"/>
  <c r="Z24" i="16"/>
  <c r="AB24" i="16"/>
  <c r="T19" i="16"/>
  <c r="AF67" i="16"/>
  <c r="AC70" i="16"/>
  <c r="AC48" i="16"/>
  <c r="N46" i="16"/>
  <c r="N48" i="16" s="1"/>
  <c r="K31" i="16"/>
  <c r="Z46" i="16"/>
  <c r="E79" i="16"/>
  <c r="E78" i="16"/>
  <c r="E46" i="16"/>
  <c r="E48" i="16" s="1"/>
  <c r="H73" i="16"/>
  <c r="D27" i="14"/>
  <c r="D16" i="14"/>
  <c r="D11" i="14"/>
  <c r="AD46" i="16"/>
  <c r="AD48" i="16" s="1"/>
  <c r="AD37" i="16"/>
  <c r="AD28" i="16"/>
  <c r="AD19" i="16"/>
  <c r="AD24" i="16" s="1"/>
  <c r="AA70" i="16"/>
  <c r="AA48" i="16"/>
  <c r="AA28" i="16"/>
  <c r="AA41" i="16" s="1"/>
  <c r="AA27" i="16"/>
  <c r="AA15" i="16"/>
  <c r="AA16" i="16" s="1"/>
  <c r="X24" i="16"/>
  <c r="X12" i="16"/>
  <c r="X16" i="16" s="1"/>
  <c r="U48" i="16"/>
  <c r="U28" i="16"/>
  <c r="R55" i="16"/>
  <c r="R50" i="16"/>
  <c r="R53" i="16" s="1"/>
  <c r="L48" i="16"/>
  <c r="L28" i="16"/>
  <c r="L41" i="16" s="1"/>
  <c r="L19" i="16"/>
  <c r="L24" i="16" s="1"/>
  <c r="I48" i="16"/>
  <c r="I37" i="16"/>
  <c r="I28" i="16"/>
  <c r="F37" i="16"/>
  <c r="F28" i="16"/>
  <c r="F24" i="16"/>
  <c r="C67" i="16"/>
  <c r="P10" i="17"/>
  <c r="J9" i="17"/>
  <c r="K9" i="17" s="1"/>
  <c r="G9" i="17"/>
  <c r="H9" i="17" s="1"/>
  <c r="D9" i="17"/>
  <c r="Q10" i="17" l="1"/>
  <c r="AF10" i="17" s="1"/>
  <c r="AE10" i="17"/>
  <c r="E9" i="17"/>
  <c r="AF9" i="17" s="1"/>
  <c r="AE9" i="17"/>
  <c r="AD41" i="16"/>
  <c r="I41" i="16"/>
  <c r="C20" i="13" l="1"/>
  <c r="C19" i="13"/>
  <c r="F10" i="14"/>
  <c r="AI75" i="16"/>
  <c r="X76" i="16"/>
  <c r="P70" i="16"/>
  <c r="M70" i="16"/>
  <c r="G70" i="16"/>
  <c r="D70" i="16"/>
  <c r="Y70" i="16"/>
  <c r="AE70" i="16"/>
  <c r="AI66" i="16"/>
  <c r="AH66" i="16"/>
  <c r="AG66" i="16"/>
  <c r="AI62" i="16"/>
  <c r="S53" i="16"/>
  <c r="AD49" i="16"/>
  <c r="AD76" i="16" s="1"/>
  <c r="AA49" i="16"/>
  <c r="AA76" i="16" s="1"/>
  <c r="X49" i="16"/>
  <c r="U49" i="16"/>
  <c r="U76" i="16" s="1"/>
  <c r="R49" i="16"/>
  <c r="R76" i="16" s="1"/>
  <c r="O49" i="16"/>
  <c r="O76" i="16" s="1"/>
  <c r="L49" i="16"/>
  <c r="L76" i="16" s="1"/>
  <c r="I49" i="16"/>
  <c r="I76" i="16" s="1"/>
  <c r="F49" i="16"/>
  <c r="F76" i="16" s="1"/>
  <c r="AH62" i="16"/>
  <c r="AI52" i="16"/>
  <c r="AH52" i="16"/>
  <c r="AG52" i="16"/>
  <c r="AG51" i="16"/>
  <c r="J48" i="16"/>
  <c r="P48" i="16"/>
  <c r="S48" i="16"/>
  <c r="V48" i="16"/>
  <c r="Y48" i="16"/>
  <c r="Y49" i="16" s="1"/>
  <c r="AE48" i="16"/>
  <c r="D44" i="16"/>
  <c r="M41" i="16"/>
  <c r="P41" i="16"/>
  <c r="AB37" i="16"/>
  <c r="AB41" i="16" s="1"/>
  <c r="V41" i="16"/>
  <c r="J41" i="16"/>
  <c r="J49" i="16" s="1"/>
  <c r="J76" i="16" s="1"/>
  <c r="AI32" i="16"/>
  <c r="AH32" i="16"/>
  <c r="AG32" i="16"/>
  <c r="AI30" i="16"/>
  <c r="P27" i="16"/>
  <c r="G27" i="16"/>
  <c r="D27" i="16"/>
  <c r="AB27" i="16"/>
  <c r="P24" i="16"/>
  <c r="P49" i="16" s="1"/>
  <c r="S24" i="16"/>
  <c r="G24" i="16"/>
  <c r="M19" i="16"/>
  <c r="M24" i="16" s="1"/>
  <c r="Y12" i="16"/>
  <c r="Y16" i="16" s="1"/>
  <c r="AB15" i="16"/>
  <c r="AC12" i="16"/>
  <c r="AB12" i="16"/>
  <c r="P12" i="16"/>
  <c r="AF70" i="16"/>
  <c r="T50" i="16"/>
  <c r="T53" i="16" s="1"/>
  <c r="T48" i="16"/>
  <c r="T24" i="16"/>
  <c r="T37" i="16"/>
  <c r="Q70" i="16"/>
  <c r="Q48" i="16"/>
  <c r="Q41" i="16"/>
  <c r="Q27" i="16"/>
  <c r="Q24" i="16"/>
  <c r="Q12" i="16"/>
  <c r="Q16" i="16" s="1"/>
  <c r="T80" i="16"/>
  <c r="AF46" i="16"/>
  <c r="AF48" i="16" s="1"/>
  <c r="AF37" i="16"/>
  <c r="AI35" i="16"/>
  <c r="AH35" i="16"/>
  <c r="AG35" i="16"/>
  <c r="AF19" i="16"/>
  <c r="AF24" i="16" s="1"/>
  <c r="AC37" i="16"/>
  <c r="AC41" i="16" s="1"/>
  <c r="AC27" i="16"/>
  <c r="AC24" i="16"/>
  <c r="AC15" i="16"/>
  <c r="AC16" i="16" s="1"/>
  <c r="N70" i="16"/>
  <c r="N37" i="16"/>
  <c r="N41" i="16" s="1"/>
  <c r="N19" i="16"/>
  <c r="N24" i="16" s="1"/>
  <c r="H70" i="16"/>
  <c r="H46" i="16"/>
  <c r="H48" i="16" s="1"/>
  <c r="H27" i="16"/>
  <c r="H24" i="16"/>
  <c r="K48" i="16"/>
  <c r="K41" i="16"/>
  <c r="Z70" i="16"/>
  <c r="Z48" i="16"/>
  <c r="Z12" i="16"/>
  <c r="Z16" i="16" s="1"/>
  <c r="AH75" i="16"/>
  <c r="AG75" i="16"/>
  <c r="E82" i="16"/>
  <c r="W48" i="16"/>
  <c r="W41" i="16"/>
  <c r="E70" i="16"/>
  <c r="E44" i="16"/>
  <c r="AI42" i="16"/>
  <c r="AH42" i="16"/>
  <c r="AG42" i="16"/>
  <c r="E41" i="16"/>
  <c r="E27" i="16"/>
  <c r="E15" i="16"/>
  <c r="E16" i="16" s="1"/>
  <c r="D73" i="16"/>
  <c r="D67" i="16"/>
  <c r="D50" i="16"/>
  <c r="D53" i="16" s="1"/>
  <c r="D24" i="16"/>
  <c r="D15" i="16"/>
  <c r="M49" i="16" l="1"/>
  <c r="M76" i="16" s="1"/>
  <c r="I21" i="5"/>
  <c r="I23" i="5" s="1"/>
  <c r="AH12" i="16"/>
  <c r="J21" i="5"/>
  <c r="J23" i="5" s="1"/>
  <c r="Y76" i="16"/>
  <c r="V49" i="16"/>
  <c r="V76" i="16" s="1"/>
  <c r="AB49" i="16"/>
  <c r="S49" i="16"/>
  <c r="S76" i="16" s="1"/>
  <c r="G49" i="16"/>
  <c r="G76" i="16" s="1"/>
  <c r="AE49" i="16"/>
  <c r="AE76" i="16" s="1"/>
  <c r="D49" i="16"/>
  <c r="AB16" i="16"/>
  <c r="T49" i="16"/>
  <c r="T76" i="16" s="1"/>
  <c r="AF49" i="16"/>
  <c r="AF76" i="16" s="1"/>
  <c r="AC49" i="16"/>
  <c r="AC76" i="16" s="1"/>
  <c r="N49" i="16"/>
  <c r="N76" i="16" s="1"/>
  <c r="K49" i="16"/>
  <c r="K76" i="16" s="1"/>
  <c r="Z49" i="16"/>
  <c r="Z76" i="16" s="1"/>
  <c r="W49" i="16"/>
  <c r="W76" i="16" s="1"/>
  <c r="H49" i="16"/>
  <c r="H76" i="16" s="1"/>
  <c r="Q49" i="16"/>
  <c r="Q76" i="16" s="1"/>
  <c r="P16" i="16"/>
  <c r="P76" i="16" s="1"/>
  <c r="D16" i="16"/>
  <c r="C73" i="16"/>
  <c r="AG73" i="16" s="1"/>
  <c r="H17" i="5" s="1"/>
  <c r="C70" i="16"/>
  <c r="AG70" i="16" s="1"/>
  <c r="H16" i="5" s="1"/>
  <c r="AG67" i="16"/>
  <c r="H13" i="5" s="1"/>
  <c r="C55" i="16"/>
  <c r="AG55" i="16" s="1"/>
  <c r="C50" i="16"/>
  <c r="C53" i="16" s="1"/>
  <c r="AG53" i="16" s="1"/>
  <c r="H12" i="5" s="1"/>
  <c r="C46" i="16"/>
  <c r="C44" i="16"/>
  <c r="AG44" i="16" s="1"/>
  <c r="C15" i="16"/>
  <c r="AG15" i="16" s="1"/>
  <c r="AG12" i="16"/>
  <c r="C48" i="16"/>
  <c r="AG48" i="16" s="1"/>
  <c r="C37" i="16"/>
  <c r="AG37" i="16" s="1"/>
  <c r="C28" i="16"/>
  <c r="C27" i="16"/>
  <c r="AG27" i="16" s="1"/>
  <c r="C19" i="16"/>
  <c r="AG19" i="16" s="1"/>
  <c r="AI43" i="16"/>
  <c r="AH43" i="16"/>
  <c r="AI47" i="16"/>
  <c r="AI46" i="16"/>
  <c r="AI45" i="16"/>
  <c r="AH47" i="16"/>
  <c r="AH48" i="16"/>
  <c r="AH46" i="16"/>
  <c r="AH45" i="16"/>
  <c r="AI51" i="16"/>
  <c r="AH51" i="16"/>
  <c r="AI50" i="16"/>
  <c r="AH50" i="16"/>
  <c r="AI55" i="16"/>
  <c r="AI54" i="16"/>
  <c r="AI61" i="16"/>
  <c r="AH61" i="16"/>
  <c r="AI60" i="16"/>
  <c r="AH60" i="16"/>
  <c r="AI59" i="16"/>
  <c r="AH59" i="16"/>
  <c r="AI56" i="16"/>
  <c r="AH56" i="16"/>
  <c r="AH55" i="16"/>
  <c r="AH54" i="16"/>
  <c r="AI69" i="16"/>
  <c r="F16" i="14" s="1"/>
  <c r="F17" i="14" s="1"/>
  <c r="AH69" i="16"/>
  <c r="E16" i="14" s="1"/>
  <c r="E17" i="14" s="1"/>
  <c r="AI68" i="16"/>
  <c r="AH68" i="16"/>
  <c r="E11" i="14" s="1"/>
  <c r="E12" i="14" s="1"/>
  <c r="AI72" i="16"/>
  <c r="F29" i="14" s="1"/>
  <c r="F30" i="14" s="1"/>
  <c r="AH72" i="16"/>
  <c r="E29" i="14" s="1"/>
  <c r="E30" i="14" s="1"/>
  <c r="AI71" i="16"/>
  <c r="F27" i="14" s="1"/>
  <c r="F28" i="14" s="1"/>
  <c r="AH71" i="16"/>
  <c r="E27" i="14" s="1"/>
  <c r="E28" i="14" s="1"/>
  <c r="AI74" i="16"/>
  <c r="AH74" i="16"/>
  <c r="AG74" i="16"/>
  <c r="AH73" i="16"/>
  <c r="I17" i="5" s="1"/>
  <c r="AI70" i="16"/>
  <c r="AH70" i="16"/>
  <c r="I16" i="5" s="1"/>
  <c r="AI67" i="16"/>
  <c r="J13" i="5" s="1"/>
  <c r="AH67" i="16"/>
  <c r="I13" i="5" s="1"/>
  <c r="AI53" i="16"/>
  <c r="J12" i="5" s="1"/>
  <c r="AH53" i="16"/>
  <c r="I12" i="5" s="1"/>
  <c r="AI48" i="16"/>
  <c r="AI44" i="16"/>
  <c r="AH44" i="16"/>
  <c r="AI41" i="16"/>
  <c r="AH41" i="16"/>
  <c r="AI27" i="16"/>
  <c r="AH27" i="16"/>
  <c r="AH24" i="16"/>
  <c r="AI17" i="16"/>
  <c r="J10" i="5" s="1"/>
  <c r="AH17" i="16"/>
  <c r="I10" i="5" s="1"/>
  <c r="AG17" i="16"/>
  <c r="H10" i="5" s="1"/>
  <c r="AI16" i="16"/>
  <c r="J9" i="5" s="1"/>
  <c r="AI15" i="16"/>
  <c r="AH15" i="16"/>
  <c r="AI12" i="16"/>
  <c r="AG72" i="16"/>
  <c r="AG71" i="16"/>
  <c r="AG69" i="16"/>
  <c r="AG68" i="16"/>
  <c r="AG62" i="16"/>
  <c r="AG61" i="16"/>
  <c r="AG60" i="16"/>
  <c r="AG59" i="16"/>
  <c r="AG56" i="16"/>
  <c r="AG54" i="16"/>
  <c r="AG43" i="16"/>
  <c r="AG47" i="16"/>
  <c r="AG46" i="16"/>
  <c r="AG45" i="16"/>
  <c r="AI40" i="16"/>
  <c r="AH40" i="16"/>
  <c r="AI39" i="16"/>
  <c r="AH39" i="16"/>
  <c r="AI38" i="16"/>
  <c r="AH38" i="16"/>
  <c r="AI37" i="16"/>
  <c r="AH37" i="16"/>
  <c r="AI36" i="16"/>
  <c r="AH36" i="16"/>
  <c r="AI34" i="16"/>
  <c r="AH34" i="16"/>
  <c r="AI33" i="16"/>
  <c r="AH33" i="16"/>
  <c r="AI31" i="16"/>
  <c r="AH31" i="16"/>
  <c r="AH30" i="16"/>
  <c r="AI29" i="16"/>
  <c r="AH29" i="16"/>
  <c r="AI28" i="16"/>
  <c r="AH28" i="16"/>
  <c r="AG36" i="16"/>
  <c r="AG34" i="16"/>
  <c r="AG33" i="16"/>
  <c r="AG31" i="16"/>
  <c r="AG30" i="16"/>
  <c r="AG29" i="16"/>
  <c r="AI26" i="16"/>
  <c r="AH26" i="16"/>
  <c r="AI25" i="16"/>
  <c r="AH25" i="16"/>
  <c r="AG26" i="16"/>
  <c r="AG25" i="16"/>
  <c r="AH23" i="16"/>
  <c r="AI22" i="16"/>
  <c r="AJ22" i="16" s="1"/>
  <c r="AH22" i="16"/>
  <c r="AI21" i="16"/>
  <c r="AH21" i="16"/>
  <c r="AI20" i="16"/>
  <c r="AJ20" i="16" s="1"/>
  <c r="AH20" i="16"/>
  <c r="AH19" i="16"/>
  <c r="AH18" i="16"/>
  <c r="AG23" i="16"/>
  <c r="AG22" i="16"/>
  <c r="AG21" i="16"/>
  <c r="AG20" i="16"/>
  <c r="AG18" i="16"/>
  <c r="AG14" i="16"/>
  <c r="AG13" i="16"/>
  <c r="AI14" i="16"/>
  <c r="AH14" i="16"/>
  <c r="AI13" i="16"/>
  <c r="AH13" i="16"/>
  <c r="AI9" i="16"/>
  <c r="AH9" i="16"/>
  <c r="A22" i="5"/>
  <c r="E22" i="5"/>
  <c r="D22" i="5"/>
  <c r="C22" i="5"/>
  <c r="D21" i="5"/>
  <c r="C21" i="5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E30" i="17"/>
  <c r="D30" i="17"/>
  <c r="C30" i="17"/>
  <c r="AE30" i="17"/>
  <c r="D12" i="5" s="1"/>
  <c r="AD30" i="17"/>
  <c r="C12" i="5" s="1"/>
  <c r="AF30" i="17"/>
  <c r="E12" i="5" s="1"/>
  <c r="AF18" i="17"/>
  <c r="E16" i="5" s="1"/>
  <c r="E19" i="5" s="1"/>
  <c r="AD18" i="17"/>
  <c r="C16" i="5" s="1"/>
  <c r="AE18" i="17"/>
  <c r="D16" i="5" s="1"/>
  <c r="D19" i="5" s="1"/>
  <c r="E21" i="5"/>
  <c r="AD28" i="17"/>
  <c r="C11" i="5" s="1"/>
  <c r="AC28" i="17"/>
  <c r="AB28" i="17"/>
  <c r="AA28" i="17"/>
  <c r="Z28" i="17"/>
  <c r="Y28" i="17"/>
  <c r="X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F28" i="17"/>
  <c r="C28" i="17"/>
  <c r="AC21" i="17"/>
  <c r="AC23" i="17" s="1"/>
  <c r="AB21" i="17"/>
  <c r="AB23" i="17" s="1"/>
  <c r="AA21" i="17"/>
  <c r="AA23" i="17" s="1"/>
  <c r="Z21" i="17"/>
  <c r="Z23" i="17" s="1"/>
  <c r="Y21" i="17"/>
  <c r="Y23" i="17" s="1"/>
  <c r="X21" i="17"/>
  <c r="X23" i="17" s="1"/>
  <c r="W21" i="17"/>
  <c r="W23" i="17" s="1"/>
  <c r="V21" i="17"/>
  <c r="V23" i="17" s="1"/>
  <c r="U21" i="17"/>
  <c r="U23" i="17" s="1"/>
  <c r="T21" i="17"/>
  <c r="T23" i="17" s="1"/>
  <c r="S21" i="17"/>
  <c r="S23" i="17" s="1"/>
  <c r="R21" i="17"/>
  <c r="R23" i="17" s="1"/>
  <c r="Q21" i="17"/>
  <c r="Q23" i="17" s="1"/>
  <c r="P21" i="17"/>
  <c r="P23" i="17" s="1"/>
  <c r="O21" i="17"/>
  <c r="O23" i="17" s="1"/>
  <c r="N21" i="17"/>
  <c r="N23" i="17" s="1"/>
  <c r="M21" i="17"/>
  <c r="M23" i="17" s="1"/>
  <c r="L21" i="17"/>
  <c r="L23" i="17" s="1"/>
  <c r="K21" i="17"/>
  <c r="K23" i="17" s="1"/>
  <c r="J21" i="17"/>
  <c r="J23" i="17" s="1"/>
  <c r="I21" i="17"/>
  <c r="I23" i="17" s="1"/>
  <c r="H21" i="17"/>
  <c r="H23" i="17" s="1"/>
  <c r="G21" i="17"/>
  <c r="G23" i="17" s="1"/>
  <c r="E21" i="17"/>
  <c r="E23" i="17" s="1"/>
  <c r="D21" i="17"/>
  <c r="D23" i="17" s="1"/>
  <c r="AC14" i="17"/>
  <c r="AC16" i="17" s="1"/>
  <c r="AB14" i="17"/>
  <c r="AB16" i="17" s="1"/>
  <c r="AA14" i="17"/>
  <c r="AA16" i="17" s="1"/>
  <c r="Z14" i="17"/>
  <c r="Z16" i="17" s="1"/>
  <c r="Y14" i="17"/>
  <c r="Y16" i="17" s="1"/>
  <c r="X14" i="17"/>
  <c r="X16" i="17" s="1"/>
  <c r="W14" i="17"/>
  <c r="W16" i="17" s="1"/>
  <c r="V14" i="17"/>
  <c r="V16" i="17" s="1"/>
  <c r="U14" i="17"/>
  <c r="U16" i="17" s="1"/>
  <c r="T14" i="17"/>
  <c r="T16" i="17" s="1"/>
  <c r="S14" i="17"/>
  <c r="S16" i="17" s="1"/>
  <c r="R14" i="17"/>
  <c r="R16" i="17" s="1"/>
  <c r="Q14" i="17"/>
  <c r="Q16" i="17" s="1"/>
  <c r="P14" i="17"/>
  <c r="P16" i="17" s="1"/>
  <c r="O14" i="17"/>
  <c r="O16" i="17" s="1"/>
  <c r="N14" i="17"/>
  <c r="N16" i="17" s="1"/>
  <c r="M14" i="17"/>
  <c r="M16" i="17" s="1"/>
  <c r="L14" i="17"/>
  <c r="L16" i="17" s="1"/>
  <c r="K14" i="17"/>
  <c r="K16" i="17" s="1"/>
  <c r="J14" i="17"/>
  <c r="J16" i="17" s="1"/>
  <c r="I14" i="17"/>
  <c r="I16" i="17" s="1"/>
  <c r="H14" i="17"/>
  <c r="H16" i="17" s="1"/>
  <c r="G14" i="17"/>
  <c r="G16" i="17" s="1"/>
  <c r="F14" i="17"/>
  <c r="F16" i="17" s="1"/>
  <c r="E14" i="17"/>
  <c r="E16" i="17" s="1"/>
  <c r="D14" i="17"/>
  <c r="C14" i="17"/>
  <c r="C16" i="17" s="1"/>
  <c r="E19" i="14" l="1"/>
  <c r="E23" i="14" s="1"/>
  <c r="E31" i="14"/>
  <c r="F31" i="14"/>
  <c r="F11" i="14"/>
  <c r="F12" i="14" s="1"/>
  <c r="C41" i="16"/>
  <c r="AG41" i="16" s="1"/>
  <c r="F31" i="17"/>
  <c r="F34" i="17" s="1"/>
  <c r="H31" i="17"/>
  <c r="H34" i="17" s="1"/>
  <c r="Q31" i="17"/>
  <c r="Q34" i="17" s="1"/>
  <c r="T31" i="17"/>
  <c r="T34" i="17" s="1"/>
  <c r="I31" i="17"/>
  <c r="I34" i="17" s="1"/>
  <c r="M31" i="17"/>
  <c r="M34" i="17" s="1"/>
  <c r="V31" i="17"/>
  <c r="V34" i="17" s="1"/>
  <c r="P31" i="17"/>
  <c r="P34" i="17" s="1"/>
  <c r="N31" i="17"/>
  <c r="N34" i="17" s="1"/>
  <c r="O31" i="17"/>
  <c r="O34" i="17" s="1"/>
  <c r="S31" i="17"/>
  <c r="S34" i="17" s="1"/>
  <c r="AA31" i="17"/>
  <c r="AA34" i="17" s="1"/>
  <c r="AG50" i="16"/>
  <c r="C24" i="16"/>
  <c r="AG24" i="16" s="1"/>
  <c r="AB76" i="16"/>
  <c r="AH49" i="16"/>
  <c r="I11" i="5" s="1"/>
  <c r="D76" i="16"/>
  <c r="E11" i="5"/>
  <c r="E31" i="17"/>
  <c r="E34" i="17" s="1"/>
  <c r="J16" i="5"/>
  <c r="F19" i="14"/>
  <c r="F23" i="14" s="1"/>
  <c r="AH16" i="16"/>
  <c r="I9" i="5" s="1"/>
  <c r="AG28" i="16"/>
  <c r="C16" i="16"/>
  <c r="J31" i="17"/>
  <c r="J34" i="17" s="1"/>
  <c r="D16" i="17"/>
  <c r="D23" i="5"/>
  <c r="E23" i="5"/>
  <c r="I19" i="5"/>
  <c r="W31" i="17"/>
  <c r="W34" i="17" s="1"/>
  <c r="L31" i="17"/>
  <c r="L34" i="17" s="1"/>
  <c r="AC31" i="17"/>
  <c r="AC34" i="17" s="1"/>
  <c r="U31" i="17"/>
  <c r="U34" i="17" s="1"/>
  <c r="Y31" i="17"/>
  <c r="Y34" i="17" s="1"/>
  <c r="R31" i="17"/>
  <c r="R34" i="17" s="1"/>
  <c r="Z31" i="17"/>
  <c r="Z34" i="17" s="1"/>
  <c r="G31" i="17"/>
  <c r="G34" i="17" s="1"/>
  <c r="K31" i="17"/>
  <c r="K34" i="17" s="1"/>
  <c r="X31" i="17"/>
  <c r="X34" i="17" s="1"/>
  <c r="AB31" i="17"/>
  <c r="AB34" i="17" s="1"/>
  <c r="D11" i="5"/>
  <c r="C9" i="5"/>
  <c r="C21" i="17"/>
  <c r="AH76" i="16" l="1"/>
  <c r="C49" i="16"/>
  <c r="AG49" i="16" s="1"/>
  <c r="H11" i="5" s="1"/>
  <c r="C23" i="17"/>
  <c r="C31" i="17" s="1"/>
  <c r="C34" i="17" s="1"/>
  <c r="AD21" i="17"/>
  <c r="AD23" i="17" s="1"/>
  <c r="AE21" i="17"/>
  <c r="AE23" i="17" s="1"/>
  <c r="D31" i="17"/>
  <c r="D34" i="17" s="1"/>
  <c r="AG16" i="16"/>
  <c r="H9" i="5" s="1"/>
  <c r="I14" i="5"/>
  <c r="I24" i="5" s="1"/>
  <c r="AF21" i="17"/>
  <c r="AF23" i="17" s="1"/>
  <c r="AF14" i="17"/>
  <c r="E13" i="5" s="1"/>
  <c r="AD14" i="17"/>
  <c r="C13" i="5" s="1"/>
  <c r="AE14" i="17"/>
  <c r="D13" i="5" s="1"/>
  <c r="E9" i="5"/>
  <c r="D9" i="5"/>
  <c r="D4" i="14"/>
  <c r="D24" i="14" s="1"/>
  <c r="D8" i="14"/>
  <c r="D12" i="14"/>
  <c r="D17" i="14"/>
  <c r="D28" i="14"/>
  <c r="D30" i="14"/>
  <c r="D31" i="14"/>
  <c r="F4" i="14"/>
  <c r="F24" i="14" s="1"/>
  <c r="E4" i="14"/>
  <c r="E24" i="14" s="1"/>
  <c r="J7" i="5"/>
  <c r="I7" i="5"/>
  <c r="H7" i="5"/>
  <c r="C76" i="16" l="1"/>
  <c r="AG76" i="16" s="1"/>
  <c r="E10" i="5"/>
  <c r="E14" i="5" s="1"/>
  <c r="E24" i="5" s="1"/>
  <c r="AD16" i="17"/>
  <c r="AD31" i="17" s="1"/>
  <c r="AD34" i="17" s="1"/>
  <c r="D10" i="5"/>
  <c r="D14" i="5" s="1"/>
  <c r="D24" i="5" s="1"/>
  <c r="C10" i="5"/>
  <c r="AF16" i="17"/>
  <c r="AE16" i="17"/>
  <c r="AE31" i="17" s="1"/>
  <c r="AE34" i="17" s="1"/>
  <c r="D14" i="14"/>
  <c r="D19" i="14" s="1"/>
  <c r="D23" i="14" s="1"/>
  <c r="AF31" i="17" l="1"/>
  <c r="AF34" i="17" s="1"/>
  <c r="C32" i="13"/>
  <c r="C14" i="5" l="1"/>
  <c r="H14" i="5"/>
  <c r="C19" i="5"/>
  <c r="H19" i="5"/>
  <c r="C23" i="5"/>
  <c r="H23" i="5"/>
  <c r="C24" i="5" l="1"/>
  <c r="H24" i="5"/>
  <c r="AI19" i="16"/>
  <c r="AI23" i="16"/>
  <c r="E24" i="16" l="1"/>
  <c r="AI18" i="16"/>
  <c r="AI24" i="16" l="1"/>
  <c r="E49" i="16"/>
  <c r="AI49" i="16" l="1"/>
  <c r="J11" i="5" s="1"/>
  <c r="J14" i="5" s="1"/>
  <c r="AI73" i="16"/>
  <c r="J17" i="5" s="1"/>
  <c r="J19" i="5" s="1"/>
  <c r="E76" i="16"/>
  <c r="AI76" i="16" s="1"/>
  <c r="J24" i="5" l="1"/>
  <c r="J25" i="5" s="1"/>
</calcChain>
</file>

<file path=xl/sharedStrings.xml><?xml version="1.0" encoding="utf-8"?>
<sst xmlns="http://schemas.openxmlformats.org/spreadsheetml/2006/main" count="323" uniqueCount="232">
  <si>
    <t>Felújítás</t>
  </si>
  <si>
    <t>Beruházás</t>
  </si>
  <si>
    <t>Személyi  juttatások</t>
  </si>
  <si>
    <t>Pénzmaradvány</t>
  </si>
  <si>
    <t>Felhalmozási bevételek</t>
  </si>
  <si>
    <t>Működési célú átvett pénzeszközök</t>
  </si>
  <si>
    <t>Működési bevételek</t>
  </si>
  <si>
    <t>Közhatalmi bevételek</t>
  </si>
  <si>
    <t>Megnevezés</t>
  </si>
  <si>
    <t>KÖLTSÉGVETÉSI KIADÁSOK MINDÖSSZESEN</t>
  </si>
  <si>
    <t>KÖLTSÉGVETÉSI BEVÉTELEK MINDÖSSZESEN</t>
  </si>
  <si>
    <t>FINANSZÍROZÁSI KIADÁSOK</t>
  </si>
  <si>
    <t>FINANSZÍROZÁSI BEVÉTELEK</t>
  </si>
  <si>
    <t>K9</t>
  </si>
  <si>
    <t xml:space="preserve">Finanszírozási kiadások                           </t>
  </si>
  <si>
    <t>B813</t>
  </si>
  <si>
    <t>F I N A N S Z Í R O Z Á S I   M Ű V E L E T E K</t>
  </si>
  <si>
    <t>KÖLTSÉGVETÉSI FELHALMOZÁSI CÉLÚ KIADÁSOK ÖSSZESEN</t>
  </si>
  <si>
    <t>KÖLTSÉGVETÉSI FELHALMOZÁSI CÉLÚ BEVÉTELEK ÖSSZESEN</t>
  </si>
  <si>
    <t>K8</t>
  </si>
  <si>
    <t>Egyéb felhalmozási célú kiadások</t>
  </si>
  <si>
    <t>B7</t>
  </si>
  <si>
    <t>Felhalmozási célú  átvett pénzeszközök</t>
  </si>
  <si>
    <t>K7</t>
  </si>
  <si>
    <t>B5</t>
  </si>
  <si>
    <t>K6</t>
  </si>
  <si>
    <t>B2</t>
  </si>
  <si>
    <t>Felhalmozási célú támogatások államháztartáson belülről</t>
  </si>
  <si>
    <t>F E L H A L M O Z Á S</t>
  </si>
  <si>
    <t>KÖLTSÉGVETÉSI    MŰKÖDÉSI CÉLÚ KIADÁSOK ÖSSZESEN</t>
  </si>
  <si>
    <t>KÖLTSÉGVETÉSI MŰKÖDÉSI CÉLÚ BEVÉTELEK ÖSSZESEN</t>
  </si>
  <si>
    <t>K5</t>
  </si>
  <si>
    <t>Egyéb működési  célú kiadások</t>
  </si>
  <si>
    <t>Önkormányzatok költségvetési támogatása</t>
  </si>
  <si>
    <t>K4</t>
  </si>
  <si>
    <t xml:space="preserve">Ellátottak pénzbeli juttatásai           </t>
  </si>
  <si>
    <t>B6</t>
  </si>
  <si>
    <t>K3</t>
  </si>
  <si>
    <t>Dologi kiadások</t>
  </si>
  <si>
    <t>B4</t>
  </si>
  <si>
    <t>K2</t>
  </si>
  <si>
    <t>Munkaadókat terhelő járulékok és szociális hozzájárulás adója</t>
  </si>
  <si>
    <t>B3</t>
  </si>
  <si>
    <t>K1</t>
  </si>
  <si>
    <t>B1</t>
  </si>
  <si>
    <t>Működési célú támogatások államháztartáson belülről</t>
  </si>
  <si>
    <t>M Ű K Ö D T E T É S</t>
  </si>
  <si>
    <t>Rovat száma</t>
  </si>
  <si>
    <t>K I A D Á S O K</t>
  </si>
  <si>
    <t>B E V É T E L E K</t>
  </si>
  <si>
    <t>Összesen:</t>
  </si>
  <si>
    <t>Egyéb kölcsön elengedése</t>
  </si>
  <si>
    <t>Egyéb kedvezmény</t>
  </si>
  <si>
    <t>Eszközök hasznosítása utáni kedvezmény, menteség</t>
  </si>
  <si>
    <t>Helyiségek hasznosítása utáni kedvezmény, menteség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</si>
  <si>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</si>
  <si>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</si>
  <si>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</si>
  <si>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</si>
  <si>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</si>
  <si>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Vállalkozók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</si>
  <si>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</si>
  <si>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</si>
  <si>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</si>
  <si>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</si>
  <si>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</si>
  <si>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</si>
  <si>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</si>
  <si>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</si>
  <si>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Bevételi jogcím</t>
  </si>
  <si>
    <t>Sorszám</t>
  </si>
  <si>
    <t>összesen</t>
  </si>
  <si>
    <t xml:space="preserve">5. Melléklet </t>
  </si>
  <si>
    <t xml:space="preserve">4. melléklet </t>
  </si>
  <si>
    <t>Ingatlanok felújítása</t>
  </si>
  <si>
    <t>Összes bevétel</t>
  </si>
  <si>
    <t>1. Ingatlanok felújítása</t>
  </si>
  <si>
    <t>Konkrét felújítási cél</t>
  </si>
  <si>
    <t>FELÚJÍTÁSOK</t>
  </si>
  <si>
    <t>Konkrét felhalmozási cél</t>
  </si>
  <si>
    <t>BERUHÁZÁSOK</t>
  </si>
  <si>
    <t xml:space="preserve">3. Melléklet </t>
  </si>
  <si>
    <t>FELÚJÍTÁSOK ÖSSZESEN:</t>
  </si>
  <si>
    <t>Felújítás áfája</t>
  </si>
  <si>
    <t>FELHALMOZÁSI KIADÁSOK ÖSSZESEN:</t>
  </si>
  <si>
    <t>Ingatlan felújítása</t>
  </si>
  <si>
    <t>1-8</t>
  </si>
  <si>
    <t>Felújítási célú áfa</t>
  </si>
  <si>
    <t>Beruházási áfa</t>
  </si>
  <si>
    <t>Müködési célú tám. Áh-n belül</t>
  </si>
  <si>
    <t>Ellátottak pénzbeli juttatása</t>
  </si>
  <si>
    <t xml:space="preserve">Egyéb nem intézményi ellátások </t>
  </si>
  <si>
    <t>Dologi kiadások összesen</t>
  </si>
  <si>
    <t>Különféle befizetések és egyéb dologi kiadások 34-38</t>
  </si>
  <si>
    <t xml:space="preserve">     - biztosítási díj</t>
  </si>
  <si>
    <t>Egyéb dologi kiadások</t>
  </si>
  <si>
    <t>Kiküldetések kiadásai</t>
  </si>
  <si>
    <t xml:space="preserve">     - egyéb üzemeltetés</t>
  </si>
  <si>
    <t xml:space="preserve">     - bank ktg.</t>
  </si>
  <si>
    <t xml:space="preserve">Szakmai tevékenységet segítő szolgáltatások </t>
  </si>
  <si>
    <t>Karbantartás, kisjavítási szolg.</t>
  </si>
  <si>
    <t xml:space="preserve">     -áram</t>
  </si>
  <si>
    <t xml:space="preserve">      -gáz</t>
  </si>
  <si>
    <t xml:space="preserve">      -vízdíj</t>
  </si>
  <si>
    <t>Közüzemi díjak</t>
  </si>
  <si>
    <t xml:space="preserve">      -irodaszer, nyomtatvány</t>
  </si>
  <si>
    <t xml:space="preserve">      -munkaruha, védőruha</t>
  </si>
  <si>
    <t xml:space="preserve">      -üzemanyag</t>
  </si>
  <si>
    <t>Szakmai anyagok beszerz.</t>
  </si>
  <si>
    <t>Személyi juttatások összesen:</t>
  </si>
  <si>
    <t>fogl.egyéb személyi juttatásai</t>
  </si>
  <si>
    <t>Béren kivüli juttatások</t>
  </si>
  <si>
    <t>Illetmények</t>
  </si>
  <si>
    <t>szakfeladat</t>
  </si>
  <si>
    <t>082044</t>
  </si>
  <si>
    <t>041233</t>
  </si>
  <si>
    <t>013320</t>
  </si>
  <si>
    <t>066020</t>
  </si>
  <si>
    <t>064010</t>
  </si>
  <si>
    <t>korm.funk.</t>
  </si>
  <si>
    <t>könyvtár</t>
  </si>
  <si>
    <t>start</t>
  </si>
  <si>
    <t>köztemető</t>
  </si>
  <si>
    <t>szociális ellátás</t>
  </si>
  <si>
    <t>egészségügy</t>
  </si>
  <si>
    <t>közvilágítás</t>
  </si>
  <si>
    <t>igazgatás</t>
  </si>
  <si>
    <t xml:space="preserve">Előző év költségvetési maradványának igénybevétele </t>
  </si>
  <si>
    <t>1-7</t>
  </si>
  <si>
    <t xml:space="preserve">Költségvetési bevételek </t>
  </si>
  <si>
    <t xml:space="preserve">Működési bevételek </t>
  </si>
  <si>
    <t xml:space="preserve">Kamatbevételek </t>
  </si>
  <si>
    <t xml:space="preserve">Közhatalmi bevételek </t>
  </si>
  <si>
    <t xml:space="preserve">Termékek és szolgáltatások adói </t>
  </si>
  <si>
    <t xml:space="preserve">Gépjárműadók </t>
  </si>
  <si>
    <t xml:space="preserve">Értékesítési és forgalmi adók 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</si>
  <si>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</si>
  <si>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</si>
  <si>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Önkormányzatok működési támogatásai </t>
  </si>
  <si>
    <t xml:space="preserve">Helyi önkormányzatok kiegészítő támogatásai </t>
  </si>
  <si>
    <t xml:space="preserve">Működési célú központosított előirányzatok </t>
  </si>
  <si>
    <t xml:space="preserve">Települési önkormányzatok kulturális feladatainak támogatása </t>
  </si>
  <si>
    <t xml:space="preserve">Települési önkormányzatok szociális gyermekjóléti és gyermekétkeztetési  feladatainak támogatása </t>
  </si>
  <si>
    <t xml:space="preserve">Helyi önkormányzatok működésének általános támogatása </t>
  </si>
  <si>
    <t>B</t>
  </si>
  <si>
    <t>BEVÉTELEK</t>
  </si>
  <si>
    <t xml:space="preserve">1. Melléklet </t>
  </si>
  <si>
    <t>közműv. tev. és támog.</t>
  </si>
  <si>
    <t>018010</t>
  </si>
  <si>
    <t>Egyéb bevétel</t>
  </si>
  <si>
    <t>Költségvetési bevételek összesen:</t>
  </si>
  <si>
    <t>városközség. gazd</t>
  </si>
  <si>
    <t>011130</t>
  </si>
  <si>
    <t>082091</t>
  </si>
  <si>
    <t>KIADÁSOK</t>
  </si>
  <si>
    <t>K</t>
  </si>
  <si>
    <t xml:space="preserve">Foglalk.szmély jut. Összesen </t>
  </si>
  <si>
    <t>Választott tisztségviselők juttatásai</t>
  </si>
  <si>
    <t>Munkavég.írányuló e. jogv.fogl.fiz.jutt.</t>
  </si>
  <si>
    <t>Külső személyi juttatások 11-13</t>
  </si>
  <si>
    <t>Munkaadót terhelő szoc.hjár adó</t>
  </si>
  <si>
    <t xml:space="preserve">Készletbeszerzés </t>
  </si>
  <si>
    <t xml:space="preserve">Kommunikációs szolg. </t>
  </si>
  <si>
    <t>Bérleti és lízing díjak</t>
  </si>
  <si>
    <t>Egyéb szolgáltatás</t>
  </si>
  <si>
    <t xml:space="preserve">Szolgáltatási kiadások </t>
  </si>
  <si>
    <t xml:space="preserve">Kiküldetések , reklámok és prop. </t>
  </si>
  <si>
    <t xml:space="preserve">     -egyéb dologi, kerekítési különbözet</t>
  </si>
  <si>
    <t xml:space="preserve">    -települési támogatás</t>
  </si>
  <si>
    <t xml:space="preserve">    -orvosi ügyelet díj</t>
  </si>
  <si>
    <t xml:space="preserve">Egyéb műkődési célú kidások </t>
  </si>
  <si>
    <t>Egyéb tárgyi eszközök beszerzése, létes.</t>
  </si>
  <si>
    <t xml:space="preserve">Beruházások </t>
  </si>
  <si>
    <t xml:space="preserve">Felújítások </t>
  </si>
  <si>
    <t>Ktgvetési kiadások</t>
  </si>
  <si>
    <t xml:space="preserve">Start program gépek,berend.,egyéb berendezések </t>
  </si>
  <si>
    <t>( Ft-ban)</t>
  </si>
  <si>
    <t>Müködési célú tám. Áh-n kívül</t>
  </si>
  <si>
    <t>074032</t>
  </si>
  <si>
    <t xml:space="preserve">      -egyéb </t>
  </si>
  <si>
    <t>Működési célú le nem vonható ÁFA</t>
  </si>
  <si>
    <t xml:space="preserve">39. Felhalmozási kiadások összesen (felújítási kiadások nélkül) </t>
  </si>
  <si>
    <t>Egyéb gép,berendezés vásárlás</t>
  </si>
  <si>
    <t xml:space="preserve"> Ingatlanok vásárlása, létesítése </t>
  </si>
  <si>
    <t xml:space="preserve"> Gépek, berendezések és felszerelések vásárlása, létesítése</t>
  </si>
  <si>
    <t xml:space="preserve"> Intézményi beruházási kiadások áfa kiadások nélkül </t>
  </si>
  <si>
    <t xml:space="preserve"> Beruházási kiadások összesen (felújítási kiadások nélkül) </t>
  </si>
  <si>
    <t xml:space="preserve"> Befektetési célú részesedés vásárlása</t>
  </si>
  <si>
    <t>városközség.gazd</t>
  </si>
  <si>
    <t>Visszafizetési kötelezettség MÁK felé</t>
  </si>
  <si>
    <t xml:space="preserve">    - Villányi Mikrot.Szoc.Társ. Óvodafenntartó társ</t>
  </si>
  <si>
    <t>Tartalékok</t>
  </si>
  <si>
    <t>2019. évi módosított előirányzat</t>
  </si>
  <si>
    <t>2019. évi eredeti előirányzat</t>
  </si>
  <si>
    <t>2019.évi tény</t>
  </si>
  <si>
    <t>2019. eredeti előirányzat</t>
  </si>
  <si>
    <t>2019.évi módosított előirányzat</t>
  </si>
  <si>
    <t>2019. évi tény</t>
  </si>
  <si>
    <t xml:space="preserve">Felhalmozási célú támogatások államháztartáson belülről </t>
  </si>
  <si>
    <t xml:space="preserve">Egyéb felhalmozási célú támogatások bevételei államháztartáson belülről </t>
  </si>
  <si>
    <t>Egyéb működési célú átvett pénzeszköz</t>
  </si>
  <si>
    <t>Államháztartáson belüli megelőlegezések</t>
  </si>
  <si>
    <t>B814</t>
  </si>
  <si>
    <r>
      <t xml:space="preserve">Üzemeltetési anyagok beszerz. </t>
    </r>
    <r>
      <rPr>
        <i/>
        <sz val="9"/>
        <rFont val="Times New Roman"/>
        <family val="1"/>
        <charset val="238"/>
      </rPr>
      <t>(üzemanyag)</t>
    </r>
  </si>
  <si>
    <r>
      <t xml:space="preserve">Informatikai szolgált. </t>
    </r>
    <r>
      <rPr>
        <i/>
        <sz val="9"/>
        <rFont val="Times New Roman"/>
        <family val="1"/>
        <charset val="238"/>
      </rPr>
      <t>(internet)</t>
    </r>
  </si>
  <si>
    <r>
      <t xml:space="preserve">Egyéb komm.szolg. </t>
    </r>
    <r>
      <rPr>
        <i/>
        <sz val="9"/>
        <rFont val="Times New Roman"/>
        <family val="1"/>
        <charset val="238"/>
      </rPr>
      <t>(telefon)</t>
    </r>
  </si>
  <si>
    <t>Reklám kiadásai</t>
  </si>
  <si>
    <t>Megelőlegezések visszafizetése</t>
  </si>
  <si>
    <t>Közvetített szolgáltatás</t>
  </si>
  <si>
    <t>Gyermekvédelmi támogatás</t>
  </si>
  <si>
    <t>Vásárolt élelmezés</t>
  </si>
  <si>
    <t>MARADVÁNY</t>
  </si>
  <si>
    <t>Óvodafenntartó Társulás</t>
  </si>
  <si>
    <t>2.melléklet</t>
  </si>
  <si>
    <t>107090</t>
  </si>
  <si>
    <t>Romák társ.-i integráció.elősegítő</t>
  </si>
  <si>
    <t xml:space="preserve">    -Mecsek Dráva Önk.Társ.</t>
  </si>
  <si>
    <t>Ingatlanok vásárlása</t>
  </si>
  <si>
    <t>Drávacsehi Község Önkormányzata 2019. évi bevételek</t>
  </si>
  <si>
    <t>3/2020.(VI.16.) önkormányzati rendelet</t>
  </si>
  <si>
    <t>Drávacsehi Község Önkormányzata 2019. évi kiadások</t>
  </si>
  <si>
    <t>Drávacsehi Község Önkormányzata beruházások, felújítások 2019. évi előirányzata</t>
  </si>
  <si>
    <t>Drávacsehi Község  Önkormányzata 2019. évi költségvetés pénzforgalmi mérleg</t>
  </si>
  <si>
    <t>Drávacsehi Község Önkormányzata által adott 2019. évi közvetett támogatások</t>
  </si>
  <si>
    <t xml:space="preserve"> Polgárőrség</t>
  </si>
  <si>
    <t>Dél-Baranyai határmenti Tel. Egy.</t>
  </si>
  <si>
    <t>Egyéb közhatalmi bevételek</t>
  </si>
  <si>
    <t>Készletértékesítés ellenértéke</t>
  </si>
  <si>
    <t>Szolgáltatás ellenértéke</t>
  </si>
  <si>
    <t>Nefele - Lakossági víz - és csatornaszolgáltatás</t>
  </si>
  <si>
    <t>Bőköz fesztivál támogatása</t>
  </si>
  <si>
    <t>Horvátországi kirándulás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</si>
</sst>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_-* #,##0\ _H_U_F_-;\-* #,##0\ _H_U_F_-;_-* &quot;-&quot;\ _H_U_F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MS Sans Serif"/>
      <charset val="238"/>
    </font>
    <font>
      <sz val="6"/>
      <name val="MS Sans Serif"/>
      <family val="2"/>
      <charset val="238"/>
    </font>
    <font>
      <sz val="8"/>
      <name val="Arial"/>
      <family val="2"/>
      <charset val="238"/>
    </font>
    <font>
      <i/>
      <sz val="9"/>
      <name val="Times New Roman"/>
      <family val="1"/>
      <charset val="238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3" fillId="0" borderId="0"/>
    <xf numFmtId="0" fontId="21" fillId="0" borderId="0"/>
    <xf numFmtId="0" fontId="25" fillId="0" borderId="0"/>
  </cellStyleXfs>
  <cellXfs count="178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" fontId="1" fillId="0" borderId="0" xfId="1" applyNumberFormat="1"/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8" fillId="0" borderId="0" xfId="1" applyFont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6" fillId="0" borderId="0" xfId="0" applyFont="1"/>
    <xf numFmtId="0" fontId="3" fillId="0" borderId="0" xfId="3" applyFont="1"/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5" fillId="4" borderId="0" xfId="3" applyFont="1" applyFill="1"/>
    <xf numFmtId="0" fontId="5" fillId="0" borderId="0" xfId="3" applyFont="1"/>
    <xf numFmtId="0" fontId="5" fillId="0" borderId="0" xfId="3" applyFont="1" applyAlignment="1">
      <alignment horizontal="center"/>
    </xf>
    <xf numFmtId="0" fontId="3" fillId="4" borderId="0" xfId="3" applyFont="1" applyFill="1"/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3" fontId="3" fillId="0" borderId="1" xfId="1" applyNumberFormat="1" applyFont="1" applyBorder="1" applyAlignment="1">
      <alignment vertical="center" wrapText="1"/>
    </xf>
    <xf numFmtId="0" fontId="12" fillId="0" borderId="0" xfId="3" applyFont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3" fontId="3" fillId="0" borderId="0" xfId="1" applyNumberFormat="1" applyFont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Alignment="1"/>
    <xf numFmtId="0" fontId="18" fillId="8" borderId="1" xfId="0" applyFont="1" applyFill="1" applyBorder="1" applyAlignment="1">
      <alignment wrapText="1"/>
    </xf>
    <xf numFmtId="0" fontId="18" fillId="8" borderId="3" xfId="0" applyFont="1" applyFill="1" applyBorder="1" applyAlignment="1">
      <alignment horizontal="right" wrapText="1"/>
    </xf>
    <xf numFmtId="3" fontId="2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164" fontId="17" fillId="8" borderId="3" xfId="0" applyNumberFormat="1" applyFont="1" applyFill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center" vertical="center"/>
    </xf>
    <xf numFmtId="49" fontId="3" fillId="5" borderId="1" xfId="3" applyNumberFormat="1" applyFont="1" applyFill="1" applyBorder="1" applyAlignment="1">
      <alignment horizontal="center" vertical="center"/>
    </xf>
    <xf numFmtId="0" fontId="5" fillId="6" borderId="1" xfId="3" applyFont="1" applyFill="1" applyBorder="1" applyAlignment="1">
      <alignment horizontal="left" vertical="center" wrapText="1"/>
    </xf>
    <xf numFmtId="49" fontId="3" fillId="6" borderId="1" xfId="3" applyNumberFormat="1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41" fontId="23" fillId="0" borderId="1" xfId="3" applyNumberFormat="1" applyFont="1" applyBorder="1" applyAlignment="1">
      <alignment vertical="center"/>
    </xf>
    <xf numFmtId="41" fontId="23" fillId="0" borderId="3" xfId="3" applyNumberFormat="1" applyFont="1" applyBorder="1" applyAlignment="1">
      <alignment vertical="center"/>
    </xf>
    <xf numFmtId="41" fontId="23" fillId="5" borderId="1" xfId="3" applyNumberFormat="1" applyFont="1" applyFill="1" applyBorder="1" applyAlignment="1">
      <alignment vertical="center"/>
    </xf>
    <xf numFmtId="41" fontId="23" fillId="6" borderId="1" xfId="3" applyNumberFormat="1" applyFont="1" applyFill="1" applyBorder="1" applyAlignment="1">
      <alignment vertical="center"/>
    </xf>
    <xf numFmtId="41" fontId="23" fillId="0" borderId="3" xfId="3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8" borderId="3" xfId="0" applyFont="1" applyFill="1" applyBorder="1" applyAlignment="1">
      <alignment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/>
    </xf>
    <xf numFmtId="41" fontId="7" fillId="0" borderId="1" xfId="3" applyNumberFormat="1" applyFont="1" applyBorder="1" applyAlignment="1">
      <alignment vertical="center" wrapText="1"/>
    </xf>
    <xf numFmtId="41" fontId="7" fillId="0" borderId="2" xfId="3" applyNumberFormat="1" applyFont="1" applyBorder="1" applyAlignment="1">
      <alignment vertical="center" wrapText="1"/>
    </xf>
    <xf numFmtId="41" fontId="7" fillId="0" borderId="2" xfId="3" applyNumberFormat="1" applyFont="1" applyBorder="1" applyAlignment="1">
      <alignment vertical="center"/>
    </xf>
    <xf numFmtId="0" fontId="12" fillId="0" borderId="0" xfId="3" applyFont="1"/>
    <xf numFmtId="0" fontId="12" fillId="4" borderId="0" xfId="3" applyFont="1" applyFill="1"/>
    <xf numFmtId="0" fontId="7" fillId="0" borderId="0" xfId="3" applyFont="1"/>
    <xf numFmtId="0" fontId="12" fillId="4" borderId="1" xfId="3" applyFont="1" applyFill="1" applyBorder="1" applyAlignment="1">
      <alignment vertical="center" wrapText="1"/>
    </xf>
    <xf numFmtId="0" fontId="7" fillId="4" borderId="1" xfId="3" applyFont="1" applyFill="1" applyBorder="1" applyAlignment="1">
      <alignment horizontal="center" vertical="center"/>
    </xf>
    <xf numFmtId="41" fontId="12" fillId="4" borderId="1" xfId="3" applyNumberFormat="1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/>
    </xf>
    <xf numFmtId="41" fontId="24" fillId="0" borderId="1" xfId="3" applyNumberFormat="1" applyFont="1" applyBorder="1" applyAlignment="1">
      <alignment vertical="center" wrapText="1"/>
    </xf>
    <xf numFmtId="49" fontId="24" fillId="0" borderId="1" xfId="3" applyNumberFormat="1" applyFont="1" applyBorder="1" applyAlignment="1">
      <alignment vertical="center" wrapText="1"/>
    </xf>
    <xf numFmtId="49" fontId="24" fillId="0" borderId="1" xfId="3" applyNumberFormat="1" applyFont="1" applyBorder="1" applyAlignment="1">
      <alignment vertical="center"/>
    </xf>
    <xf numFmtId="49" fontId="7" fillId="0" borderId="1" xfId="3" applyNumberFormat="1" applyFont="1" applyBorder="1" applyAlignment="1">
      <alignment vertical="center" wrapText="1"/>
    </xf>
    <xf numFmtId="0" fontId="12" fillId="4" borderId="1" xfId="3" applyFont="1" applyFill="1" applyBorder="1" applyAlignment="1">
      <alignment vertical="center"/>
    </xf>
    <xf numFmtId="41" fontId="7" fillId="0" borderId="0" xfId="3" applyNumberFormat="1" applyFont="1"/>
    <xf numFmtId="0" fontId="12" fillId="0" borderId="1" xfId="3" applyFont="1" applyBorder="1" applyAlignment="1">
      <alignment vertical="center" wrapText="1"/>
    </xf>
    <xf numFmtId="41" fontId="12" fillId="0" borderId="1" xfId="3" applyNumberFormat="1" applyFont="1" applyBorder="1" applyAlignment="1">
      <alignment vertical="center" wrapText="1"/>
    </xf>
    <xf numFmtId="0" fontId="7" fillId="0" borderId="1" xfId="3" applyFont="1" applyBorder="1" applyAlignment="1">
      <alignment horizontal="left" vertical="center" wrapText="1"/>
    </xf>
    <xf numFmtId="0" fontId="12" fillId="7" borderId="1" xfId="3" applyFont="1" applyFill="1" applyBorder="1" applyAlignment="1">
      <alignment vertical="center" wrapText="1"/>
    </xf>
    <xf numFmtId="49" fontId="7" fillId="7" borderId="1" xfId="3" applyNumberFormat="1" applyFont="1" applyFill="1" applyBorder="1" applyAlignment="1">
      <alignment horizontal="center" vertical="center"/>
    </xf>
    <xf numFmtId="41" fontId="12" fillId="7" borderId="1" xfId="3" applyNumberFormat="1" applyFont="1" applyFill="1" applyBorder="1" applyAlignment="1">
      <alignment vertical="center" wrapText="1"/>
    </xf>
    <xf numFmtId="0" fontId="19" fillId="0" borderId="1" xfId="0" applyFont="1" applyBorder="1" applyAlignment="1"/>
    <xf numFmtId="0" fontId="19" fillId="8" borderId="4" xfId="0" applyFont="1" applyFill="1" applyBorder="1" applyAlignment="1">
      <alignment wrapText="1"/>
    </xf>
    <xf numFmtId="0" fontId="19" fillId="0" borderId="1" xfId="0" applyFont="1" applyBorder="1" applyAlignment="1">
      <alignment vertical="center"/>
    </xf>
    <xf numFmtId="3" fontId="18" fillId="8" borderId="1" xfId="0" applyNumberFormat="1" applyFont="1" applyFill="1" applyBorder="1" applyAlignment="1">
      <alignment vertical="center" wrapText="1"/>
    </xf>
    <xf numFmtId="3" fontId="18" fillId="8" borderId="3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/>
    </xf>
    <xf numFmtId="3" fontId="17" fillId="8" borderId="3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/>
    </xf>
    <xf numFmtId="3" fontId="23" fillId="0" borderId="1" xfId="3" applyNumberFormat="1" applyFont="1" applyBorder="1" applyAlignment="1">
      <alignment horizontal="center" vertical="center"/>
    </xf>
    <xf numFmtId="3" fontId="23" fillId="0" borderId="2" xfId="3" applyNumberFormat="1" applyFont="1" applyBorder="1" applyAlignment="1">
      <alignment horizontal="center" vertical="center"/>
    </xf>
    <xf numFmtId="0" fontId="25" fillId="0" borderId="0" xfId="5"/>
    <xf numFmtId="41" fontId="3" fillId="0" borderId="0" xfId="3" applyNumberFormat="1" applyFont="1" applyAlignment="1">
      <alignment horizontal="center"/>
    </xf>
    <xf numFmtId="41" fontId="3" fillId="0" borderId="0" xfId="3" applyNumberFormat="1" applyFont="1"/>
    <xf numFmtId="3" fontId="18" fillId="0" borderId="3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41" fontId="3" fillId="0" borderId="0" xfId="3" applyNumberFormat="1" applyFont="1" applyAlignment="1">
      <alignment wrapText="1"/>
    </xf>
    <xf numFmtId="3" fontId="5" fillId="2" borderId="7" xfId="1" applyNumberFormat="1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vertical="center"/>
    </xf>
    <xf numFmtId="0" fontId="7" fillId="0" borderId="0" xfId="3" applyFont="1" applyBorder="1" applyAlignment="1">
      <alignment horizontal="left" vertical="center" wrapText="1"/>
    </xf>
    <xf numFmtId="0" fontId="5" fillId="0" borderId="0" xfId="3" applyFont="1" applyAlignment="1">
      <alignment horizontal="center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49" fontId="15" fillId="0" borderId="3" xfId="3" applyNumberFormat="1" applyFont="1" applyBorder="1" applyAlignment="1">
      <alignment horizontal="center" vertical="center"/>
    </xf>
    <xf numFmtId="49" fontId="15" fillId="0" borderId="4" xfId="3" applyNumberFormat="1" applyFont="1" applyBorder="1" applyAlignment="1">
      <alignment horizontal="center" vertical="center"/>
    </xf>
    <xf numFmtId="49" fontId="15" fillId="0" borderId="2" xfId="3" applyNumberFormat="1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5" fillId="0" borderId="1" xfId="3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/>
    </xf>
    <xf numFmtId="3" fontId="17" fillId="8" borderId="3" xfId="0" applyNumberFormat="1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wrapText="1"/>
    </xf>
    <xf numFmtId="0" fontId="19" fillId="8" borderId="2" xfId="0" applyFont="1" applyFill="1" applyBorder="1" applyAlignment="1">
      <alignment wrapText="1"/>
    </xf>
    <xf numFmtId="0" fontId="17" fillId="8" borderId="1" xfId="0" applyFont="1" applyFill="1" applyBorder="1" applyAlignment="1">
      <alignment horizontal="center" vertical="center" wrapText="1"/>
    </xf>
    <xf numFmtId="3" fontId="18" fillId="8" borderId="1" xfId="0" applyNumberFormat="1" applyFont="1" applyFill="1" applyBorder="1" applyAlignment="1">
      <alignment vertical="center" wrapText="1"/>
    </xf>
    <xf numFmtId="0" fontId="18" fillId="8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3" fontId="18" fillId="8" borderId="3" xfId="0" applyNumberFormat="1" applyFont="1" applyFill="1" applyBorder="1" applyAlignment="1">
      <alignment vertical="center" wrapText="1"/>
    </xf>
    <xf numFmtId="3" fontId="19" fillId="8" borderId="2" xfId="0" applyNumberFormat="1" applyFont="1" applyFill="1" applyBorder="1" applyAlignment="1">
      <alignment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left" wrapText="1"/>
    </xf>
    <xf numFmtId="0" fontId="17" fillId="8" borderId="4" xfId="0" applyFont="1" applyFill="1" applyBorder="1" applyAlignment="1">
      <alignment horizontal="left" wrapText="1"/>
    </xf>
    <xf numFmtId="0" fontId="17" fillId="8" borderId="2" xfId="0" applyFont="1" applyFill="1" applyBorder="1" applyAlignment="1">
      <alignment horizontal="left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8" fillId="8" borderId="3" xfId="0" applyFont="1" applyFill="1" applyBorder="1" applyAlignment="1">
      <alignment horizontal="left" wrapText="1"/>
    </xf>
    <xf numFmtId="0" fontId="18" fillId="8" borderId="4" xfId="0" applyFont="1" applyFill="1" applyBorder="1" applyAlignment="1">
      <alignment horizontal="left" wrapText="1"/>
    </xf>
    <xf numFmtId="0" fontId="18" fillId="8" borderId="2" xfId="0" applyFont="1" applyFill="1" applyBorder="1" applyAlignment="1">
      <alignment horizontal="left" wrapText="1"/>
    </xf>
    <xf numFmtId="3" fontId="18" fillId="8" borderId="3" xfId="0" applyNumberFormat="1" applyFont="1" applyFill="1" applyBorder="1" applyAlignment="1">
      <alignment horizontal="left" vertical="center" wrapText="1"/>
    </xf>
    <xf numFmtId="3" fontId="18" fillId="8" borderId="4" xfId="0" applyNumberFormat="1" applyFont="1" applyFill="1" applyBorder="1" applyAlignment="1">
      <alignment horizontal="left" vertical="center" wrapText="1"/>
    </xf>
    <xf numFmtId="3" fontId="18" fillId="8" borderId="2" xfId="0" applyNumberFormat="1" applyFont="1" applyFill="1" applyBorder="1" applyAlignment="1">
      <alignment horizontal="left" vertical="center" wrapText="1"/>
    </xf>
    <xf numFmtId="3" fontId="17" fillId="8" borderId="3" xfId="0" applyNumberFormat="1" applyFont="1" applyFill="1" applyBorder="1" applyAlignment="1">
      <alignment horizontal="left" vertical="center" wrapText="1"/>
    </xf>
    <xf numFmtId="3" fontId="17" fillId="8" borderId="4" xfId="0" applyNumberFormat="1" applyFont="1" applyFill="1" applyBorder="1" applyAlignment="1">
      <alignment horizontal="left" vertical="center" wrapText="1"/>
    </xf>
    <xf numFmtId="3" fontId="17" fillId="8" borderId="2" xfId="0" applyNumberFormat="1" applyFont="1" applyFill="1" applyBorder="1" applyAlignment="1">
      <alignment horizontal="left" vertical="center" wrapText="1"/>
    </xf>
    <xf numFmtId="3" fontId="17" fillId="8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6">
    <cellStyle name="Normál" xfId="0" builtinId="0"/>
    <cellStyle name="Normál 2" xfId="1"/>
    <cellStyle name="Normál 2 2" xfId="2"/>
    <cellStyle name="Normál 2 3" xfId="4"/>
    <cellStyle name="Normál 3" xfId="3"/>
    <cellStyle name="Normál 4" xfId="5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5"/>
  <sheetViews>
    <sheetView topLeftCell="D1" zoomScaleNormal="100" workbookViewId="0">
      <selection activeCell="D17" sqref="D17"/>
    </sheetView>
  </sheetViews>
  <sheetFormatPr defaultColWidth="9.140625" defaultRowHeight="12.75" x14ac:dyDescent="0.2"/>
  <cols>
    <col min="1" max="1" width="26.28515625" style="19" customWidth="1"/>
    <col min="2" max="2" width="9.140625" style="19" customWidth="1"/>
    <col min="3" max="30" width="11.42578125" style="19" customWidth="1"/>
    <col min="31" max="31" width="14.42578125" style="19" bestFit="1" customWidth="1"/>
    <col min="32" max="32" width="12.42578125" style="19" bestFit="1" customWidth="1"/>
    <col min="33" max="16384" width="9.140625" style="19"/>
  </cols>
  <sheetData>
    <row r="1" spans="1:60" x14ac:dyDescent="0.2">
      <c r="A1" s="114" t="s">
        <v>146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60" x14ac:dyDescent="0.2">
      <c r="A2" s="114" t="s">
        <v>219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60" x14ac:dyDescent="0.2">
      <c r="A3" s="114" t="s">
        <v>218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60" ht="13.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60" s="21" customFormat="1" ht="36.75" customHeight="1" x14ac:dyDescent="0.2">
      <c r="A5" s="134" t="s">
        <v>145</v>
      </c>
      <c r="B5" s="39"/>
      <c r="C5" s="115" t="s">
        <v>126</v>
      </c>
      <c r="D5" s="116"/>
      <c r="E5" s="117"/>
      <c r="F5" s="115" t="s">
        <v>188</v>
      </c>
      <c r="G5" s="116"/>
      <c r="H5" s="117"/>
      <c r="I5" s="115" t="s">
        <v>125</v>
      </c>
      <c r="J5" s="116"/>
      <c r="K5" s="117"/>
      <c r="L5" s="115" t="s">
        <v>124</v>
      </c>
      <c r="M5" s="116"/>
      <c r="N5" s="117"/>
      <c r="O5" s="115" t="s">
        <v>123</v>
      </c>
      <c r="P5" s="116"/>
      <c r="Q5" s="117"/>
      <c r="R5" s="115" t="s">
        <v>122</v>
      </c>
      <c r="S5" s="116"/>
      <c r="T5" s="117"/>
      <c r="U5" s="115" t="s">
        <v>121</v>
      </c>
      <c r="V5" s="116"/>
      <c r="W5" s="117"/>
      <c r="X5" s="115" t="s">
        <v>120</v>
      </c>
      <c r="Y5" s="116"/>
      <c r="Z5" s="117"/>
      <c r="AA5" s="118" t="s">
        <v>147</v>
      </c>
      <c r="AB5" s="119"/>
      <c r="AC5" s="120"/>
      <c r="AD5" s="133" t="s">
        <v>71</v>
      </c>
      <c r="AE5" s="133"/>
      <c r="AF5" s="133"/>
    </row>
    <row r="6" spans="1:60" s="21" customFormat="1" ht="14.45" customHeight="1" x14ac:dyDescent="0.2">
      <c r="A6" s="135"/>
      <c r="B6" s="52" t="s">
        <v>119</v>
      </c>
      <c r="C6" s="121" t="s">
        <v>148</v>
      </c>
      <c r="D6" s="122"/>
      <c r="E6" s="123"/>
      <c r="F6" s="121" t="s">
        <v>148</v>
      </c>
      <c r="G6" s="122"/>
      <c r="H6" s="123"/>
      <c r="I6" s="121" t="s">
        <v>148</v>
      </c>
      <c r="J6" s="122"/>
      <c r="K6" s="123"/>
      <c r="L6" s="121" t="s">
        <v>148</v>
      </c>
      <c r="M6" s="122"/>
      <c r="N6" s="123"/>
      <c r="O6" s="121" t="s">
        <v>148</v>
      </c>
      <c r="P6" s="122"/>
      <c r="Q6" s="123"/>
      <c r="R6" s="121" t="s">
        <v>148</v>
      </c>
      <c r="S6" s="122"/>
      <c r="T6" s="123"/>
      <c r="U6" s="121" t="s">
        <v>115</v>
      </c>
      <c r="V6" s="122"/>
      <c r="W6" s="123"/>
      <c r="X6" s="121" t="s">
        <v>148</v>
      </c>
      <c r="Y6" s="122"/>
      <c r="Z6" s="123"/>
      <c r="AA6" s="127" t="s">
        <v>148</v>
      </c>
      <c r="AB6" s="128"/>
      <c r="AC6" s="129"/>
      <c r="AD6" s="133"/>
      <c r="AE6" s="133"/>
      <c r="AF6" s="133"/>
    </row>
    <row r="7" spans="1:60" s="21" customFormat="1" ht="14.45" customHeight="1" x14ac:dyDescent="0.2">
      <c r="A7" s="135"/>
      <c r="B7" s="52" t="s">
        <v>113</v>
      </c>
      <c r="C7" s="124">
        <v>8411261</v>
      </c>
      <c r="D7" s="125"/>
      <c r="E7" s="126"/>
      <c r="F7" s="124">
        <v>8414031</v>
      </c>
      <c r="G7" s="125"/>
      <c r="H7" s="126"/>
      <c r="I7" s="124">
        <v>8414021</v>
      </c>
      <c r="J7" s="125"/>
      <c r="K7" s="126"/>
      <c r="L7" s="124">
        <v>8690421</v>
      </c>
      <c r="M7" s="125"/>
      <c r="N7" s="126"/>
      <c r="O7" s="124">
        <v>88</v>
      </c>
      <c r="P7" s="125"/>
      <c r="Q7" s="126"/>
      <c r="R7" s="124">
        <v>9603021</v>
      </c>
      <c r="S7" s="125"/>
      <c r="T7" s="126"/>
      <c r="U7" s="124">
        <v>8904421</v>
      </c>
      <c r="V7" s="125"/>
      <c r="W7" s="126"/>
      <c r="X7" s="124">
        <v>9101231</v>
      </c>
      <c r="Y7" s="125"/>
      <c r="Z7" s="126"/>
      <c r="AA7" s="130">
        <v>9105011</v>
      </c>
      <c r="AB7" s="131"/>
      <c r="AC7" s="132"/>
      <c r="AD7" s="133"/>
      <c r="AE7" s="133"/>
      <c r="AF7" s="133"/>
    </row>
    <row r="8" spans="1:60" s="24" customFormat="1" ht="26.45" customHeight="1" x14ac:dyDescent="0.2">
      <c r="A8" s="136"/>
      <c r="B8" s="53" t="s">
        <v>144</v>
      </c>
      <c r="C8" s="61" t="s">
        <v>195</v>
      </c>
      <c r="D8" s="61" t="s">
        <v>196</v>
      </c>
      <c r="E8" s="61" t="s">
        <v>197</v>
      </c>
      <c r="F8" s="61" t="s">
        <v>195</v>
      </c>
      <c r="G8" s="61" t="s">
        <v>196</v>
      </c>
      <c r="H8" s="61" t="s">
        <v>197</v>
      </c>
      <c r="I8" s="61" t="s">
        <v>195</v>
      </c>
      <c r="J8" s="61" t="s">
        <v>196</v>
      </c>
      <c r="K8" s="61" t="s">
        <v>197</v>
      </c>
      <c r="L8" s="61" t="s">
        <v>195</v>
      </c>
      <c r="M8" s="61" t="s">
        <v>196</v>
      </c>
      <c r="N8" s="61" t="s">
        <v>197</v>
      </c>
      <c r="O8" s="61" t="s">
        <v>195</v>
      </c>
      <c r="P8" s="61" t="s">
        <v>196</v>
      </c>
      <c r="Q8" s="61" t="s">
        <v>197</v>
      </c>
      <c r="R8" s="61" t="s">
        <v>195</v>
      </c>
      <c r="S8" s="61" t="s">
        <v>196</v>
      </c>
      <c r="T8" s="61" t="s">
        <v>197</v>
      </c>
      <c r="U8" s="61" t="s">
        <v>195</v>
      </c>
      <c r="V8" s="61" t="s">
        <v>196</v>
      </c>
      <c r="W8" s="61" t="s">
        <v>197</v>
      </c>
      <c r="X8" s="61" t="s">
        <v>195</v>
      </c>
      <c r="Y8" s="61" t="s">
        <v>196</v>
      </c>
      <c r="Z8" s="61" t="s">
        <v>197</v>
      </c>
      <c r="AA8" s="61" t="s">
        <v>195</v>
      </c>
      <c r="AB8" s="61" t="s">
        <v>196</v>
      </c>
      <c r="AC8" s="61" t="s">
        <v>197</v>
      </c>
      <c r="AD8" s="61" t="s">
        <v>195</v>
      </c>
      <c r="AE8" s="61" t="s">
        <v>196</v>
      </c>
      <c r="AF8" s="61" t="s">
        <v>197</v>
      </c>
    </row>
    <row r="9" spans="1:60" ht="42.6" customHeight="1" x14ac:dyDescent="0.2">
      <c r="A9" s="54" t="s">
        <v>143</v>
      </c>
      <c r="B9" s="53">
        <v>111</v>
      </c>
      <c r="C9" s="62">
        <v>10548012</v>
      </c>
      <c r="D9" s="62">
        <f>+C9</f>
        <v>10548012</v>
      </c>
      <c r="E9" s="62">
        <f>+D9</f>
        <v>10548012</v>
      </c>
      <c r="F9" s="62">
        <v>1538390</v>
      </c>
      <c r="G9" s="62">
        <f>+F9</f>
        <v>1538390</v>
      </c>
      <c r="H9" s="62">
        <f>+G9</f>
        <v>1538390</v>
      </c>
      <c r="I9" s="62">
        <v>672000</v>
      </c>
      <c r="J9" s="62">
        <f>+I9</f>
        <v>672000</v>
      </c>
      <c r="K9" s="62">
        <f>+J9</f>
        <v>672000</v>
      </c>
      <c r="L9" s="62"/>
      <c r="M9" s="62"/>
      <c r="N9" s="62"/>
      <c r="O9" s="62"/>
      <c r="P9" s="62"/>
      <c r="Q9" s="62"/>
      <c r="R9" s="62">
        <v>100000</v>
      </c>
      <c r="S9" s="62">
        <v>100000</v>
      </c>
      <c r="T9" s="62">
        <v>100000</v>
      </c>
      <c r="U9" s="62"/>
      <c r="V9" s="62"/>
      <c r="W9" s="62"/>
      <c r="X9" s="62"/>
      <c r="Y9" s="62"/>
      <c r="Z9" s="62"/>
      <c r="AA9" s="62"/>
      <c r="AB9" s="62"/>
      <c r="AC9" s="62"/>
      <c r="AD9" s="62">
        <f>+C9+F9+I9+L9++O9+R9+U9+X9+AA9</f>
        <v>12858402</v>
      </c>
      <c r="AE9" s="62">
        <f t="shared" ref="AE9:AF9" si="0">+D9+G9+J9+M9++P9+S9+V9+Y9+AB9</f>
        <v>12858402</v>
      </c>
      <c r="AF9" s="62">
        <f t="shared" si="0"/>
        <v>12858402</v>
      </c>
    </row>
    <row r="10" spans="1:60" ht="37.9" customHeight="1" x14ac:dyDescent="0.2">
      <c r="A10" s="54" t="s">
        <v>142</v>
      </c>
      <c r="B10" s="53">
        <v>113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>
        <v>5046000</v>
      </c>
      <c r="P10" s="62">
        <f>+O10</f>
        <v>5046000</v>
      </c>
      <c r="Q10" s="62">
        <f>+P10</f>
        <v>5046000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>
        <f t="shared" ref="AD10:AD13" si="1">+C10+F10+I10+L10++O10+R10+U10+X10+AA10</f>
        <v>5046000</v>
      </c>
      <c r="AE10" s="62">
        <f t="shared" ref="AE10:AE13" si="2">+D10+G10+J10+M10++P10+S10+V10+Y10+AB10</f>
        <v>5046000</v>
      </c>
      <c r="AF10" s="62">
        <f t="shared" ref="AF10:AF13" si="3">+E10+H10+K10+N10++Q10+T10+W10+Z10+AC10</f>
        <v>5046000</v>
      </c>
    </row>
    <row r="11" spans="1:60" ht="27" customHeight="1" x14ac:dyDescent="0.2">
      <c r="A11" s="54" t="s">
        <v>141</v>
      </c>
      <c r="B11" s="53">
        <v>114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6"/>
      <c r="X11" s="62">
        <v>600000</v>
      </c>
      <c r="Y11" s="62">
        <v>600000</v>
      </c>
      <c r="Z11" s="62">
        <v>600000</v>
      </c>
      <c r="AA11" s="103">
        <v>1200000</v>
      </c>
      <c r="AB11" s="104">
        <v>1200000</v>
      </c>
      <c r="AC11" s="104">
        <v>1200000</v>
      </c>
      <c r="AD11" s="62">
        <f t="shared" si="1"/>
        <v>1800000</v>
      </c>
      <c r="AE11" s="62">
        <f t="shared" si="2"/>
        <v>1800000</v>
      </c>
      <c r="AF11" s="62">
        <f t="shared" si="3"/>
        <v>1800000</v>
      </c>
    </row>
    <row r="12" spans="1:60" ht="28.9" hidden="1" customHeight="1" x14ac:dyDescent="0.25">
      <c r="A12" s="55" t="s">
        <v>140</v>
      </c>
      <c r="B12" s="53">
        <v>115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>
        <f t="shared" si="1"/>
        <v>0</v>
      </c>
      <c r="AE12" s="62">
        <f t="shared" si="2"/>
        <v>0</v>
      </c>
      <c r="AF12" s="62">
        <f t="shared" si="3"/>
        <v>0</v>
      </c>
    </row>
    <row r="13" spans="1:60" s="25" customFormat="1" ht="28.9" customHeight="1" x14ac:dyDescent="0.2">
      <c r="A13" s="55" t="s">
        <v>139</v>
      </c>
      <c r="B13" s="53">
        <v>116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>
        <v>3433650</v>
      </c>
      <c r="Q13" s="62">
        <v>3433650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>
        <f t="shared" si="1"/>
        <v>0</v>
      </c>
      <c r="AE13" s="62">
        <f t="shared" si="2"/>
        <v>3433650</v>
      </c>
      <c r="AF13" s="62">
        <f t="shared" si="3"/>
        <v>3433650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s="23" customFormat="1" ht="25.5" x14ac:dyDescent="0.2">
      <c r="A14" s="56" t="s">
        <v>138</v>
      </c>
      <c r="B14" s="57">
        <v>11</v>
      </c>
      <c r="C14" s="64">
        <f>+C9+C10+C11+C13</f>
        <v>10548012</v>
      </c>
      <c r="D14" s="64">
        <f t="shared" ref="D14:AF14" si="4">+D9+D10+D11+D13</f>
        <v>10548012</v>
      </c>
      <c r="E14" s="64">
        <f t="shared" si="4"/>
        <v>10548012</v>
      </c>
      <c r="F14" s="64">
        <f t="shared" si="4"/>
        <v>1538390</v>
      </c>
      <c r="G14" s="64">
        <f t="shared" si="4"/>
        <v>1538390</v>
      </c>
      <c r="H14" s="64">
        <f t="shared" si="4"/>
        <v>1538390</v>
      </c>
      <c r="I14" s="64">
        <f t="shared" si="4"/>
        <v>672000</v>
      </c>
      <c r="J14" s="64">
        <f t="shared" si="4"/>
        <v>672000</v>
      </c>
      <c r="K14" s="64">
        <f t="shared" si="4"/>
        <v>672000</v>
      </c>
      <c r="L14" s="64">
        <f t="shared" si="4"/>
        <v>0</v>
      </c>
      <c r="M14" s="64">
        <f t="shared" si="4"/>
        <v>0</v>
      </c>
      <c r="N14" s="64">
        <f t="shared" si="4"/>
        <v>0</v>
      </c>
      <c r="O14" s="64">
        <f t="shared" si="4"/>
        <v>5046000</v>
      </c>
      <c r="P14" s="64">
        <f t="shared" si="4"/>
        <v>8479650</v>
      </c>
      <c r="Q14" s="64">
        <f t="shared" si="4"/>
        <v>8479650</v>
      </c>
      <c r="R14" s="64">
        <f t="shared" si="4"/>
        <v>100000</v>
      </c>
      <c r="S14" s="64">
        <f t="shared" si="4"/>
        <v>100000</v>
      </c>
      <c r="T14" s="64">
        <f t="shared" si="4"/>
        <v>100000</v>
      </c>
      <c r="U14" s="64">
        <f t="shared" si="4"/>
        <v>0</v>
      </c>
      <c r="V14" s="64">
        <f t="shared" si="4"/>
        <v>0</v>
      </c>
      <c r="W14" s="64">
        <f t="shared" si="4"/>
        <v>0</v>
      </c>
      <c r="X14" s="64">
        <f t="shared" si="4"/>
        <v>600000</v>
      </c>
      <c r="Y14" s="64">
        <f t="shared" si="4"/>
        <v>600000</v>
      </c>
      <c r="Z14" s="64">
        <f t="shared" si="4"/>
        <v>600000</v>
      </c>
      <c r="AA14" s="64">
        <f t="shared" si="4"/>
        <v>1200000</v>
      </c>
      <c r="AB14" s="64">
        <f t="shared" si="4"/>
        <v>1200000</v>
      </c>
      <c r="AC14" s="64">
        <f t="shared" si="4"/>
        <v>1200000</v>
      </c>
      <c r="AD14" s="64">
        <f t="shared" si="4"/>
        <v>19704402</v>
      </c>
      <c r="AE14" s="64">
        <f t="shared" si="4"/>
        <v>23138052</v>
      </c>
      <c r="AF14" s="64">
        <f t="shared" si="4"/>
        <v>23138052</v>
      </c>
    </row>
    <row r="15" spans="1:60" ht="38.25" x14ac:dyDescent="0.2">
      <c r="A15" s="54" t="s">
        <v>137</v>
      </c>
      <c r="B15" s="53">
        <v>16</v>
      </c>
      <c r="C15" s="62"/>
      <c r="D15" s="62">
        <v>14584133</v>
      </c>
      <c r="E15" s="62">
        <v>14584133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>
        <v>257000</v>
      </c>
      <c r="Q15" s="62">
        <v>257000</v>
      </c>
      <c r="R15" s="62"/>
      <c r="S15" s="62"/>
      <c r="T15" s="62"/>
      <c r="U15" s="62">
        <v>6990750</v>
      </c>
      <c r="V15" s="62">
        <f>41905597-41909367+27068234</f>
        <v>27064464</v>
      </c>
      <c r="W15" s="62">
        <v>27068234</v>
      </c>
      <c r="X15" s="62"/>
      <c r="Y15" s="62"/>
      <c r="Z15" s="62"/>
      <c r="AA15" s="62"/>
      <c r="AB15" s="62"/>
      <c r="AC15" s="62"/>
      <c r="AD15" s="62">
        <f>+C15+F15+I15+L15++O15+R15+U15+X15+AA15</f>
        <v>6990750</v>
      </c>
      <c r="AE15" s="62">
        <f t="shared" ref="AE15" si="5">+D15+G15+J15+M15++P15+S15+V15+Y15+AB15</f>
        <v>41905597</v>
      </c>
      <c r="AF15" s="62">
        <f t="shared" ref="AF15" si="6">+E15+H15+K15+N15++Q15+T15+W15+Z15+AC15</f>
        <v>41909367</v>
      </c>
    </row>
    <row r="16" spans="1:60" s="23" customFormat="1" ht="25.5" x14ac:dyDescent="0.2">
      <c r="A16" s="56" t="s">
        <v>136</v>
      </c>
      <c r="B16" s="57">
        <v>1</v>
      </c>
      <c r="C16" s="64">
        <f>+C14+C15</f>
        <v>10548012</v>
      </c>
      <c r="D16" s="64">
        <f t="shared" ref="D16:AF16" si="7">+D14+D15</f>
        <v>25132145</v>
      </c>
      <c r="E16" s="64">
        <f t="shared" si="7"/>
        <v>25132145</v>
      </c>
      <c r="F16" s="64">
        <f t="shared" si="7"/>
        <v>1538390</v>
      </c>
      <c r="G16" s="64">
        <f t="shared" si="7"/>
        <v>1538390</v>
      </c>
      <c r="H16" s="64">
        <f t="shared" si="7"/>
        <v>1538390</v>
      </c>
      <c r="I16" s="64">
        <f t="shared" si="7"/>
        <v>672000</v>
      </c>
      <c r="J16" s="64">
        <f t="shared" si="7"/>
        <v>672000</v>
      </c>
      <c r="K16" s="64">
        <f t="shared" si="7"/>
        <v>672000</v>
      </c>
      <c r="L16" s="64">
        <f t="shared" si="7"/>
        <v>0</v>
      </c>
      <c r="M16" s="64">
        <f t="shared" si="7"/>
        <v>0</v>
      </c>
      <c r="N16" s="64">
        <f t="shared" si="7"/>
        <v>0</v>
      </c>
      <c r="O16" s="64">
        <f t="shared" si="7"/>
        <v>5046000</v>
      </c>
      <c r="P16" s="64">
        <f t="shared" si="7"/>
        <v>8736650</v>
      </c>
      <c r="Q16" s="64">
        <f t="shared" si="7"/>
        <v>8736650</v>
      </c>
      <c r="R16" s="64">
        <f t="shared" si="7"/>
        <v>100000</v>
      </c>
      <c r="S16" s="64">
        <f t="shared" si="7"/>
        <v>100000</v>
      </c>
      <c r="T16" s="64">
        <f t="shared" si="7"/>
        <v>100000</v>
      </c>
      <c r="U16" s="64">
        <f t="shared" si="7"/>
        <v>6990750</v>
      </c>
      <c r="V16" s="64">
        <f t="shared" si="7"/>
        <v>27064464</v>
      </c>
      <c r="W16" s="64">
        <f t="shared" si="7"/>
        <v>27068234</v>
      </c>
      <c r="X16" s="64">
        <f t="shared" si="7"/>
        <v>600000</v>
      </c>
      <c r="Y16" s="64">
        <f t="shared" si="7"/>
        <v>600000</v>
      </c>
      <c r="Z16" s="64">
        <f t="shared" si="7"/>
        <v>600000</v>
      </c>
      <c r="AA16" s="64">
        <f t="shared" si="7"/>
        <v>1200000</v>
      </c>
      <c r="AB16" s="64">
        <f t="shared" si="7"/>
        <v>1200000</v>
      </c>
      <c r="AC16" s="64">
        <f t="shared" si="7"/>
        <v>1200000</v>
      </c>
      <c r="AD16" s="64">
        <f t="shared" si="7"/>
        <v>26695152</v>
      </c>
      <c r="AE16" s="64">
        <f t="shared" si="7"/>
        <v>65043649</v>
      </c>
      <c r="AF16" s="64">
        <f t="shared" si="7"/>
        <v>65047419</v>
      </c>
    </row>
    <row r="17" spans="1:32" ht="38.25" x14ac:dyDescent="0.2">
      <c r="A17" s="54" t="s">
        <v>199</v>
      </c>
      <c r="B17" s="53">
        <v>25</v>
      </c>
      <c r="C17" s="62"/>
      <c r="D17" s="62">
        <v>12716503</v>
      </c>
      <c r="E17" s="62">
        <v>12716503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>
        <v>33225000</v>
      </c>
      <c r="W17" s="62">
        <v>33177912</v>
      </c>
      <c r="X17" s="62"/>
      <c r="Y17" s="62"/>
      <c r="Z17" s="62"/>
      <c r="AA17" s="62"/>
      <c r="AB17" s="62"/>
      <c r="AC17" s="62"/>
      <c r="AD17" s="62">
        <f>+C17+F17+I17+L17++O17+R17+U17+X17+AA17</f>
        <v>0</v>
      </c>
      <c r="AE17" s="62">
        <f t="shared" ref="AE17" si="8">+D17+G17+J17+M17++P17+S17+V17+Y17+AB17</f>
        <v>45941503</v>
      </c>
      <c r="AF17" s="62">
        <f t="shared" ref="AF17" si="9">+E17+H17+K17+N17++Q17+T17+W17+Z17+AC17</f>
        <v>45894415</v>
      </c>
    </row>
    <row r="18" spans="1:32" s="23" customFormat="1" ht="25.5" x14ac:dyDescent="0.2">
      <c r="A18" s="56" t="s">
        <v>198</v>
      </c>
      <c r="B18" s="57">
        <v>2</v>
      </c>
      <c r="C18" s="64">
        <f>+C17</f>
        <v>0</v>
      </c>
      <c r="D18" s="64">
        <f t="shared" ref="D18:AF18" si="10">+D17</f>
        <v>12716503</v>
      </c>
      <c r="E18" s="64">
        <f t="shared" si="10"/>
        <v>12716503</v>
      </c>
      <c r="F18" s="64">
        <f t="shared" si="10"/>
        <v>0</v>
      </c>
      <c r="G18" s="64">
        <f t="shared" si="10"/>
        <v>0</v>
      </c>
      <c r="H18" s="64">
        <f t="shared" si="10"/>
        <v>0</v>
      </c>
      <c r="I18" s="64">
        <f t="shared" si="10"/>
        <v>0</v>
      </c>
      <c r="J18" s="64">
        <f t="shared" si="10"/>
        <v>0</v>
      </c>
      <c r="K18" s="64">
        <f t="shared" si="10"/>
        <v>0</v>
      </c>
      <c r="L18" s="64">
        <f t="shared" si="10"/>
        <v>0</v>
      </c>
      <c r="M18" s="64">
        <f t="shared" si="10"/>
        <v>0</v>
      </c>
      <c r="N18" s="64">
        <f t="shared" si="10"/>
        <v>0</v>
      </c>
      <c r="O18" s="64">
        <f t="shared" si="10"/>
        <v>0</v>
      </c>
      <c r="P18" s="64">
        <f t="shared" si="10"/>
        <v>0</v>
      </c>
      <c r="Q18" s="64">
        <f t="shared" si="10"/>
        <v>0</v>
      </c>
      <c r="R18" s="64">
        <f t="shared" si="10"/>
        <v>0</v>
      </c>
      <c r="S18" s="64">
        <f t="shared" si="10"/>
        <v>0</v>
      </c>
      <c r="T18" s="64">
        <f t="shared" si="10"/>
        <v>0</v>
      </c>
      <c r="U18" s="64">
        <f t="shared" si="10"/>
        <v>0</v>
      </c>
      <c r="V18" s="64">
        <f t="shared" si="10"/>
        <v>33225000</v>
      </c>
      <c r="W18" s="64">
        <f t="shared" si="10"/>
        <v>33177912</v>
      </c>
      <c r="X18" s="64">
        <f t="shared" si="10"/>
        <v>0</v>
      </c>
      <c r="Y18" s="64">
        <f t="shared" si="10"/>
        <v>0</v>
      </c>
      <c r="Z18" s="64">
        <f t="shared" si="10"/>
        <v>0</v>
      </c>
      <c r="AA18" s="64">
        <f t="shared" si="10"/>
        <v>0</v>
      </c>
      <c r="AB18" s="64">
        <f t="shared" si="10"/>
        <v>0</v>
      </c>
      <c r="AC18" s="64">
        <f t="shared" si="10"/>
        <v>0</v>
      </c>
      <c r="AD18" s="64">
        <f t="shared" si="10"/>
        <v>0</v>
      </c>
      <c r="AE18" s="64">
        <f t="shared" si="10"/>
        <v>45941503</v>
      </c>
      <c r="AF18" s="64">
        <f t="shared" si="10"/>
        <v>45894415</v>
      </c>
    </row>
    <row r="19" spans="1:32" x14ac:dyDescent="0.2">
      <c r="A19" s="54" t="s">
        <v>135</v>
      </c>
      <c r="B19" s="53">
        <v>351</v>
      </c>
      <c r="C19" s="62">
        <v>400000</v>
      </c>
      <c r="D19" s="62">
        <v>415000</v>
      </c>
      <c r="E19" s="62">
        <v>414058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>
        <f t="shared" ref="AD19:AD20" si="11">+C19+F19+I19+L19++O19+R19+U19+X19+AA19</f>
        <v>400000</v>
      </c>
      <c r="AE19" s="62">
        <f t="shared" ref="AE19:AE20" si="12">+D19+G19+J19+M19++P19+S19+V19+Y19+AB19</f>
        <v>415000</v>
      </c>
      <c r="AF19" s="62">
        <f t="shared" ref="AF19:AF20" si="13">+E19+H19+K19+N19++Q19+T19+W19+Z19+AC19</f>
        <v>414058</v>
      </c>
    </row>
    <row r="20" spans="1:32" s="23" customFormat="1" x14ac:dyDescent="0.2">
      <c r="A20" s="54" t="s">
        <v>134</v>
      </c>
      <c r="B20" s="53">
        <v>354</v>
      </c>
      <c r="C20" s="62">
        <v>200000</v>
      </c>
      <c r="D20" s="62">
        <v>247000</v>
      </c>
      <c r="E20" s="62">
        <v>254493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>
        <f t="shared" si="11"/>
        <v>200000</v>
      </c>
      <c r="AE20" s="62">
        <f t="shared" si="12"/>
        <v>247000</v>
      </c>
      <c r="AF20" s="62">
        <f t="shared" si="13"/>
        <v>254493</v>
      </c>
    </row>
    <row r="21" spans="1:32" s="23" customFormat="1" ht="25.5" x14ac:dyDescent="0.2">
      <c r="A21" s="56" t="s">
        <v>133</v>
      </c>
      <c r="B21" s="57">
        <v>35</v>
      </c>
      <c r="C21" s="64">
        <f>+C19+C20</f>
        <v>600000</v>
      </c>
      <c r="D21" s="64">
        <f t="shared" ref="D21:AF21" si="14">+D19+D20</f>
        <v>662000</v>
      </c>
      <c r="E21" s="64">
        <f t="shared" si="14"/>
        <v>668551</v>
      </c>
      <c r="F21" s="64"/>
      <c r="G21" s="64">
        <f t="shared" si="14"/>
        <v>0</v>
      </c>
      <c r="H21" s="64">
        <f t="shared" si="14"/>
        <v>0</v>
      </c>
      <c r="I21" s="64">
        <f t="shared" si="14"/>
        <v>0</v>
      </c>
      <c r="J21" s="64">
        <f t="shared" si="14"/>
        <v>0</v>
      </c>
      <c r="K21" s="64">
        <f t="shared" si="14"/>
        <v>0</v>
      </c>
      <c r="L21" s="64">
        <f t="shared" si="14"/>
        <v>0</v>
      </c>
      <c r="M21" s="64">
        <f t="shared" si="14"/>
        <v>0</v>
      </c>
      <c r="N21" s="64">
        <f t="shared" si="14"/>
        <v>0</v>
      </c>
      <c r="O21" s="64">
        <f t="shared" si="14"/>
        <v>0</v>
      </c>
      <c r="P21" s="64">
        <f t="shared" si="14"/>
        <v>0</v>
      </c>
      <c r="Q21" s="64">
        <f t="shared" si="14"/>
        <v>0</v>
      </c>
      <c r="R21" s="64">
        <f t="shared" si="14"/>
        <v>0</v>
      </c>
      <c r="S21" s="64">
        <f t="shared" si="14"/>
        <v>0</v>
      </c>
      <c r="T21" s="64">
        <f t="shared" si="14"/>
        <v>0</v>
      </c>
      <c r="U21" s="64">
        <f t="shared" si="14"/>
        <v>0</v>
      </c>
      <c r="V21" s="64">
        <f t="shared" si="14"/>
        <v>0</v>
      </c>
      <c r="W21" s="64">
        <f t="shared" si="14"/>
        <v>0</v>
      </c>
      <c r="X21" s="64">
        <f t="shared" si="14"/>
        <v>0</v>
      </c>
      <c r="Y21" s="64">
        <f t="shared" si="14"/>
        <v>0</v>
      </c>
      <c r="Z21" s="64">
        <f t="shared" si="14"/>
        <v>0</v>
      </c>
      <c r="AA21" s="64">
        <f t="shared" si="14"/>
        <v>0</v>
      </c>
      <c r="AB21" s="64">
        <f t="shared" si="14"/>
        <v>0</v>
      </c>
      <c r="AC21" s="64">
        <f t="shared" si="14"/>
        <v>0</v>
      </c>
      <c r="AD21" s="64">
        <f t="shared" si="14"/>
        <v>600000</v>
      </c>
      <c r="AE21" s="64">
        <f t="shared" si="14"/>
        <v>662000</v>
      </c>
      <c r="AF21" s="64">
        <f t="shared" si="14"/>
        <v>668551</v>
      </c>
    </row>
    <row r="22" spans="1:32" s="23" customFormat="1" x14ac:dyDescent="0.2">
      <c r="A22" s="54" t="s">
        <v>226</v>
      </c>
      <c r="B22" s="53">
        <v>36</v>
      </c>
      <c r="C22" s="62"/>
      <c r="D22" s="62">
        <v>3500</v>
      </c>
      <c r="E22" s="62">
        <v>3455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>
        <f t="shared" ref="AD22" si="15">+C22+F22+I22+L22++O22+R22+U22+X22+AA22</f>
        <v>0</v>
      </c>
      <c r="AE22" s="62">
        <f t="shared" ref="AE22" si="16">+D22+G22+J22+M22++P22+S22+V22+Y22+AB22</f>
        <v>3500</v>
      </c>
      <c r="AF22" s="62">
        <f t="shared" ref="AF22" si="17">+E22+H22+K22+N22++Q22+T22+W22+Z22+AC22</f>
        <v>3455</v>
      </c>
    </row>
    <row r="23" spans="1:32" x14ac:dyDescent="0.2">
      <c r="A23" s="56" t="s">
        <v>132</v>
      </c>
      <c r="B23" s="57">
        <v>3</v>
      </c>
      <c r="C23" s="64">
        <f>+C21</f>
        <v>600000</v>
      </c>
      <c r="D23" s="64">
        <f>+D21+D22</f>
        <v>665500</v>
      </c>
      <c r="E23" s="64">
        <f>+E21+E22</f>
        <v>672006</v>
      </c>
      <c r="F23" s="64">
        <f t="shared" ref="F23:AC23" si="18">+F21</f>
        <v>0</v>
      </c>
      <c r="G23" s="64">
        <f t="shared" si="18"/>
        <v>0</v>
      </c>
      <c r="H23" s="64">
        <f t="shared" si="18"/>
        <v>0</v>
      </c>
      <c r="I23" s="64">
        <f t="shared" si="18"/>
        <v>0</v>
      </c>
      <c r="J23" s="64">
        <f t="shared" si="18"/>
        <v>0</v>
      </c>
      <c r="K23" s="64">
        <f t="shared" si="18"/>
        <v>0</v>
      </c>
      <c r="L23" s="64">
        <f t="shared" si="18"/>
        <v>0</v>
      </c>
      <c r="M23" s="64">
        <f t="shared" si="18"/>
        <v>0</v>
      </c>
      <c r="N23" s="64">
        <f t="shared" si="18"/>
        <v>0</v>
      </c>
      <c r="O23" s="64">
        <f t="shared" si="18"/>
        <v>0</v>
      </c>
      <c r="P23" s="64">
        <f t="shared" si="18"/>
        <v>0</v>
      </c>
      <c r="Q23" s="64">
        <f t="shared" si="18"/>
        <v>0</v>
      </c>
      <c r="R23" s="64">
        <f t="shared" si="18"/>
        <v>0</v>
      </c>
      <c r="S23" s="64">
        <f t="shared" si="18"/>
        <v>0</v>
      </c>
      <c r="T23" s="64">
        <f t="shared" si="18"/>
        <v>0</v>
      </c>
      <c r="U23" s="64">
        <f t="shared" si="18"/>
        <v>0</v>
      </c>
      <c r="V23" s="64">
        <f t="shared" si="18"/>
        <v>0</v>
      </c>
      <c r="W23" s="64">
        <f t="shared" si="18"/>
        <v>0</v>
      </c>
      <c r="X23" s="64">
        <f t="shared" si="18"/>
        <v>0</v>
      </c>
      <c r="Y23" s="64">
        <f t="shared" si="18"/>
        <v>0</v>
      </c>
      <c r="Z23" s="64">
        <f t="shared" si="18"/>
        <v>0</v>
      </c>
      <c r="AA23" s="64">
        <f t="shared" si="18"/>
        <v>0</v>
      </c>
      <c r="AB23" s="64">
        <f t="shared" si="18"/>
        <v>0</v>
      </c>
      <c r="AC23" s="64">
        <f t="shared" si="18"/>
        <v>0</v>
      </c>
      <c r="AD23" s="64">
        <f>+AD21</f>
        <v>600000</v>
      </c>
      <c r="AE23" s="64">
        <f>+AE21+AE22</f>
        <v>665500</v>
      </c>
      <c r="AF23" s="64">
        <f>+AF21+AF22</f>
        <v>672006</v>
      </c>
    </row>
    <row r="24" spans="1:32" x14ac:dyDescent="0.2">
      <c r="A24" s="54" t="s">
        <v>227</v>
      </c>
      <c r="B24" s="53">
        <v>401</v>
      </c>
      <c r="C24" s="62"/>
      <c r="D24" s="62"/>
      <c r="E24" s="62"/>
      <c r="F24" s="62"/>
      <c r="G24" s="62">
        <f>530000-80000</f>
        <v>450000</v>
      </c>
      <c r="H24" s="62">
        <v>449700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>
        <v>80000</v>
      </c>
      <c r="W24" s="62">
        <v>79650</v>
      </c>
      <c r="X24" s="62"/>
      <c r="Y24" s="62"/>
      <c r="Z24" s="62"/>
      <c r="AA24" s="62"/>
      <c r="AB24" s="62"/>
      <c r="AC24" s="62"/>
      <c r="AD24" s="62">
        <f t="shared" ref="AD24:AD25" si="19">+C24+F24+I24+L24++O24+R24+U24+X24+AA24</f>
        <v>0</v>
      </c>
      <c r="AE24" s="62">
        <f t="shared" ref="AE24:AE25" si="20">+D24+G24+J24+M24++P24+S24+V24+Y24+AB24</f>
        <v>530000</v>
      </c>
      <c r="AF24" s="62">
        <f t="shared" ref="AF24:AF25" si="21">+E24+H24+K24+N24++Q24+T24+W24+Z24+AC24</f>
        <v>529350</v>
      </c>
    </row>
    <row r="25" spans="1:32" s="23" customFormat="1" x14ac:dyDescent="0.2">
      <c r="A25" s="54" t="s">
        <v>228</v>
      </c>
      <c r="B25" s="53">
        <v>402</v>
      </c>
      <c r="C25" s="62"/>
      <c r="D25" s="62"/>
      <c r="E25" s="62"/>
      <c r="F25" s="62"/>
      <c r="G25" s="62">
        <v>2184000</v>
      </c>
      <c r="H25" s="62">
        <v>2184000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f t="shared" si="19"/>
        <v>0</v>
      </c>
      <c r="AE25" s="62">
        <f t="shared" si="20"/>
        <v>2184000</v>
      </c>
      <c r="AF25" s="62">
        <f t="shared" si="21"/>
        <v>2184000</v>
      </c>
    </row>
    <row r="26" spans="1:32" s="23" customFormat="1" x14ac:dyDescent="0.2">
      <c r="A26" s="54" t="s">
        <v>131</v>
      </c>
      <c r="B26" s="53">
        <v>408</v>
      </c>
      <c r="C26" s="62"/>
      <c r="D26" s="62">
        <v>1360</v>
      </c>
      <c r="E26" s="62">
        <v>1238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>
        <v>140</v>
      </c>
      <c r="W26" s="62">
        <v>136</v>
      </c>
      <c r="X26" s="62"/>
      <c r="Y26" s="62"/>
      <c r="Z26" s="62"/>
      <c r="AA26" s="62"/>
      <c r="AB26" s="62"/>
      <c r="AC26" s="62"/>
      <c r="AD26" s="62">
        <f t="shared" ref="AD26:AD27" si="22">+C26+F26+I26+L26++O26+R26+U26+X26+AA26</f>
        <v>0</v>
      </c>
      <c r="AE26" s="62">
        <f t="shared" ref="AE26:AE27" si="23">+D26+G26+J26+M26++P26+S26+V26+Y26+AB26</f>
        <v>1500</v>
      </c>
      <c r="AF26" s="62">
        <f t="shared" ref="AF26:AF27" si="24">+E26+H26+K26+N26++Q26+T26+W26+Z26+AC26</f>
        <v>1374</v>
      </c>
    </row>
    <row r="27" spans="1:32" s="23" customFormat="1" x14ac:dyDescent="0.2">
      <c r="A27" s="54" t="s">
        <v>149</v>
      </c>
      <c r="B27" s="53">
        <v>411</v>
      </c>
      <c r="C27" s="62"/>
      <c r="D27" s="62">
        <v>20000</v>
      </c>
      <c r="E27" s="62">
        <v>17416</v>
      </c>
      <c r="F27" s="62"/>
      <c r="G27" s="62"/>
      <c r="H27" s="62">
        <v>18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>
        <v>2230000</v>
      </c>
      <c r="W27" s="62">
        <v>2217089</v>
      </c>
      <c r="X27" s="62"/>
      <c r="Y27" s="62"/>
      <c r="Z27" s="62">
        <v>15</v>
      </c>
      <c r="AA27" s="62"/>
      <c r="AB27" s="62"/>
      <c r="AC27" s="62"/>
      <c r="AD27" s="62">
        <f t="shared" si="22"/>
        <v>0</v>
      </c>
      <c r="AE27" s="62">
        <f t="shared" si="23"/>
        <v>2250000</v>
      </c>
      <c r="AF27" s="62">
        <f t="shared" si="24"/>
        <v>2234538</v>
      </c>
    </row>
    <row r="28" spans="1:32" s="23" customFormat="1" x14ac:dyDescent="0.2">
      <c r="A28" s="56" t="s">
        <v>130</v>
      </c>
      <c r="B28" s="57">
        <v>4</v>
      </c>
      <c r="C28" s="64">
        <f>+C26+C27</f>
        <v>0</v>
      </c>
      <c r="D28" s="64">
        <f>+D26+D27+D24+D25</f>
        <v>21360</v>
      </c>
      <c r="E28" s="64">
        <f>+E26+E27+E24+E25</f>
        <v>18654</v>
      </c>
      <c r="F28" s="64">
        <f t="shared" ref="F28:AD28" si="25">+F26+F27</f>
        <v>0</v>
      </c>
      <c r="G28" s="64">
        <f t="shared" ref="G28:H28" si="26">+G26+G27+G24+G25</f>
        <v>2634000</v>
      </c>
      <c r="H28" s="64">
        <f t="shared" si="26"/>
        <v>2633718</v>
      </c>
      <c r="I28" s="64">
        <f t="shared" si="25"/>
        <v>0</v>
      </c>
      <c r="J28" s="64">
        <f t="shared" si="25"/>
        <v>0</v>
      </c>
      <c r="K28" s="64">
        <f t="shared" si="25"/>
        <v>0</v>
      </c>
      <c r="L28" s="64">
        <f t="shared" si="25"/>
        <v>0</v>
      </c>
      <c r="M28" s="64">
        <f t="shared" si="25"/>
        <v>0</v>
      </c>
      <c r="N28" s="64">
        <f t="shared" si="25"/>
        <v>0</v>
      </c>
      <c r="O28" s="64">
        <f t="shared" si="25"/>
        <v>0</v>
      </c>
      <c r="P28" s="64">
        <f t="shared" si="25"/>
        <v>0</v>
      </c>
      <c r="Q28" s="64">
        <f t="shared" si="25"/>
        <v>0</v>
      </c>
      <c r="R28" s="64">
        <f t="shared" si="25"/>
        <v>0</v>
      </c>
      <c r="S28" s="64">
        <f t="shared" si="25"/>
        <v>0</v>
      </c>
      <c r="T28" s="64">
        <f t="shared" si="25"/>
        <v>0</v>
      </c>
      <c r="U28" s="64">
        <f t="shared" si="25"/>
        <v>0</v>
      </c>
      <c r="V28" s="64">
        <f t="shared" ref="V28:W28" si="27">+V26+V27+V24+V25</f>
        <v>2310140</v>
      </c>
      <c r="W28" s="64">
        <f t="shared" si="27"/>
        <v>2296875</v>
      </c>
      <c r="X28" s="64">
        <f t="shared" si="25"/>
        <v>0</v>
      </c>
      <c r="Y28" s="64">
        <f t="shared" si="25"/>
        <v>0</v>
      </c>
      <c r="Z28" s="64">
        <f t="shared" si="25"/>
        <v>15</v>
      </c>
      <c r="AA28" s="64">
        <f t="shared" si="25"/>
        <v>0</v>
      </c>
      <c r="AB28" s="64">
        <f t="shared" si="25"/>
        <v>0</v>
      </c>
      <c r="AC28" s="64">
        <f t="shared" si="25"/>
        <v>0</v>
      </c>
      <c r="AD28" s="64">
        <f t="shared" si="25"/>
        <v>0</v>
      </c>
      <c r="AE28" s="64">
        <f>+AE26+AE27+AE24+AE25</f>
        <v>4965500</v>
      </c>
      <c r="AF28" s="64">
        <f>+AF26+AF27+AF24+AF25</f>
        <v>4949262</v>
      </c>
    </row>
    <row r="29" spans="1:32" s="23" customFormat="1" ht="25.5" x14ac:dyDescent="0.2">
      <c r="A29" s="54" t="s">
        <v>200</v>
      </c>
      <c r="B29" s="53">
        <v>65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>
        <f t="shared" ref="AD29" si="28">+C29+F29+I29+L29++O29+R29+U29+X29+AA29</f>
        <v>0</v>
      </c>
      <c r="AE29" s="62">
        <f t="shared" ref="AE29" si="29">+D29+G29+J29+M29++P29+S29+V29+Y29+AB29</f>
        <v>0</v>
      </c>
      <c r="AF29" s="62">
        <f t="shared" ref="AF29" si="30">+E29+H29+K29+N29++Q29+T29+W29+Z29+AC29</f>
        <v>0</v>
      </c>
    </row>
    <row r="30" spans="1:32" s="23" customFormat="1" x14ac:dyDescent="0.2">
      <c r="A30" s="56"/>
      <c r="B30" s="57">
        <v>6</v>
      </c>
      <c r="C30" s="64">
        <f>+C29</f>
        <v>0</v>
      </c>
      <c r="D30" s="64">
        <f>+D29</f>
        <v>0</v>
      </c>
      <c r="E30" s="64">
        <f>+E29</f>
        <v>0</v>
      </c>
      <c r="F30" s="64">
        <f t="shared" ref="F30:AF30" si="31">+F29</f>
        <v>0</v>
      </c>
      <c r="G30" s="64">
        <f t="shared" si="31"/>
        <v>0</v>
      </c>
      <c r="H30" s="64">
        <f t="shared" si="31"/>
        <v>0</v>
      </c>
      <c r="I30" s="64">
        <f t="shared" si="31"/>
        <v>0</v>
      </c>
      <c r="J30" s="64">
        <f t="shared" si="31"/>
        <v>0</v>
      </c>
      <c r="K30" s="64">
        <f t="shared" si="31"/>
        <v>0</v>
      </c>
      <c r="L30" s="64">
        <f t="shared" si="31"/>
        <v>0</v>
      </c>
      <c r="M30" s="64">
        <f t="shared" si="31"/>
        <v>0</v>
      </c>
      <c r="N30" s="64">
        <f t="shared" si="31"/>
        <v>0</v>
      </c>
      <c r="O30" s="64">
        <f t="shared" si="31"/>
        <v>0</v>
      </c>
      <c r="P30" s="64">
        <f t="shared" si="31"/>
        <v>0</v>
      </c>
      <c r="Q30" s="64">
        <f t="shared" si="31"/>
        <v>0</v>
      </c>
      <c r="R30" s="64">
        <f t="shared" si="31"/>
        <v>0</v>
      </c>
      <c r="S30" s="64">
        <f t="shared" si="31"/>
        <v>0</v>
      </c>
      <c r="T30" s="64">
        <f t="shared" si="31"/>
        <v>0</v>
      </c>
      <c r="U30" s="64">
        <f t="shared" si="31"/>
        <v>0</v>
      </c>
      <c r="V30" s="64">
        <f t="shared" si="31"/>
        <v>0</v>
      </c>
      <c r="W30" s="64">
        <f t="shared" si="31"/>
        <v>0</v>
      </c>
      <c r="X30" s="64">
        <f t="shared" si="31"/>
        <v>0</v>
      </c>
      <c r="Y30" s="64">
        <f t="shared" si="31"/>
        <v>0</v>
      </c>
      <c r="Z30" s="64">
        <f t="shared" si="31"/>
        <v>0</v>
      </c>
      <c r="AA30" s="64">
        <f t="shared" si="31"/>
        <v>0</v>
      </c>
      <c r="AB30" s="64">
        <f t="shared" si="31"/>
        <v>0</v>
      </c>
      <c r="AC30" s="64">
        <f t="shared" si="31"/>
        <v>0</v>
      </c>
      <c r="AD30" s="64">
        <f t="shared" si="31"/>
        <v>0</v>
      </c>
      <c r="AE30" s="64">
        <f t="shared" si="31"/>
        <v>0</v>
      </c>
      <c r="AF30" s="64">
        <f t="shared" si="31"/>
        <v>0</v>
      </c>
    </row>
    <row r="31" spans="1:32" s="23" customFormat="1" ht="21.6" customHeight="1" x14ac:dyDescent="0.2">
      <c r="A31" s="56" t="s">
        <v>129</v>
      </c>
      <c r="B31" s="58" t="s">
        <v>128</v>
      </c>
      <c r="C31" s="64">
        <f t="shared" ref="C31:AF31" si="32">+C16+C23+C28+C30+C18</f>
        <v>11148012</v>
      </c>
      <c r="D31" s="64">
        <f t="shared" si="32"/>
        <v>38535508</v>
      </c>
      <c r="E31" s="64">
        <f t="shared" si="32"/>
        <v>38539308</v>
      </c>
      <c r="F31" s="64">
        <f t="shared" si="32"/>
        <v>1538390</v>
      </c>
      <c r="G31" s="64">
        <f t="shared" si="32"/>
        <v>4172390</v>
      </c>
      <c r="H31" s="64">
        <f t="shared" si="32"/>
        <v>4172108</v>
      </c>
      <c r="I31" s="64">
        <f t="shared" si="32"/>
        <v>672000</v>
      </c>
      <c r="J31" s="64">
        <f t="shared" si="32"/>
        <v>672000</v>
      </c>
      <c r="K31" s="64">
        <f t="shared" si="32"/>
        <v>672000</v>
      </c>
      <c r="L31" s="64">
        <f t="shared" si="32"/>
        <v>0</v>
      </c>
      <c r="M31" s="64">
        <f t="shared" si="32"/>
        <v>0</v>
      </c>
      <c r="N31" s="64">
        <f t="shared" si="32"/>
        <v>0</v>
      </c>
      <c r="O31" s="64">
        <f t="shared" si="32"/>
        <v>5046000</v>
      </c>
      <c r="P31" s="64">
        <f t="shared" si="32"/>
        <v>8736650</v>
      </c>
      <c r="Q31" s="64">
        <f t="shared" si="32"/>
        <v>8736650</v>
      </c>
      <c r="R31" s="64">
        <f t="shared" si="32"/>
        <v>100000</v>
      </c>
      <c r="S31" s="64">
        <f t="shared" si="32"/>
        <v>100000</v>
      </c>
      <c r="T31" s="64">
        <f t="shared" si="32"/>
        <v>100000</v>
      </c>
      <c r="U31" s="64">
        <f t="shared" si="32"/>
        <v>6990750</v>
      </c>
      <c r="V31" s="64">
        <f t="shared" si="32"/>
        <v>62599604</v>
      </c>
      <c r="W31" s="64">
        <f t="shared" si="32"/>
        <v>62543021</v>
      </c>
      <c r="X31" s="64">
        <f t="shared" si="32"/>
        <v>600000</v>
      </c>
      <c r="Y31" s="64">
        <f t="shared" si="32"/>
        <v>600000</v>
      </c>
      <c r="Z31" s="64">
        <f t="shared" si="32"/>
        <v>600015</v>
      </c>
      <c r="AA31" s="64">
        <f t="shared" si="32"/>
        <v>1200000</v>
      </c>
      <c r="AB31" s="64">
        <f t="shared" si="32"/>
        <v>1200000</v>
      </c>
      <c r="AC31" s="64">
        <f t="shared" si="32"/>
        <v>1200000</v>
      </c>
      <c r="AD31" s="64">
        <f t="shared" si="32"/>
        <v>27295152</v>
      </c>
      <c r="AE31" s="64">
        <f t="shared" si="32"/>
        <v>116616152</v>
      </c>
      <c r="AF31" s="64">
        <f t="shared" si="32"/>
        <v>116563102</v>
      </c>
    </row>
    <row r="32" spans="1:32" ht="25.5" x14ac:dyDescent="0.2">
      <c r="A32" s="56" t="s">
        <v>127</v>
      </c>
      <c r="B32" s="57">
        <v>8131</v>
      </c>
      <c r="C32" s="64">
        <v>11020000</v>
      </c>
      <c r="D32" s="64">
        <v>13849160</v>
      </c>
      <c r="E32" s="64">
        <v>13849160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>
        <f>+C32+F32+I32+L32+O32+R32+U32+X32+AA32</f>
        <v>11020000</v>
      </c>
      <c r="AE32" s="64">
        <f t="shared" ref="AE32:AE33" si="33">+D32+G32+J32+M32+P32+S32+V32+Y32+AB32</f>
        <v>13849160</v>
      </c>
      <c r="AF32" s="64">
        <f t="shared" ref="AF32:AF33" si="34">+E32+H32+K32+N32+Q32+T32+W32+Z32+AC32</f>
        <v>13849160</v>
      </c>
    </row>
    <row r="33" spans="1:32" ht="25.5" x14ac:dyDescent="0.2">
      <c r="A33" s="56" t="s">
        <v>201</v>
      </c>
      <c r="B33" s="57">
        <v>814</v>
      </c>
      <c r="C33" s="64"/>
      <c r="D33" s="64"/>
      <c r="E33" s="64">
        <v>814169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>
        <f>+C33+F33+I33+L33+O33+R33+U33+X33+AA33</f>
        <v>0</v>
      </c>
      <c r="AE33" s="64">
        <f t="shared" si="33"/>
        <v>0</v>
      </c>
      <c r="AF33" s="64">
        <f t="shared" si="34"/>
        <v>814169</v>
      </c>
    </row>
    <row r="34" spans="1:32" ht="25.5" x14ac:dyDescent="0.2">
      <c r="A34" s="59" t="s">
        <v>150</v>
      </c>
      <c r="B34" s="60" t="s">
        <v>86</v>
      </c>
      <c r="C34" s="65">
        <f t="shared" ref="C34:D34" si="35">+C31+C32+C33</f>
        <v>22168012</v>
      </c>
      <c r="D34" s="65">
        <f t="shared" si="35"/>
        <v>52384668</v>
      </c>
      <c r="E34" s="65">
        <f>+E31+E32+E33</f>
        <v>53202637</v>
      </c>
      <c r="F34" s="65">
        <f t="shared" ref="F34:AF34" si="36">+F31+F32+F33</f>
        <v>1538390</v>
      </c>
      <c r="G34" s="65">
        <f t="shared" si="36"/>
        <v>4172390</v>
      </c>
      <c r="H34" s="65">
        <f t="shared" si="36"/>
        <v>4172108</v>
      </c>
      <c r="I34" s="65">
        <f t="shared" si="36"/>
        <v>672000</v>
      </c>
      <c r="J34" s="65">
        <f t="shared" si="36"/>
        <v>672000</v>
      </c>
      <c r="K34" s="65">
        <f t="shared" si="36"/>
        <v>672000</v>
      </c>
      <c r="L34" s="65">
        <f t="shared" si="36"/>
        <v>0</v>
      </c>
      <c r="M34" s="65">
        <f t="shared" si="36"/>
        <v>0</v>
      </c>
      <c r="N34" s="65">
        <f t="shared" si="36"/>
        <v>0</v>
      </c>
      <c r="O34" s="65">
        <f t="shared" si="36"/>
        <v>5046000</v>
      </c>
      <c r="P34" s="65">
        <f t="shared" si="36"/>
        <v>8736650</v>
      </c>
      <c r="Q34" s="65">
        <f t="shared" si="36"/>
        <v>8736650</v>
      </c>
      <c r="R34" s="65">
        <f t="shared" si="36"/>
        <v>100000</v>
      </c>
      <c r="S34" s="65">
        <f t="shared" si="36"/>
        <v>100000</v>
      </c>
      <c r="T34" s="65">
        <f t="shared" si="36"/>
        <v>100000</v>
      </c>
      <c r="U34" s="65">
        <f t="shared" si="36"/>
        <v>6990750</v>
      </c>
      <c r="V34" s="65">
        <f t="shared" si="36"/>
        <v>62599604</v>
      </c>
      <c r="W34" s="65">
        <f t="shared" si="36"/>
        <v>62543021</v>
      </c>
      <c r="X34" s="65">
        <f t="shared" si="36"/>
        <v>600000</v>
      </c>
      <c r="Y34" s="65">
        <f t="shared" si="36"/>
        <v>600000</v>
      </c>
      <c r="Z34" s="65">
        <f t="shared" si="36"/>
        <v>600015</v>
      </c>
      <c r="AA34" s="65">
        <f t="shared" si="36"/>
        <v>1200000</v>
      </c>
      <c r="AB34" s="65">
        <f t="shared" si="36"/>
        <v>1200000</v>
      </c>
      <c r="AC34" s="65">
        <f t="shared" si="36"/>
        <v>1200000</v>
      </c>
      <c r="AD34" s="65">
        <f t="shared" si="36"/>
        <v>38315152</v>
      </c>
      <c r="AE34" s="65">
        <f t="shared" si="36"/>
        <v>130465312</v>
      </c>
      <c r="AF34" s="65">
        <f t="shared" si="36"/>
        <v>131226431</v>
      </c>
    </row>
    <row r="35" spans="1:32" x14ac:dyDescent="0.2">
      <c r="E35" s="107"/>
    </row>
  </sheetData>
  <mergeCells count="32">
    <mergeCell ref="L7:N7"/>
    <mergeCell ref="O6:Q6"/>
    <mergeCell ref="O7:Q7"/>
    <mergeCell ref="C6:E6"/>
    <mergeCell ref="C7:E7"/>
    <mergeCell ref="F6:H6"/>
    <mergeCell ref="F7:H7"/>
    <mergeCell ref="I6:K6"/>
    <mergeCell ref="I7:K7"/>
    <mergeCell ref="A3:AF3"/>
    <mergeCell ref="AA6:AC6"/>
    <mergeCell ref="AA7:AC7"/>
    <mergeCell ref="AD5:AF7"/>
    <mergeCell ref="A5:A8"/>
    <mergeCell ref="R6:T6"/>
    <mergeCell ref="R7:T7"/>
    <mergeCell ref="U6:W6"/>
    <mergeCell ref="U7:W7"/>
    <mergeCell ref="X6:Z6"/>
    <mergeCell ref="X7:Z7"/>
    <mergeCell ref="L6:N6"/>
    <mergeCell ref="A1:AF1"/>
    <mergeCell ref="A2:AF2"/>
    <mergeCell ref="O5:Q5"/>
    <mergeCell ref="R5:T5"/>
    <mergeCell ref="U5:W5"/>
    <mergeCell ref="X5:Z5"/>
    <mergeCell ref="AA5:AC5"/>
    <mergeCell ref="C5:E5"/>
    <mergeCell ref="F5:H5"/>
    <mergeCell ref="I5:K5"/>
    <mergeCell ref="L5:N5"/>
  </mergeCells>
  <pageMargins left="0.15748031496062992" right="0.78740157480314965" top="0.39370078740157483" bottom="0.98425196850393704" header="0.51181102362204722" footer="0.51181102362204722"/>
  <pageSetup paperSize="8" scale="51" orientation="landscape" blackAndWhite="1" r:id="rId1"/>
  <headerFooter alignWithMargins="0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2"/>
  <sheetViews>
    <sheetView zoomScale="81" zoomScaleNormal="81" zoomScaleSheetLayoutView="100" workbookViewId="0">
      <selection activeCell="AJ29" sqref="AJ29"/>
    </sheetView>
  </sheetViews>
  <sheetFormatPr defaultColWidth="11.5703125" defaultRowHeight="12.75" x14ac:dyDescent="0.2"/>
  <cols>
    <col min="1" max="1" width="26" style="20" customWidth="1"/>
    <col min="2" max="2" width="5.42578125" style="19" customWidth="1"/>
    <col min="3" max="3" width="12.140625" style="21" bestFit="1" customWidth="1"/>
    <col min="4" max="4" width="12" style="21" bestFit="1" customWidth="1"/>
    <col min="5" max="5" width="13" style="21" bestFit="1" customWidth="1"/>
    <col min="6" max="6" width="12.140625" style="20" bestFit="1" customWidth="1"/>
    <col min="7" max="7" width="12" style="20" bestFit="1" customWidth="1"/>
    <col min="8" max="8" width="13" style="20" bestFit="1" customWidth="1"/>
    <col min="9" max="9" width="9.7109375" style="20" customWidth="1"/>
    <col min="10" max="10" width="10.28515625" style="20" customWidth="1"/>
    <col min="11" max="11" width="10" style="20" customWidth="1"/>
    <col min="12" max="12" width="9.28515625" style="20" customWidth="1"/>
    <col min="13" max="13" width="10.42578125" style="20" bestFit="1" customWidth="1"/>
    <col min="14" max="14" width="9.7109375" style="20" customWidth="1"/>
    <col min="15" max="17" width="10.28515625" style="20" customWidth="1"/>
    <col min="18" max="18" width="11" style="20" customWidth="1"/>
    <col min="19" max="19" width="11.140625" style="20" customWidth="1"/>
    <col min="20" max="20" width="12.7109375" style="20" customWidth="1"/>
    <col min="21" max="21" width="9.5703125" style="20" customWidth="1"/>
    <col min="22" max="22" width="9.7109375" style="20" customWidth="1"/>
    <col min="23" max="23" width="9.28515625" style="20" customWidth="1"/>
    <col min="24" max="24" width="12.140625" style="20" bestFit="1" customWidth="1"/>
    <col min="25" max="25" width="12" style="20" bestFit="1" customWidth="1"/>
    <col min="26" max="26" width="13" style="20" bestFit="1" customWidth="1"/>
    <col min="27" max="27" width="10" style="20" customWidth="1"/>
    <col min="28" max="28" width="10.140625" style="20" customWidth="1"/>
    <col min="29" max="29" width="10.28515625" style="20" customWidth="1"/>
    <col min="30" max="30" width="12.140625" style="20" bestFit="1" customWidth="1"/>
    <col min="31" max="31" width="11.7109375" style="20" bestFit="1" customWidth="1"/>
    <col min="32" max="32" width="11.42578125" style="20" customWidth="1"/>
    <col min="33" max="33" width="12.42578125" style="20" customWidth="1"/>
    <col min="34" max="34" width="15.28515625" style="19" customWidth="1"/>
    <col min="35" max="35" width="15.7109375" style="19" bestFit="1" customWidth="1"/>
    <col min="36" max="56" width="11.5703125" style="19" customWidth="1"/>
    <col min="57" max="16384" width="11.5703125" style="19"/>
  </cols>
  <sheetData>
    <row r="1" spans="1:63" x14ac:dyDescent="0.2">
      <c r="A1" s="114" t="s">
        <v>213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63" ht="13.15" customHeight="1" x14ac:dyDescent="0.25">
      <c r="A2" s="114" t="str">
        <f>+'1. mell. bevételek'!A2:AF2</f>
        <v>3/2020.(VI.16.) önkormányzati rendelet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63" ht="11.45" customHeight="1" x14ac:dyDescent="0.2">
      <c r="A3" s="137" t="s">
        <v>220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</row>
    <row r="4" spans="1:63" ht="11.45" customHeight="1" x14ac:dyDescent="0.25">
      <c r="A4" s="27"/>
      <c r="B4" s="27"/>
      <c r="C4" s="27"/>
      <c r="D4" s="40"/>
      <c r="E4" s="40"/>
      <c r="F4" s="27"/>
      <c r="G4" s="40"/>
      <c r="H4" s="40"/>
      <c r="I4" s="27"/>
      <c r="J4" s="40"/>
      <c r="K4" s="40"/>
      <c r="L4" s="27"/>
      <c r="M4" s="40"/>
      <c r="N4" s="40"/>
      <c r="O4" s="27"/>
      <c r="P4" s="40"/>
      <c r="Q4" s="40"/>
      <c r="R4" s="27"/>
      <c r="S4" s="40"/>
      <c r="T4" s="40"/>
      <c r="U4" s="27"/>
      <c r="V4" s="40"/>
      <c r="W4" s="40"/>
      <c r="X4" s="27"/>
      <c r="Y4" s="40"/>
      <c r="Z4" s="40"/>
      <c r="AA4" s="27"/>
      <c r="AB4" s="40"/>
      <c r="AC4" s="40"/>
      <c r="AD4" s="27"/>
      <c r="AE4" s="40"/>
      <c r="AF4" s="40"/>
      <c r="AG4" s="27"/>
      <c r="AH4" s="27"/>
    </row>
    <row r="5" spans="1:63" ht="27" customHeight="1" x14ac:dyDescent="0.2">
      <c r="A5" s="138" t="s">
        <v>154</v>
      </c>
      <c r="B5" s="139" t="s">
        <v>155</v>
      </c>
      <c r="C5" s="115" t="s">
        <v>126</v>
      </c>
      <c r="D5" s="116"/>
      <c r="E5" s="117"/>
      <c r="F5" s="115" t="s">
        <v>151</v>
      </c>
      <c r="G5" s="116"/>
      <c r="H5" s="117"/>
      <c r="I5" s="115" t="s">
        <v>125</v>
      </c>
      <c r="J5" s="116"/>
      <c r="K5" s="117"/>
      <c r="L5" s="115" t="s">
        <v>124</v>
      </c>
      <c r="M5" s="116"/>
      <c r="N5" s="117"/>
      <c r="O5" s="115" t="s">
        <v>215</v>
      </c>
      <c r="P5" s="116"/>
      <c r="Q5" s="117"/>
      <c r="R5" s="115" t="s">
        <v>123</v>
      </c>
      <c r="S5" s="116"/>
      <c r="T5" s="117"/>
      <c r="U5" s="115" t="s">
        <v>122</v>
      </c>
      <c r="V5" s="116"/>
      <c r="W5" s="117"/>
      <c r="X5" s="115" t="s">
        <v>121</v>
      </c>
      <c r="Y5" s="116"/>
      <c r="Z5" s="117"/>
      <c r="AA5" s="115" t="s">
        <v>120</v>
      </c>
      <c r="AB5" s="116"/>
      <c r="AC5" s="117"/>
      <c r="AD5" s="118" t="s">
        <v>147</v>
      </c>
      <c r="AE5" s="119"/>
      <c r="AF5" s="120"/>
      <c r="AG5" s="133" t="s">
        <v>71</v>
      </c>
      <c r="AH5" s="133"/>
      <c r="AI5" s="133"/>
    </row>
    <row r="6" spans="1:63" s="22" customFormat="1" ht="14.45" customHeight="1" x14ac:dyDescent="0.2">
      <c r="A6" s="138"/>
      <c r="B6" s="139"/>
      <c r="C6" s="121" t="s">
        <v>152</v>
      </c>
      <c r="D6" s="122"/>
      <c r="E6" s="123"/>
      <c r="F6" s="121" t="s">
        <v>117</v>
      </c>
      <c r="G6" s="122"/>
      <c r="H6" s="123"/>
      <c r="I6" s="121" t="s">
        <v>118</v>
      </c>
      <c r="J6" s="122"/>
      <c r="K6" s="123"/>
      <c r="L6" s="121" t="s">
        <v>178</v>
      </c>
      <c r="M6" s="122"/>
      <c r="N6" s="123"/>
      <c r="O6" s="121" t="s">
        <v>214</v>
      </c>
      <c r="P6" s="122"/>
      <c r="Q6" s="123"/>
      <c r="R6" s="121"/>
      <c r="S6" s="122"/>
      <c r="T6" s="123"/>
      <c r="U6" s="121" t="s">
        <v>116</v>
      </c>
      <c r="V6" s="122"/>
      <c r="W6" s="123"/>
      <c r="X6" s="121" t="s">
        <v>115</v>
      </c>
      <c r="Y6" s="122"/>
      <c r="Z6" s="123"/>
      <c r="AA6" s="121" t="s">
        <v>114</v>
      </c>
      <c r="AB6" s="122"/>
      <c r="AC6" s="123"/>
      <c r="AD6" s="130" t="s">
        <v>153</v>
      </c>
      <c r="AE6" s="131"/>
      <c r="AF6" s="132"/>
      <c r="AG6" s="133"/>
      <c r="AH6" s="133"/>
      <c r="AI6" s="13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1:63" ht="14.45" customHeight="1" x14ac:dyDescent="0.2">
      <c r="A7" s="138"/>
      <c r="B7" s="139"/>
      <c r="C7" s="124">
        <v>84111121</v>
      </c>
      <c r="D7" s="125"/>
      <c r="E7" s="126"/>
      <c r="F7" s="124">
        <v>8414031</v>
      </c>
      <c r="G7" s="125"/>
      <c r="H7" s="126"/>
      <c r="I7" s="124">
        <v>8414021</v>
      </c>
      <c r="J7" s="125"/>
      <c r="K7" s="126"/>
      <c r="L7" s="124">
        <v>8690421</v>
      </c>
      <c r="M7" s="125"/>
      <c r="N7" s="126"/>
      <c r="O7" s="124">
        <v>8899241</v>
      </c>
      <c r="P7" s="125"/>
      <c r="Q7" s="126"/>
      <c r="R7" s="124">
        <v>88</v>
      </c>
      <c r="S7" s="125"/>
      <c r="T7" s="126"/>
      <c r="U7" s="124">
        <v>9603021</v>
      </c>
      <c r="V7" s="125"/>
      <c r="W7" s="126"/>
      <c r="X7" s="124">
        <v>8904421</v>
      </c>
      <c r="Y7" s="125"/>
      <c r="Z7" s="126"/>
      <c r="AA7" s="124">
        <v>9101231</v>
      </c>
      <c r="AB7" s="125"/>
      <c r="AC7" s="126"/>
      <c r="AD7" s="130">
        <v>9105011</v>
      </c>
      <c r="AE7" s="131"/>
      <c r="AF7" s="132"/>
      <c r="AG7" s="133"/>
      <c r="AH7" s="133"/>
      <c r="AI7" s="133"/>
    </row>
    <row r="8" spans="1:63" ht="32.450000000000003" customHeight="1" x14ac:dyDescent="0.2">
      <c r="A8" s="138"/>
      <c r="B8" s="139"/>
      <c r="C8" s="61" t="s">
        <v>195</v>
      </c>
      <c r="D8" s="61" t="s">
        <v>196</v>
      </c>
      <c r="E8" s="61" t="s">
        <v>197</v>
      </c>
      <c r="F8" s="61" t="s">
        <v>195</v>
      </c>
      <c r="G8" s="61" t="s">
        <v>196</v>
      </c>
      <c r="H8" s="61" t="s">
        <v>197</v>
      </c>
      <c r="I8" s="61" t="s">
        <v>195</v>
      </c>
      <c r="J8" s="61" t="s">
        <v>196</v>
      </c>
      <c r="K8" s="61" t="s">
        <v>197</v>
      </c>
      <c r="L8" s="61" t="s">
        <v>195</v>
      </c>
      <c r="M8" s="61" t="s">
        <v>196</v>
      </c>
      <c r="N8" s="61" t="s">
        <v>197</v>
      </c>
      <c r="O8" s="61" t="s">
        <v>195</v>
      </c>
      <c r="P8" s="61" t="s">
        <v>196</v>
      </c>
      <c r="Q8" s="61" t="s">
        <v>197</v>
      </c>
      <c r="R8" s="61" t="s">
        <v>195</v>
      </c>
      <c r="S8" s="61" t="s">
        <v>196</v>
      </c>
      <c r="T8" s="61" t="s">
        <v>197</v>
      </c>
      <c r="U8" s="61" t="s">
        <v>195</v>
      </c>
      <c r="V8" s="61" t="s">
        <v>196</v>
      </c>
      <c r="W8" s="61" t="s">
        <v>197</v>
      </c>
      <c r="X8" s="61" t="s">
        <v>195</v>
      </c>
      <c r="Y8" s="61" t="s">
        <v>196</v>
      </c>
      <c r="Z8" s="61" t="s">
        <v>197</v>
      </c>
      <c r="AA8" s="61" t="s">
        <v>195</v>
      </c>
      <c r="AB8" s="61" t="s">
        <v>196</v>
      </c>
      <c r="AC8" s="61" t="s">
        <v>197</v>
      </c>
      <c r="AD8" s="61" t="s">
        <v>195</v>
      </c>
      <c r="AE8" s="61" t="s">
        <v>196</v>
      </c>
      <c r="AF8" s="61" t="s">
        <v>197</v>
      </c>
      <c r="AG8" s="61" t="s">
        <v>195</v>
      </c>
      <c r="AH8" s="61" t="s">
        <v>196</v>
      </c>
      <c r="AI8" s="61" t="s">
        <v>197</v>
      </c>
    </row>
    <row r="9" spans="1:63" s="75" customFormat="1" ht="12" x14ac:dyDescent="0.2">
      <c r="A9" s="69" t="s">
        <v>112</v>
      </c>
      <c r="B9" s="70">
        <v>1101</v>
      </c>
      <c r="C9" s="71"/>
      <c r="D9" s="71"/>
      <c r="E9" s="71"/>
      <c r="F9" s="71"/>
      <c r="G9" s="71">
        <v>8500000</v>
      </c>
      <c r="H9" s="71">
        <v>8455225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>
        <v>8775000</v>
      </c>
      <c r="Y9" s="71">
        <f>20200000+29851347-29903000</f>
        <v>20148347</v>
      </c>
      <c r="Z9" s="71">
        <v>20122140</v>
      </c>
      <c r="AA9" s="71"/>
      <c r="AB9" s="71"/>
      <c r="AC9" s="72"/>
      <c r="AD9" s="72"/>
      <c r="AE9" s="72">
        <v>1203000</v>
      </c>
      <c r="AF9" s="72">
        <v>1203000</v>
      </c>
      <c r="AG9" s="73">
        <f>+C9+F9+I9+L9+O9+R9+U9+X9+AA9+AD9</f>
        <v>8775000</v>
      </c>
      <c r="AH9" s="73">
        <f t="shared" ref="AH9" si="0">+D9+G9+J9+M9+P9+S9+V9+Y9+AB9+AE9</f>
        <v>29851347</v>
      </c>
      <c r="AI9" s="73">
        <f t="shared" ref="AI9:AI12" si="1">+E9+H9+K9+N9+Q9+T9+W9+Z9+AC9+AF9</f>
        <v>29780365</v>
      </c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</row>
    <row r="10" spans="1:63" s="75" customFormat="1" ht="12" x14ac:dyDescent="0.2">
      <c r="A10" s="69" t="s">
        <v>111</v>
      </c>
      <c r="B10" s="70">
        <v>1107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2"/>
      <c r="AG10" s="73">
        <f t="shared" ref="AG10:AG11" si="2">+C10+F10+I10+L10+O10+R10+U10+X10+AA10+AD10</f>
        <v>0</v>
      </c>
      <c r="AH10" s="73">
        <f t="shared" ref="AH10:AH11" si="3">+D10+G10+J10+M10+P10+S10+V10+Y10+AB10+AE10</f>
        <v>0</v>
      </c>
      <c r="AI10" s="73">
        <f t="shared" ref="AI10:AI11" si="4">+E10+H10+K10+N10+Q10+T10+W10+Z10+AC10+AF10</f>
        <v>0</v>
      </c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</row>
    <row r="11" spans="1:63" s="76" customFormat="1" ht="12" x14ac:dyDescent="0.2">
      <c r="A11" s="69" t="s">
        <v>110</v>
      </c>
      <c r="B11" s="70">
        <v>1113</v>
      </c>
      <c r="C11" s="71"/>
      <c r="D11" s="71"/>
      <c r="E11" s="71"/>
      <c r="F11" s="71"/>
      <c r="G11" s="71">
        <v>400000</v>
      </c>
      <c r="H11" s="71">
        <v>389999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>
        <f>375000+63000</f>
        <v>438000</v>
      </c>
      <c r="Z11" s="71">
        <v>374826</v>
      </c>
      <c r="AA11" s="71"/>
      <c r="AB11" s="71">
        <v>282000</v>
      </c>
      <c r="AC11" s="71">
        <v>282000</v>
      </c>
      <c r="AD11" s="71"/>
      <c r="AE11" s="71"/>
      <c r="AF11" s="72"/>
      <c r="AG11" s="73">
        <f t="shared" si="2"/>
        <v>0</v>
      </c>
      <c r="AH11" s="73">
        <f t="shared" si="3"/>
        <v>1120000</v>
      </c>
      <c r="AI11" s="73">
        <f t="shared" si="4"/>
        <v>1046825</v>
      </c>
    </row>
    <row r="12" spans="1:63" s="76" customFormat="1" ht="12" x14ac:dyDescent="0.2">
      <c r="A12" s="77" t="s">
        <v>156</v>
      </c>
      <c r="B12" s="78">
        <v>11</v>
      </c>
      <c r="C12" s="79"/>
      <c r="D12" s="79"/>
      <c r="E12" s="79"/>
      <c r="F12" s="79">
        <v>0</v>
      </c>
      <c r="G12" s="79">
        <f>+G9+G11</f>
        <v>8900000</v>
      </c>
      <c r="H12" s="79">
        <f>+H9+H11</f>
        <v>8845224</v>
      </c>
      <c r="I12" s="79">
        <v>0</v>
      </c>
      <c r="J12" s="79">
        <v>0</v>
      </c>
      <c r="K12" s="79"/>
      <c r="L12" s="79">
        <v>0</v>
      </c>
      <c r="M12" s="79">
        <v>0</v>
      </c>
      <c r="N12" s="79"/>
      <c r="O12" s="79"/>
      <c r="P12" s="79">
        <f>+P9</f>
        <v>0</v>
      </c>
      <c r="Q12" s="79">
        <f>+Q9</f>
        <v>0</v>
      </c>
      <c r="R12" s="79">
        <v>0</v>
      </c>
      <c r="S12" s="79">
        <v>0</v>
      </c>
      <c r="T12" s="79"/>
      <c r="U12" s="79">
        <v>0</v>
      </c>
      <c r="V12" s="79">
        <v>0</v>
      </c>
      <c r="W12" s="79"/>
      <c r="X12" s="79">
        <f>+X9</f>
        <v>8775000</v>
      </c>
      <c r="Y12" s="79">
        <f>+Y9+Y11</f>
        <v>20586347</v>
      </c>
      <c r="Z12" s="79">
        <f>+Z9+Z11</f>
        <v>20496966</v>
      </c>
      <c r="AA12" s="79">
        <v>0</v>
      </c>
      <c r="AB12" s="79">
        <f>+AB11</f>
        <v>282000</v>
      </c>
      <c r="AC12" s="79">
        <f>+AC11</f>
        <v>282000</v>
      </c>
      <c r="AD12" s="79">
        <v>0</v>
      </c>
      <c r="AE12" s="79">
        <f>+AE9</f>
        <v>1203000</v>
      </c>
      <c r="AF12" s="79">
        <f>+AF9</f>
        <v>1203000</v>
      </c>
      <c r="AG12" s="80">
        <f>+C12+F12+I12+L12+O12+R12+U12+X12+AA12+AD12</f>
        <v>8775000</v>
      </c>
      <c r="AH12" s="80">
        <f>+D12+G12+J12+M12+P12+S12+V12+Y12+AB12+AE12</f>
        <v>30971347</v>
      </c>
      <c r="AI12" s="80">
        <f t="shared" si="1"/>
        <v>30827190</v>
      </c>
    </row>
    <row r="13" spans="1:63" s="76" customFormat="1" ht="12" x14ac:dyDescent="0.2">
      <c r="A13" s="69" t="s">
        <v>157</v>
      </c>
      <c r="B13" s="70">
        <v>121</v>
      </c>
      <c r="C13" s="71">
        <v>6167960</v>
      </c>
      <c r="D13" s="71">
        <v>6227960</v>
      </c>
      <c r="E13" s="71">
        <v>6224039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3">
        <f t="shared" ref="AG13:AH17" si="5">+C13+F13+I13+L13+O13+R13+U13+X13+AA13+AD13</f>
        <v>6167960</v>
      </c>
      <c r="AH13" s="73">
        <f t="shared" ref="AH13:AH17" si="6">+D13+G13+J13+M13+P13+S13+V13+Y13+AB13+AE13</f>
        <v>6227960</v>
      </c>
      <c r="AI13" s="73">
        <f t="shared" ref="AI13:AI17" si="7">+E13+H13+K13+N13+Q13+T13+W13+Z13+AC13+AF13</f>
        <v>6224039</v>
      </c>
    </row>
    <row r="14" spans="1:63" s="76" customFormat="1" ht="24" x14ac:dyDescent="0.2">
      <c r="A14" s="69" t="s">
        <v>158</v>
      </c>
      <c r="B14" s="70">
        <v>122</v>
      </c>
      <c r="C14" s="71"/>
      <c r="D14" s="71"/>
      <c r="E14" s="71"/>
      <c r="F14" s="71"/>
      <c r="G14" s="71">
        <v>145225</v>
      </c>
      <c r="H14" s="71">
        <v>140450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>
        <v>282000</v>
      </c>
      <c r="AB14" s="71"/>
      <c r="AC14" s="71"/>
      <c r="AD14" s="71"/>
      <c r="AE14" s="71"/>
      <c r="AF14" s="71"/>
      <c r="AG14" s="73">
        <f t="shared" si="5"/>
        <v>282000</v>
      </c>
      <c r="AH14" s="73">
        <f t="shared" si="6"/>
        <v>145225</v>
      </c>
      <c r="AI14" s="73">
        <f t="shared" si="7"/>
        <v>140450</v>
      </c>
    </row>
    <row r="15" spans="1:63" s="76" customFormat="1" ht="12" x14ac:dyDescent="0.2">
      <c r="A15" s="77" t="s">
        <v>159</v>
      </c>
      <c r="B15" s="78">
        <v>12</v>
      </c>
      <c r="C15" s="79">
        <f>+C13+C14</f>
        <v>6167960</v>
      </c>
      <c r="D15" s="79">
        <f>+D13+D14</f>
        <v>6227960</v>
      </c>
      <c r="E15" s="79">
        <f>+E13</f>
        <v>6224039</v>
      </c>
      <c r="F15" s="79">
        <v>0</v>
      </c>
      <c r="G15" s="79">
        <f>+G14</f>
        <v>145225</v>
      </c>
      <c r="H15" s="79">
        <f>+H14</f>
        <v>140450</v>
      </c>
      <c r="I15" s="79">
        <v>0</v>
      </c>
      <c r="J15" s="79">
        <v>0</v>
      </c>
      <c r="K15" s="79"/>
      <c r="L15" s="79">
        <v>0</v>
      </c>
      <c r="M15" s="79">
        <v>0</v>
      </c>
      <c r="N15" s="79"/>
      <c r="O15" s="79">
        <v>0</v>
      </c>
      <c r="P15" s="79">
        <v>0</v>
      </c>
      <c r="Q15" s="79"/>
      <c r="R15" s="79">
        <v>0</v>
      </c>
      <c r="S15" s="79">
        <v>0</v>
      </c>
      <c r="T15" s="79"/>
      <c r="U15" s="79">
        <v>0</v>
      </c>
      <c r="V15" s="79">
        <v>0</v>
      </c>
      <c r="W15" s="79"/>
      <c r="X15" s="79">
        <v>0</v>
      </c>
      <c r="Y15" s="79">
        <v>0</v>
      </c>
      <c r="Z15" s="79"/>
      <c r="AA15" s="79">
        <f>+AA14</f>
        <v>282000</v>
      </c>
      <c r="AB15" s="79">
        <f>+AB14</f>
        <v>0</v>
      </c>
      <c r="AC15" s="79">
        <f>+AC14</f>
        <v>0</v>
      </c>
      <c r="AD15" s="79">
        <v>0</v>
      </c>
      <c r="AE15" s="79">
        <v>0</v>
      </c>
      <c r="AF15" s="79"/>
      <c r="AG15" s="80">
        <f t="shared" si="5"/>
        <v>6449960</v>
      </c>
      <c r="AH15" s="80">
        <f t="shared" si="6"/>
        <v>6373185</v>
      </c>
      <c r="AI15" s="80">
        <f t="shared" si="7"/>
        <v>6364489</v>
      </c>
    </row>
    <row r="16" spans="1:63" s="76" customFormat="1" ht="12" x14ac:dyDescent="0.2">
      <c r="A16" s="77" t="s">
        <v>109</v>
      </c>
      <c r="B16" s="78">
        <v>1</v>
      </c>
      <c r="C16" s="79">
        <f>+C15+C12</f>
        <v>6167960</v>
      </c>
      <c r="D16" s="79">
        <f>+D15+D12</f>
        <v>6227960</v>
      </c>
      <c r="E16" s="79">
        <f>+E15</f>
        <v>6224039</v>
      </c>
      <c r="F16" s="79">
        <v>0</v>
      </c>
      <c r="G16" s="79">
        <f>+G12+G15</f>
        <v>9045225</v>
      </c>
      <c r="H16" s="79">
        <f>+H12+H15</f>
        <v>8985674</v>
      </c>
      <c r="I16" s="79">
        <v>0</v>
      </c>
      <c r="J16" s="79">
        <v>0</v>
      </c>
      <c r="K16" s="79"/>
      <c r="L16" s="79">
        <v>0</v>
      </c>
      <c r="M16" s="79">
        <v>0</v>
      </c>
      <c r="N16" s="79"/>
      <c r="O16" s="79"/>
      <c r="P16" s="79">
        <f>+P12</f>
        <v>0</v>
      </c>
      <c r="Q16" s="79">
        <f>+Q12</f>
        <v>0</v>
      </c>
      <c r="R16" s="79">
        <v>0</v>
      </c>
      <c r="S16" s="79">
        <v>0</v>
      </c>
      <c r="T16" s="79"/>
      <c r="U16" s="79">
        <v>0</v>
      </c>
      <c r="V16" s="79">
        <v>0</v>
      </c>
      <c r="W16" s="79"/>
      <c r="X16" s="79">
        <f>+X12</f>
        <v>8775000</v>
      </c>
      <c r="Y16" s="79">
        <f>+Y12</f>
        <v>20586347</v>
      </c>
      <c r="Z16" s="79">
        <f>+Z12</f>
        <v>20496966</v>
      </c>
      <c r="AA16" s="79">
        <f>+AA15</f>
        <v>282000</v>
      </c>
      <c r="AB16" s="79">
        <f>+AB12+AB15</f>
        <v>282000</v>
      </c>
      <c r="AC16" s="79">
        <f>+AC12+AC15</f>
        <v>282000</v>
      </c>
      <c r="AD16" s="79">
        <v>0</v>
      </c>
      <c r="AE16" s="79">
        <f>+AE12</f>
        <v>1203000</v>
      </c>
      <c r="AF16" s="79">
        <f>+AF12</f>
        <v>1203000</v>
      </c>
      <c r="AG16" s="80">
        <f t="shared" si="5"/>
        <v>15224960</v>
      </c>
      <c r="AH16" s="80">
        <f t="shared" si="5"/>
        <v>37344532</v>
      </c>
      <c r="AI16" s="80">
        <f t="shared" si="7"/>
        <v>37191679</v>
      </c>
    </row>
    <row r="17" spans="1:36" s="76" customFormat="1" ht="24" x14ac:dyDescent="0.2">
      <c r="A17" s="77" t="s">
        <v>160</v>
      </c>
      <c r="B17" s="78">
        <v>2</v>
      </c>
      <c r="C17" s="79">
        <v>1140762</v>
      </c>
      <c r="D17" s="79">
        <v>1181000</v>
      </c>
      <c r="E17" s="79">
        <v>1180950</v>
      </c>
      <c r="F17" s="79"/>
      <c r="G17" s="79">
        <v>1712000</v>
      </c>
      <c r="H17" s="79">
        <v>1711667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>
        <v>1711125</v>
      </c>
      <c r="Y17" s="79">
        <v>2055050</v>
      </c>
      <c r="Z17" s="79">
        <v>2055045</v>
      </c>
      <c r="AA17" s="79">
        <v>49491</v>
      </c>
      <c r="AB17" s="79">
        <v>47400</v>
      </c>
      <c r="AC17" s="79">
        <v>47373</v>
      </c>
      <c r="AD17" s="79"/>
      <c r="AE17" s="79">
        <f>211000+378-450</f>
        <v>210928</v>
      </c>
      <c r="AF17" s="79">
        <v>210525</v>
      </c>
      <c r="AG17" s="80">
        <f t="shared" si="5"/>
        <v>2901378</v>
      </c>
      <c r="AH17" s="80">
        <f t="shared" si="6"/>
        <v>5206378</v>
      </c>
      <c r="AI17" s="80">
        <f t="shared" si="7"/>
        <v>5205560</v>
      </c>
    </row>
    <row r="18" spans="1:36" s="76" customFormat="1" ht="12" x14ac:dyDescent="0.25">
      <c r="A18" s="69" t="s">
        <v>108</v>
      </c>
      <c r="B18" s="70">
        <v>311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>
        <v>5000</v>
      </c>
      <c r="Z18" s="71">
        <v>4149</v>
      </c>
      <c r="AA18" s="71"/>
      <c r="AB18" s="71"/>
      <c r="AC18" s="71"/>
      <c r="AD18" s="71"/>
      <c r="AE18" s="71"/>
      <c r="AF18" s="71"/>
      <c r="AG18" s="73">
        <f t="shared" ref="AG18:AG23" si="8">+C18+F18+I18+L18+O18+R18+U18+X18+AA18+AD18</f>
        <v>0</v>
      </c>
      <c r="AH18" s="73">
        <f t="shared" ref="AH18:AH24" si="9">+D18+G18+J18+M18+P18+S18+V18+Y18+AB18+AE18</f>
        <v>5000</v>
      </c>
      <c r="AI18" s="73">
        <f t="shared" ref="AI18:AI24" si="10">+E18+H18+K18+N18+Q18+T18+W18+Z18+AC18+AF18</f>
        <v>4149</v>
      </c>
    </row>
    <row r="19" spans="1:36" s="76" customFormat="1" ht="24" x14ac:dyDescent="0.2">
      <c r="A19" s="69" t="s">
        <v>203</v>
      </c>
      <c r="B19" s="70">
        <v>312</v>
      </c>
      <c r="C19" s="71">
        <f>+C22+C23</f>
        <v>20000</v>
      </c>
      <c r="D19" s="71">
        <f>+D22</f>
        <v>15000</v>
      </c>
      <c r="E19" s="71">
        <f>+E22+E23</f>
        <v>10476</v>
      </c>
      <c r="F19" s="71">
        <f>+F20+F23+F21</f>
        <v>980000</v>
      </c>
      <c r="G19" s="71">
        <v>1450000</v>
      </c>
      <c r="H19" s="71">
        <v>1414416</v>
      </c>
      <c r="I19" s="71">
        <v>0</v>
      </c>
      <c r="J19" s="71">
        <v>0</v>
      </c>
      <c r="K19" s="71"/>
      <c r="L19" s="71">
        <f>+L23</f>
        <v>0</v>
      </c>
      <c r="M19" s="71">
        <f>+M23</f>
        <v>0</v>
      </c>
      <c r="N19" s="71">
        <f>+N23</f>
        <v>0</v>
      </c>
      <c r="O19" s="71"/>
      <c r="P19" s="71"/>
      <c r="Q19" s="71"/>
      <c r="R19" s="71">
        <v>0</v>
      </c>
      <c r="S19" s="71">
        <f>+S23</f>
        <v>1170000</v>
      </c>
      <c r="T19" s="71">
        <f>+T23</f>
        <v>1170000</v>
      </c>
      <c r="U19" s="71">
        <f>+U20</f>
        <v>40000</v>
      </c>
      <c r="V19" s="71"/>
      <c r="W19" s="71"/>
      <c r="X19" s="71"/>
      <c r="Y19" s="71">
        <v>2455000</v>
      </c>
      <c r="Z19" s="71">
        <v>2452349</v>
      </c>
      <c r="AA19" s="71">
        <f>+AA22</f>
        <v>5000</v>
      </c>
      <c r="AB19" s="71">
        <v>30000</v>
      </c>
      <c r="AC19" s="71">
        <f>+AC23</f>
        <v>28598</v>
      </c>
      <c r="AD19" s="71">
        <f>+AD23</f>
        <v>100000</v>
      </c>
      <c r="AE19" s="71">
        <v>880000</v>
      </c>
      <c r="AF19" s="71">
        <f>+AF23</f>
        <v>876021</v>
      </c>
      <c r="AG19" s="73">
        <f t="shared" si="8"/>
        <v>1145000</v>
      </c>
      <c r="AH19" s="73">
        <f t="shared" si="9"/>
        <v>6000000</v>
      </c>
      <c r="AI19" s="73">
        <f t="shared" si="10"/>
        <v>5951860</v>
      </c>
    </row>
    <row r="20" spans="1:36" s="76" customFormat="1" ht="12" x14ac:dyDescent="0.2">
      <c r="A20" s="81" t="s">
        <v>107</v>
      </c>
      <c r="B20" s="82"/>
      <c r="C20" s="83"/>
      <c r="D20" s="83"/>
      <c r="E20" s="83"/>
      <c r="F20" s="83">
        <v>400000</v>
      </c>
      <c r="G20" s="83">
        <f>+G19-G21-G22-G23</f>
        <v>785000</v>
      </c>
      <c r="H20" s="83">
        <f>+H19-H22-H23</f>
        <v>759363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>
        <v>40000</v>
      </c>
      <c r="V20" s="83"/>
      <c r="W20" s="83"/>
      <c r="X20" s="83"/>
      <c r="Y20" s="83">
        <f>+Y19-Y22-Y23</f>
        <v>1127000</v>
      </c>
      <c r="Z20" s="83">
        <f>+Z19-Z22-Z23</f>
        <v>1125800</v>
      </c>
      <c r="AA20" s="83"/>
      <c r="AB20" s="83"/>
      <c r="AC20" s="83"/>
      <c r="AD20" s="83"/>
      <c r="AE20" s="83"/>
      <c r="AF20" s="83"/>
      <c r="AG20" s="73">
        <f t="shared" si="8"/>
        <v>440000</v>
      </c>
      <c r="AH20" s="73">
        <f t="shared" si="9"/>
        <v>1912000</v>
      </c>
      <c r="AI20" s="73">
        <f t="shared" si="10"/>
        <v>1885163</v>
      </c>
      <c r="AJ20" s="88">
        <f>1885163-AI20</f>
        <v>0</v>
      </c>
    </row>
    <row r="21" spans="1:36" s="76" customFormat="1" ht="12" x14ac:dyDescent="0.2">
      <c r="A21" s="81" t="s">
        <v>106</v>
      </c>
      <c r="B21" s="82"/>
      <c r="C21" s="83"/>
      <c r="D21" s="83"/>
      <c r="E21" s="83"/>
      <c r="F21" s="83">
        <v>80000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73">
        <f t="shared" si="8"/>
        <v>80000</v>
      </c>
      <c r="AH21" s="73">
        <f t="shared" si="9"/>
        <v>0</v>
      </c>
      <c r="AI21" s="73">
        <f t="shared" si="10"/>
        <v>0</v>
      </c>
    </row>
    <row r="22" spans="1:36" s="76" customFormat="1" ht="12" x14ac:dyDescent="0.2">
      <c r="A22" s="84" t="s">
        <v>105</v>
      </c>
      <c r="B22" s="82"/>
      <c r="C22" s="83">
        <v>20000</v>
      </c>
      <c r="D22" s="83">
        <v>15000</v>
      </c>
      <c r="E22" s="83">
        <v>10476</v>
      </c>
      <c r="F22" s="83"/>
      <c r="G22" s="83">
        <v>65000</v>
      </c>
      <c r="H22" s="83">
        <f>3189+740+60945</f>
        <v>64874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>
        <v>88000</v>
      </c>
      <c r="Z22" s="83">
        <v>87127</v>
      </c>
      <c r="AA22" s="83">
        <v>5000</v>
      </c>
      <c r="AB22" s="83"/>
      <c r="AC22" s="83"/>
      <c r="AD22" s="83"/>
      <c r="AE22" s="83"/>
      <c r="AF22" s="83"/>
      <c r="AG22" s="73">
        <f t="shared" si="8"/>
        <v>25000</v>
      </c>
      <c r="AH22" s="73">
        <f t="shared" si="9"/>
        <v>168000</v>
      </c>
      <c r="AI22" s="73">
        <f t="shared" si="10"/>
        <v>162477</v>
      </c>
      <c r="AJ22" s="88">
        <f>162477-AI22</f>
        <v>0</v>
      </c>
    </row>
    <row r="23" spans="1:36" s="76" customFormat="1" ht="12" x14ac:dyDescent="0.2">
      <c r="A23" s="85" t="s">
        <v>179</v>
      </c>
      <c r="B23" s="82"/>
      <c r="C23" s="83"/>
      <c r="D23" s="83"/>
      <c r="E23" s="83"/>
      <c r="F23" s="83">
        <v>500000</v>
      </c>
      <c r="G23" s="83">
        <v>600000</v>
      </c>
      <c r="H23" s="83">
        <v>590179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>
        <v>1170000</v>
      </c>
      <c r="T23" s="83">
        <v>1170000</v>
      </c>
      <c r="U23" s="83"/>
      <c r="V23" s="83"/>
      <c r="W23" s="83"/>
      <c r="X23" s="83"/>
      <c r="Y23" s="83">
        <f>1528000-288000</f>
        <v>1240000</v>
      </c>
      <c r="Z23" s="83">
        <f>1527569-288147</f>
        <v>1239422</v>
      </c>
      <c r="AA23" s="83"/>
      <c r="AB23" s="83">
        <v>30000</v>
      </c>
      <c r="AC23" s="83">
        <v>28598</v>
      </c>
      <c r="AD23" s="83">
        <v>100000</v>
      </c>
      <c r="AE23" s="83">
        <v>880000</v>
      </c>
      <c r="AF23" s="83">
        <v>876021</v>
      </c>
      <c r="AG23" s="73">
        <f t="shared" si="8"/>
        <v>600000</v>
      </c>
      <c r="AH23" s="73">
        <f t="shared" si="9"/>
        <v>3920000</v>
      </c>
      <c r="AI23" s="73">
        <f t="shared" si="10"/>
        <v>3904220</v>
      </c>
    </row>
    <row r="24" spans="1:36" s="76" customFormat="1" ht="12" x14ac:dyDescent="0.2">
      <c r="A24" s="77" t="s">
        <v>161</v>
      </c>
      <c r="B24" s="78">
        <v>31</v>
      </c>
      <c r="C24" s="79">
        <f>+C18+C19</f>
        <v>20000</v>
      </c>
      <c r="D24" s="79">
        <f>+D18+D19</f>
        <v>15000</v>
      </c>
      <c r="E24" s="79">
        <f>+E18+E19</f>
        <v>10476</v>
      </c>
      <c r="F24" s="79">
        <f>+F19</f>
        <v>980000</v>
      </c>
      <c r="G24" s="79">
        <f>+G19</f>
        <v>1450000</v>
      </c>
      <c r="H24" s="79">
        <f>+H19</f>
        <v>1414416</v>
      </c>
      <c r="I24" s="79">
        <v>0</v>
      </c>
      <c r="J24" s="79">
        <v>0</v>
      </c>
      <c r="K24" s="79"/>
      <c r="L24" s="79">
        <f>+L19</f>
        <v>0</v>
      </c>
      <c r="M24" s="79">
        <f>+M19</f>
        <v>0</v>
      </c>
      <c r="N24" s="79">
        <f>+N19</f>
        <v>0</v>
      </c>
      <c r="O24" s="79"/>
      <c r="P24" s="79">
        <f>+P19</f>
        <v>0</v>
      </c>
      <c r="Q24" s="79">
        <f>+Q19</f>
        <v>0</v>
      </c>
      <c r="R24" s="79">
        <v>0</v>
      </c>
      <c r="S24" s="79">
        <f>+S19</f>
        <v>1170000</v>
      </c>
      <c r="T24" s="79">
        <f>+T19</f>
        <v>1170000</v>
      </c>
      <c r="U24" s="79">
        <f>+U19</f>
        <v>40000</v>
      </c>
      <c r="V24" s="79"/>
      <c r="W24" s="79"/>
      <c r="X24" s="79">
        <f>+X19</f>
        <v>0</v>
      </c>
      <c r="Y24" s="79">
        <f>+Y18+Y19</f>
        <v>2460000</v>
      </c>
      <c r="Z24" s="79">
        <f>+Z18+Z19</f>
        <v>2456498</v>
      </c>
      <c r="AA24" s="79">
        <f t="shared" ref="AA24:AF24" si="11">+AA19</f>
        <v>5000</v>
      </c>
      <c r="AB24" s="79">
        <f t="shared" si="11"/>
        <v>30000</v>
      </c>
      <c r="AC24" s="79">
        <f t="shared" si="11"/>
        <v>28598</v>
      </c>
      <c r="AD24" s="79">
        <f t="shared" si="11"/>
        <v>100000</v>
      </c>
      <c r="AE24" s="79">
        <f t="shared" si="11"/>
        <v>880000</v>
      </c>
      <c r="AF24" s="79">
        <f t="shared" si="11"/>
        <v>876021</v>
      </c>
      <c r="AG24" s="80">
        <f>+C24+F24+I24+L24+O24+R24+U24+X24+AA24+AD24</f>
        <v>1145000</v>
      </c>
      <c r="AH24" s="80">
        <f t="shared" si="9"/>
        <v>6005000</v>
      </c>
      <c r="AI24" s="80">
        <f t="shared" si="10"/>
        <v>5956009</v>
      </c>
    </row>
    <row r="25" spans="1:36" s="76" customFormat="1" ht="12" x14ac:dyDescent="0.2">
      <c r="A25" s="69" t="s">
        <v>204</v>
      </c>
      <c r="B25" s="70">
        <v>321</v>
      </c>
      <c r="C25" s="71"/>
      <c r="D25" s="71">
        <v>65000</v>
      </c>
      <c r="E25" s="71">
        <v>63600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>
        <v>28000</v>
      </c>
      <c r="Z25" s="71">
        <v>26400</v>
      </c>
      <c r="AA25" s="71">
        <v>48000</v>
      </c>
      <c r="AB25" s="71">
        <v>45000</v>
      </c>
      <c r="AC25" s="71">
        <v>44568</v>
      </c>
      <c r="AD25" s="71"/>
      <c r="AE25" s="71"/>
      <c r="AF25" s="71"/>
      <c r="AG25" s="73">
        <f t="shared" ref="AG25:AG26" si="12">+C25+F25+I25+L25+O25+R25+U25+X25+AA25+AD25</f>
        <v>48000</v>
      </c>
      <c r="AH25" s="73">
        <f t="shared" ref="AH25:AH27" si="13">+D25+G25+J25+M25+P25+S25+V25+Y25+AB25+AE25</f>
        <v>138000</v>
      </c>
      <c r="AI25" s="73">
        <f t="shared" ref="AI25:AI27" si="14">+E25+H25+K25+N25+Q25+T25+W25+Z25+AC25+AF25</f>
        <v>134568</v>
      </c>
    </row>
    <row r="26" spans="1:36" s="76" customFormat="1" ht="12" x14ac:dyDescent="0.2">
      <c r="A26" s="69" t="s">
        <v>205</v>
      </c>
      <c r="B26" s="70">
        <v>322</v>
      </c>
      <c r="C26" s="71">
        <v>160000</v>
      </c>
      <c r="D26" s="71">
        <v>149100</v>
      </c>
      <c r="E26" s="71">
        <v>149070</v>
      </c>
      <c r="F26" s="71">
        <v>60000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>
        <v>25900</v>
      </c>
      <c r="Z26" s="71">
        <f>7407+18036</f>
        <v>25443</v>
      </c>
      <c r="AA26" s="71"/>
      <c r="AB26" s="71"/>
      <c r="AC26" s="71"/>
      <c r="AD26" s="71"/>
      <c r="AE26" s="71"/>
      <c r="AF26" s="71"/>
      <c r="AG26" s="73">
        <f t="shared" si="12"/>
        <v>220000</v>
      </c>
      <c r="AH26" s="73">
        <f t="shared" si="13"/>
        <v>175000</v>
      </c>
      <c r="AI26" s="73">
        <f t="shared" si="14"/>
        <v>174513</v>
      </c>
    </row>
    <row r="27" spans="1:36" s="76" customFormat="1" ht="12" x14ac:dyDescent="0.2">
      <c r="A27" s="77" t="s">
        <v>162</v>
      </c>
      <c r="B27" s="78">
        <v>32</v>
      </c>
      <c r="C27" s="79">
        <f>+C25+C26</f>
        <v>160000</v>
      </c>
      <c r="D27" s="79">
        <f>+D26+D25</f>
        <v>214100</v>
      </c>
      <c r="E27" s="79">
        <f>+E25+E26</f>
        <v>212670</v>
      </c>
      <c r="F27" s="79">
        <f>+F25+F26</f>
        <v>60000</v>
      </c>
      <c r="G27" s="79">
        <f>+G25</f>
        <v>0</v>
      </c>
      <c r="H27" s="79">
        <f>+H25</f>
        <v>0</v>
      </c>
      <c r="I27" s="79">
        <v>0</v>
      </c>
      <c r="J27" s="79">
        <v>0</v>
      </c>
      <c r="K27" s="79"/>
      <c r="L27" s="79">
        <v>0</v>
      </c>
      <c r="M27" s="79">
        <v>0</v>
      </c>
      <c r="N27" s="79"/>
      <c r="O27" s="79"/>
      <c r="P27" s="79">
        <f>+P26</f>
        <v>0</v>
      </c>
      <c r="Q27" s="79">
        <f>+Q26</f>
        <v>0</v>
      </c>
      <c r="R27" s="79">
        <v>0</v>
      </c>
      <c r="S27" s="79">
        <v>0</v>
      </c>
      <c r="T27" s="79"/>
      <c r="U27" s="79">
        <v>0</v>
      </c>
      <c r="V27" s="79">
        <v>0</v>
      </c>
      <c r="W27" s="79"/>
      <c r="X27" s="79">
        <v>0</v>
      </c>
      <c r="Y27" s="79">
        <f>+Y25+Y26</f>
        <v>53900</v>
      </c>
      <c r="Z27" s="79">
        <f>+Z25+Z26</f>
        <v>51843</v>
      </c>
      <c r="AA27" s="79">
        <f>+AA25</f>
        <v>48000</v>
      </c>
      <c r="AB27" s="79">
        <f>+AB25+AB26</f>
        <v>45000</v>
      </c>
      <c r="AC27" s="79">
        <f>+AC25+AC26</f>
        <v>44568</v>
      </c>
      <c r="AD27" s="79">
        <v>0</v>
      </c>
      <c r="AE27" s="79">
        <v>0</v>
      </c>
      <c r="AF27" s="79"/>
      <c r="AG27" s="80">
        <f>+C27+F27+I27+L27+O27+R27+U27+X27+AA27+AD27</f>
        <v>268000</v>
      </c>
      <c r="AH27" s="80">
        <f t="shared" si="13"/>
        <v>313000</v>
      </c>
      <c r="AI27" s="80">
        <f t="shared" si="14"/>
        <v>309081</v>
      </c>
    </row>
    <row r="28" spans="1:36" s="76" customFormat="1" ht="12" x14ac:dyDescent="0.2">
      <c r="A28" s="69" t="s">
        <v>104</v>
      </c>
      <c r="B28" s="70">
        <v>331</v>
      </c>
      <c r="C28" s="71">
        <f>+C29+C30+C31</f>
        <v>75000</v>
      </c>
      <c r="D28" s="71">
        <v>200000</v>
      </c>
      <c r="E28" s="71">
        <f>+E31+E29</f>
        <v>71695</v>
      </c>
      <c r="F28" s="71">
        <f>+F29+F31</f>
        <v>350000</v>
      </c>
      <c r="G28" s="71">
        <v>300000</v>
      </c>
      <c r="H28" s="71">
        <v>200489</v>
      </c>
      <c r="I28" s="71">
        <f>+I31</f>
        <v>520000</v>
      </c>
      <c r="J28" s="71">
        <v>650000</v>
      </c>
      <c r="K28" s="71">
        <v>459047</v>
      </c>
      <c r="L28" s="71">
        <f>+L29+L31</f>
        <v>80000</v>
      </c>
      <c r="M28" s="71">
        <v>120000</v>
      </c>
      <c r="N28" s="71">
        <v>46433</v>
      </c>
      <c r="O28" s="71">
        <v>0</v>
      </c>
      <c r="P28" s="71">
        <v>0</v>
      </c>
      <c r="Q28" s="71"/>
      <c r="R28" s="71">
        <v>0</v>
      </c>
      <c r="S28" s="71">
        <f>+S29+S30+S31</f>
        <v>25000</v>
      </c>
      <c r="T28" s="71">
        <f>+T29+T30+T31</f>
        <v>22366</v>
      </c>
      <c r="U28" s="71">
        <f>+U29+U31</f>
        <v>15000</v>
      </c>
      <c r="V28" s="71">
        <v>20000</v>
      </c>
      <c r="W28" s="71">
        <f>+W29</f>
        <v>197</v>
      </c>
      <c r="X28" s="71">
        <v>0</v>
      </c>
      <c r="Y28" s="71">
        <v>1550000</v>
      </c>
      <c r="Z28" s="71">
        <v>1459345</v>
      </c>
      <c r="AA28" s="71">
        <f>+AA31</f>
        <v>35000</v>
      </c>
      <c r="AB28" s="71">
        <v>50000</v>
      </c>
      <c r="AC28" s="71">
        <v>23205</v>
      </c>
      <c r="AD28" s="71">
        <f>+AD29+AD31</f>
        <v>0</v>
      </c>
      <c r="AE28" s="71"/>
      <c r="AF28" s="71"/>
      <c r="AG28" s="73">
        <f t="shared" ref="AG28:AG40" si="15">+C28+F28+I28+L28+O28+R28+U28+X28+AA28+AD28</f>
        <v>1075000</v>
      </c>
      <c r="AH28" s="73">
        <f t="shared" ref="AH28:AI43" si="16">+D28+G28+J28+M28+P28+S28+V28+Y28+AB28+AE28</f>
        <v>2915000</v>
      </c>
      <c r="AI28" s="73">
        <f t="shared" ref="AI28:AI43" si="17">+E28+H28+K28+N28+Q28+T28+W28+Z28+AC28+AF28</f>
        <v>2282777</v>
      </c>
      <c r="AJ28" s="88"/>
    </row>
    <row r="29" spans="1:36" s="76" customFormat="1" ht="12" x14ac:dyDescent="0.2">
      <c r="A29" s="84" t="s">
        <v>103</v>
      </c>
      <c r="B29" s="82"/>
      <c r="C29" s="83">
        <v>5000</v>
      </c>
      <c r="D29" s="83">
        <v>50000</v>
      </c>
      <c r="E29" s="83">
        <v>4519</v>
      </c>
      <c r="F29" s="83">
        <v>70000</v>
      </c>
      <c r="G29" s="83">
        <v>70000</v>
      </c>
      <c r="H29" s="83">
        <f>40796+20058</f>
        <v>60854</v>
      </c>
      <c r="I29" s="83"/>
      <c r="J29" s="83"/>
      <c r="K29" s="83"/>
      <c r="L29" s="83">
        <v>10000</v>
      </c>
      <c r="M29" s="83">
        <v>10000</v>
      </c>
      <c r="N29" s="83">
        <v>4318</v>
      </c>
      <c r="O29" s="83"/>
      <c r="P29" s="83"/>
      <c r="Q29" s="83"/>
      <c r="R29" s="83"/>
      <c r="S29" s="83">
        <v>2000</v>
      </c>
      <c r="T29" s="83">
        <v>1697</v>
      </c>
      <c r="U29" s="83">
        <v>15000</v>
      </c>
      <c r="V29" s="83"/>
      <c r="W29" s="83">
        <v>197</v>
      </c>
      <c r="X29" s="83"/>
      <c r="Y29" s="83">
        <v>50000</v>
      </c>
      <c r="Z29" s="83">
        <f>48273+1444</f>
        <v>49717</v>
      </c>
      <c r="AA29" s="83"/>
      <c r="AB29" s="83">
        <v>20000</v>
      </c>
      <c r="AC29" s="83">
        <v>2271</v>
      </c>
      <c r="AD29" s="83"/>
      <c r="AE29" s="83"/>
      <c r="AF29" s="83"/>
      <c r="AG29" s="73">
        <f t="shared" si="15"/>
        <v>100000</v>
      </c>
      <c r="AH29" s="73">
        <f t="shared" si="16"/>
        <v>202000</v>
      </c>
      <c r="AI29" s="73">
        <f t="shared" si="17"/>
        <v>123573</v>
      </c>
      <c r="AJ29" s="88"/>
    </row>
    <row r="30" spans="1:36" s="76" customFormat="1" ht="12" x14ac:dyDescent="0.2">
      <c r="A30" s="85" t="s">
        <v>102</v>
      </c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73">
        <f t="shared" si="15"/>
        <v>0</v>
      </c>
      <c r="AH30" s="73">
        <f t="shared" si="16"/>
        <v>0</v>
      </c>
      <c r="AI30" s="73">
        <f t="shared" si="16"/>
        <v>0</v>
      </c>
    </row>
    <row r="31" spans="1:36" s="76" customFormat="1" ht="12" x14ac:dyDescent="0.2">
      <c r="A31" s="84" t="s">
        <v>101</v>
      </c>
      <c r="B31" s="82"/>
      <c r="C31" s="83">
        <v>70000</v>
      </c>
      <c r="D31" s="83">
        <v>150000</v>
      </c>
      <c r="E31" s="83">
        <f>71695-E29</f>
        <v>67176</v>
      </c>
      <c r="F31" s="83">
        <v>280000</v>
      </c>
      <c r="G31" s="83">
        <v>230000</v>
      </c>
      <c r="H31" s="83">
        <f>+H28-H29</f>
        <v>139635</v>
      </c>
      <c r="I31" s="83">
        <v>520000</v>
      </c>
      <c r="J31" s="83">
        <v>650000</v>
      </c>
      <c r="K31" s="83">
        <f>+K28</f>
        <v>459047</v>
      </c>
      <c r="L31" s="83">
        <v>70000</v>
      </c>
      <c r="M31" s="83">
        <v>110000</v>
      </c>
      <c r="N31" s="83">
        <f>+N28-N29</f>
        <v>42115</v>
      </c>
      <c r="O31" s="83"/>
      <c r="P31" s="83"/>
      <c r="Q31" s="83"/>
      <c r="R31" s="83"/>
      <c r="S31" s="83">
        <v>23000</v>
      </c>
      <c r="T31" s="83">
        <f>22366-1697</f>
        <v>20669</v>
      </c>
      <c r="U31" s="83"/>
      <c r="V31" s="83"/>
      <c r="W31" s="83"/>
      <c r="X31" s="83"/>
      <c r="Y31" s="83">
        <v>1500000</v>
      </c>
      <c r="Z31" s="83">
        <f>+Z28-Z29</f>
        <v>1409628</v>
      </c>
      <c r="AA31" s="83">
        <v>35000</v>
      </c>
      <c r="AB31" s="83">
        <v>30000</v>
      </c>
      <c r="AC31" s="83">
        <f>+AC28-AC29</f>
        <v>20934</v>
      </c>
      <c r="AD31" s="83"/>
      <c r="AE31" s="83"/>
      <c r="AF31" s="83"/>
      <c r="AG31" s="73">
        <f t="shared" si="15"/>
        <v>975000</v>
      </c>
      <c r="AH31" s="73">
        <f t="shared" si="16"/>
        <v>2693000</v>
      </c>
      <c r="AI31" s="73">
        <f t="shared" si="17"/>
        <v>2159204</v>
      </c>
    </row>
    <row r="32" spans="1:36" s="76" customFormat="1" ht="12" x14ac:dyDescent="0.2">
      <c r="A32" s="84" t="s">
        <v>210</v>
      </c>
      <c r="B32" s="82">
        <v>332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>
        <v>40000</v>
      </c>
      <c r="AF32" s="83">
        <v>39748</v>
      </c>
      <c r="AG32" s="73">
        <f t="shared" ref="AG32" si="18">+C32+F32+I32+L32+O32+R32+U32+X32+AA32+AD32</f>
        <v>0</v>
      </c>
      <c r="AH32" s="73">
        <f t="shared" ref="AH32" si="19">+D32+G32+J32+M32+P32+S32+V32+Y32+AB32+AE32</f>
        <v>40000</v>
      </c>
      <c r="AI32" s="73">
        <f t="shared" ref="AI32" si="20">+E32+H32+K32+N32+Q32+T32+W32+Z32+AC32+AF32</f>
        <v>39748</v>
      </c>
    </row>
    <row r="33" spans="1:35" s="76" customFormat="1" ht="12" x14ac:dyDescent="0.2">
      <c r="A33" s="86" t="s">
        <v>163</v>
      </c>
      <c r="B33" s="70">
        <v>333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>
        <v>600000</v>
      </c>
      <c r="AF33" s="71">
        <v>600000</v>
      </c>
      <c r="AG33" s="73">
        <f t="shared" si="15"/>
        <v>0</v>
      </c>
      <c r="AH33" s="73">
        <f t="shared" si="16"/>
        <v>600000</v>
      </c>
      <c r="AI33" s="73">
        <f t="shared" si="17"/>
        <v>600000</v>
      </c>
    </row>
    <row r="34" spans="1:35" s="76" customFormat="1" ht="12" x14ac:dyDescent="0.2">
      <c r="A34" s="69" t="s">
        <v>100</v>
      </c>
      <c r="B34" s="70">
        <v>334</v>
      </c>
      <c r="C34" s="71"/>
      <c r="D34" s="71">
        <v>14000</v>
      </c>
      <c r="E34" s="71">
        <v>13200</v>
      </c>
      <c r="F34" s="71">
        <v>50000</v>
      </c>
      <c r="G34" s="71">
        <v>33000</v>
      </c>
      <c r="H34" s="71">
        <v>32725</v>
      </c>
      <c r="I34" s="71">
        <v>11600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>
        <v>25000</v>
      </c>
      <c r="V34" s="71"/>
      <c r="W34" s="71"/>
      <c r="X34" s="71"/>
      <c r="Y34" s="71">
        <v>43000</v>
      </c>
      <c r="Z34" s="71">
        <v>41920</v>
      </c>
      <c r="AA34" s="71"/>
      <c r="AB34" s="71"/>
      <c r="AC34" s="71"/>
      <c r="AD34" s="71"/>
      <c r="AE34" s="71"/>
      <c r="AF34" s="71"/>
      <c r="AG34" s="73">
        <f t="shared" si="15"/>
        <v>86600</v>
      </c>
      <c r="AH34" s="73">
        <f t="shared" si="16"/>
        <v>90000</v>
      </c>
      <c r="AI34" s="73">
        <f t="shared" si="17"/>
        <v>87845</v>
      </c>
    </row>
    <row r="35" spans="1:35" s="76" customFormat="1" ht="12" x14ac:dyDescent="0.2">
      <c r="A35" s="69" t="s">
        <v>208</v>
      </c>
      <c r="B35" s="70">
        <v>335</v>
      </c>
      <c r="C35" s="71"/>
      <c r="D35" s="71"/>
      <c r="E35" s="71"/>
      <c r="F35" s="71"/>
      <c r="G35" s="71">
        <v>60000</v>
      </c>
      <c r="H35" s="71">
        <v>53560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>
        <v>120000</v>
      </c>
      <c r="T35" s="71">
        <v>120000</v>
      </c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3">
        <f t="shared" ref="AG35" si="21">+C35+F35+I35+L35+O35+R35+U35+X35+AA35+AD35</f>
        <v>0</v>
      </c>
      <c r="AH35" s="73">
        <f t="shared" ref="AH35" si="22">+D35+G35+J35+M35+P35+S35+V35+Y35+AB35+AE35</f>
        <v>180000</v>
      </c>
      <c r="AI35" s="73">
        <f t="shared" ref="AI35" si="23">+E35+H35+K35+N35+Q35+T35+W35+Z35+AC35+AF35</f>
        <v>173560</v>
      </c>
    </row>
    <row r="36" spans="1:35" s="76" customFormat="1" ht="24" x14ac:dyDescent="0.2">
      <c r="A36" s="69" t="s">
        <v>99</v>
      </c>
      <c r="B36" s="70">
        <v>336</v>
      </c>
      <c r="C36" s="71"/>
      <c r="D36" s="71"/>
      <c r="E36" s="71"/>
      <c r="F36" s="71">
        <v>100000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>
        <v>4000</v>
      </c>
      <c r="Z36" s="71">
        <v>4000</v>
      </c>
      <c r="AA36" s="71"/>
      <c r="AB36" s="71"/>
      <c r="AC36" s="71"/>
      <c r="AD36" s="71"/>
      <c r="AE36" s="71">
        <v>6000</v>
      </c>
      <c r="AF36" s="71">
        <v>6000</v>
      </c>
      <c r="AG36" s="73">
        <f t="shared" si="15"/>
        <v>100000</v>
      </c>
      <c r="AH36" s="73">
        <f t="shared" si="16"/>
        <v>10000</v>
      </c>
      <c r="AI36" s="73">
        <f t="shared" si="17"/>
        <v>10000</v>
      </c>
    </row>
    <row r="37" spans="1:35" s="76" customFormat="1" ht="12" x14ac:dyDescent="0.2">
      <c r="A37" s="69" t="s">
        <v>164</v>
      </c>
      <c r="B37" s="70">
        <v>337</v>
      </c>
      <c r="C37" s="71">
        <f>+C38+C39+C40</f>
        <v>465000</v>
      </c>
      <c r="D37" s="71">
        <v>698350</v>
      </c>
      <c r="E37" s="71">
        <f>+E38+E40+E39</f>
        <v>685961</v>
      </c>
      <c r="F37" s="71">
        <f>+F39+F40</f>
        <v>540000</v>
      </c>
      <c r="G37" s="71">
        <f>+G39+G40</f>
        <v>640000</v>
      </c>
      <c r="H37" s="71">
        <v>615518</v>
      </c>
      <c r="I37" s="71">
        <f>+I39</f>
        <v>0</v>
      </c>
      <c r="J37" s="71"/>
      <c r="K37" s="71">
        <f>+K39</f>
        <v>0</v>
      </c>
      <c r="L37" s="71">
        <v>0</v>
      </c>
      <c r="M37" s="71">
        <f>+M39</f>
        <v>10000</v>
      </c>
      <c r="N37" s="71">
        <f>+N39</f>
        <v>8815</v>
      </c>
      <c r="O37" s="71"/>
      <c r="P37" s="71"/>
      <c r="Q37" s="71"/>
      <c r="R37" s="71">
        <v>0</v>
      </c>
      <c r="S37" s="71">
        <v>920000</v>
      </c>
      <c r="T37" s="71">
        <f>+T39</f>
        <v>918715</v>
      </c>
      <c r="U37" s="71">
        <v>0</v>
      </c>
      <c r="V37" s="71">
        <v>0</v>
      </c>
      <c r="W37" s="71"/>
      <c r="X37" s="71">
        <v>0</v>
      </c>
      <c r="Y37" s="71">
        <v>435000</v>
      </c>
      <c r="Z37" s="71">
        <f>+Z39</f>
        <v>432145</v>
      </c>
      <c r="AA37" s="71">
        <v>0</v>
      </c>
      <c r="AB37" s="71">
        <f>+AB39</f>
        <v>5000</v>
      </c>
      <c r="AC37" s="71">
        <f>+AC39</f>
        <v>4407</v>
      </c>
      <c r="AD37" s="71">
        <f>+AD39</f>
        <v>500000</v>
      </c>
      <c r="AE37" s="71">
        <f>+AE39</f>
        <v>2600000</v>
      </c>
      <c r="AF37" s="71">
        <f>+AF39</f>
        <v>2592648</v>
      </c>
      <c r="AG37" s="73">
        <f t="shared" si="15"/>
        <v>1505000</v>
      </c>
      <c r="AH37" s="73">
        <f t="shared" si="16"/>
        <v>5308350</v>
      </c>
      <c r="AI37" s="73">
        <f t="shared" si="17"/>
        <v>5258209</v>
      </c>
    </row>
    <row r="38" spans="1:35" s="76" customFormat="1" ht="12" x14ac:dyDescent="0.25">
      <c r="A38" s="84" t="s">
        <v>98</v>
      </c>
      <c r="B38" s="82"/>
      <c r="C38" s="83">
        <v>420000</v>
      </c>
      <c r="D38" s="83">
        <f>650000-215000+3350</f>
        <v>438350</v>
      </c>
      <c r="E38" s="83">
        <f>685961-E40-E39</f>
        <v>437730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73">
        <f t="shared" si="15"/>
        <v>420000</v>
      </c>
      <c r="AH38" s="73">
        <f t="shared" si="16"/>
        <v>438350</v>
      </c>
      <c r="AI38" s="73">
        <f t="shared" si="17"/>
        <v>437730</v>
      </c>
    </row>
    <row r="39" spans="1:35" s="76" customFormat="1" ht="12" x14ac:dyDescent="0.2">
      <c r="A39" s="84" t="s">
        <v>97</v>
      </c>
      <c r="B39" s="82"/>
      <c r="C39" s="83"/>
      <c r="D39" s="83">
        <v>215000</v>
      </c>
      <c r="E39" s="83">
        <v>210926</v>
      </c>
      <c r="F39" s="83">
        <v>400000</v>
      </c>
      <c r="G39" s="83">
        <v>280000</v>
      </c>
      <c r="H39" s="83">
        <f>+H37-H40</f>
        <v>257731</v>
      </c>
      <c r="I39" s="83"/>
      <c r="J39" s="83"/>
      <c r="K39" s="83"/>
      <c r="L39" s="83"/>
      <c r="M39" s="83">
        <v>10000</v>
      </c>
      <c r="N39" s="83">
        <v>8815</v>
      </c>
      <c r="O39" s="83"/>
      <c r="P39" s="83"/>
      <c r="Q39" s="83"/>
      <c r="R39" s="83"/>
      <c r="S39" s="83">
        <v>1000000</v>
      </c>
      <c r="T39" s="83">
        <v>918715</v>
      </c>
      <c r="U39" s="83"/>
      <c r="V39" s="83"/>
      <c r="W39" s="83"/>
      <c r="X39" s="83"/>
      <c r="Y39" s="83">
        <v>500000</v>
      </c>
      <c r="Z39" s="83">
        <v>432145</v>
      </c>
      <c r="AA39" s="83"/>
      <c r="AB39" s="83">
        <v>5000</v>
      </c>
      <c r="AC39" s="83">
        <v>4407</v>
      </c>
      <c r="AD39" s="83">
        <v>500000</v>
      </c>
      <c r="AE39" s="83">
        <v>2600000</v>
      </c>
      <c r="AF39" s="83">
        <v>2592648</v>
      </c>
      <c r="AG39" s="73">
        <f t="shared" si="15"/>
        <v>900000</v>
      </c>
      <c r="AH39" s="73">
        <f t="shared" si="16"/>
        <v>4610000</v>
      </c>
      <c r="AI39" s="73">
        <f t="shared" si="17"/>
        <v>4425387</v>
      </c>
    </row>
    <row r="40" spans="1:35" s="76" customFormat="1" ht="12" x14ac:dyDescent="0.2">
      <c r="A40" s="84" t="s">
        <v>94</v>
      </c>
      <c r="B40" s="82"/>
      <c r="C40" s="83">
        <v>45000</v>
      </c>
      <c r="D40" s="83">
        <v>45000</v>
      </c>
      <c r="E40" s="83">
        <v>37305</v>
      </c>
      <c r="F40" s="83">
        <v>140000</v>
      </c>
      <c r="G40" s="83">
        <v>360000</v>
      </c>
      <c r="H40" s="83">
        <v>357787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73">
        <f t="shared" si="15"/>
        <v>185000</v>
      </c>
      <c r="AH40" s="73">
        <f t="shared" si="16"/>
        <v>405000</v>
      </c>
      <c r="AI40" s="73">
        <f t="shared" si="17"/>
        <v>395092</v>
      </c>
    </row>
    <row r="41" spans="1:35" s="76" customFormat="1" ht="12" x14ac:dyDescent="0.2">
      <c r="A41" s="77" t="s">
        <v>165</v>
      </c>
      <c r="B41" s="78">
        <v>33</v>
      </c>
      <c r="C41" s="79">
        <f>+C37+C36+C28+C33+C34</f>
        <v>540000</v>
      </c>
      <c r="D41" s="79">
        <f>+D37+D36+D28+D33+D34</f>
        <v>912350</v>
      </c>
      <c r="E41" s="79">
        <f>+E28+E33+E34+E36+E37</f>
        <v>770856</v>
      </c>
      <c r="F41" s="79">
        <f>+F28+F34+F37+F36</f>
        <v>1040000</v>
      </c>
      <c r="G41" s="79">
        <f>+G28+G34+G37+G35</f>
        <v>1033000</v>
      </c>
      <c r="H41" s="79">
        <f>+H28+H34+H37+H35</f>
        <v>902292</v>
      </c>
      <c r="I41" s="79">
        <f>+I28+I33+I34+I37</f>
        <v>531600</v>
      </c>
      <c r="J41" s="79">
        <f>+J28+J33+J34+J37</f>
        <v>650000</v>
      </c>
      <c r="K41" s="79">
        <f>+K28+K33+K34+K37</f>
        <v>459047</v>
      </c>
      <c r="L41" s="79">
        <f>+L28</f>
        <v>80000</v>
      </c>
      <c r="M41" s="79">
        <f>+M28+M37</f>
        <v>130000</v>
      </c>
      <c r="N41" s="79">
        <f>+N28+N37</f>
        <v>55248</v>
      </c>
      <c r="O41" s="79"/>
      <c r="P41" s="79">
        <f>+P34+P36+P37</f>
        <v>0</v>
      </c>
      <c r="Q41" s="79">
        <f>+Q34+Q36+Q37</f>
        <v>0</v>
      </c>
      <c r="R41" s="79">
        <v>0</v>
      </c>
      <c r="S41" s="79">
        <f>+S35+S37+S28</f>
        <v>1065000</v>
      </c>
      <c r="T41" s="79">
        <f>+T35+T37+T28</f>
        <v>1061081</v>
      </c>
      <c r="U41" s="79">
        <f>+U28+U34</f>
        <v>40000</v>
      </c>
      <c r="V41" s="79">
        <f>+V28</f>
        <v>20000</v>
      </c>
      <c r="W41" s="79">
        <f>+W28</f>
        <v>197</v>
      </c>
      <c r="X41" s="79">
        <v>0</v>
      </c>
      <c r="Y41" s="79">
        <f>+Y28+Y34+Y36+Y37</f>
        <v>2032000</v>
      </c>
      <c r="Z41" s="79">
        <f>+Z28+Z34+Z36+Z37</f>
        <v>1937410</v>
      </c>
      <c r="AA41" s="79">
        <f>+AA28</f>
        <v>35000</v>
      </c>
      <c r="AB41" s="79">
        <f>+AB28+AB37</f>
        <v>55000</v>
      </c>
      <c r="AC41" s="79">
        <f>+AC28+AC37</f>
        <v>27612</v>
      </c>
      <c r="AD41" s="79">
        <f>+AD37+AD28</f>
        <v>500000</v>
      </c>
      <c r="AE41" s="79">
        <f>+AE32+AE35+AE37+AE28+AE33+AE36</f>
        <v>3246000</v>
      </c>
      <c r="AF41" s="79">
        <f>+AF28+AF33+AF35+AF37+AF32+AF36</f>
        <v>3238396</v>
      </c>
      <c r="AG41" s="80">
        <f>+C41+F41+I41+L41+O41+R41+U41+X41+AA41+AD41</f>
        <v>2766600</v>
      </c>
      <c r="AH41" s="80">
        <f t="shared" si="16"/>
        <v>9143350</v>
      </c>
      <c r="AI41" s="80">
        <f t="shared" si="17"/>
        <v>8452139</v>
      </c>
    </row>
    <row r="42" spans="1:35" s="76" customFormat="1" ht="12" x14ac:dyDescent="0.2">
      <c r="A42" s="69" t="s">
        <v>206</v>
      </c>
      <c r="B42" s="70">
        <v>342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3">
        <f>+C42+F42+I42+L42+O42+R42+U42+X42+AA42+AD42</f>
        <v>0</v>
      </c>
      <c r="AH42" s="73">
        <f t="shared" ref="AH42" si="24">+D42+G42+J42+M42+P42+S42+V42+Y42+AB42+AE42</f>
        <v>0</v>
      </c>
      <c r="AI42" s="73">
        <f t="shared" ref="AI42" si="25">+E42+H42+K42+N42+Q42+T42+W42+Z42+AC42+AF42</f>
        <v>0</v>
      </c>
    </row>
    <row r="43" spans="1:35" s="76" customFormat="1" ht="12" x14ac:dyDescent="0.2">
      <c r="A43" s="69" t="s">
        <v>96</v>
      </c>
      <c r="B43" s="70">
        <v>341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3">
        <f>+C43+F43+I43+L43+O43+R43+U43+X43+AA43+AD43</f>
        <v>0</v>
      </c>
      <c r="AH43" s="73">
        <f t="shared" si="16"/>
        <v>0</v>
      </c>
      <c r="AI43" s="73">
        <f t="shared" si="17"/>
        <v>0</v>
      </c>
    </row>
    <row r="44" spans="1:35" s="76" customFormat="1" ht="12" x14ac:dyDescent="0.2">
      <c r="A44" s="87" t="s">
        <v>166</v>
      </c>
      <c r="B44" s="78">
        <v>34</v>
      </c>
      <c r="C44" s="79">
        <f>+C43</f>
        <v>0</v>
      </c>
      <c r="D44" s="79">
        <f>+D42</f>
        <v>0</v>
      </c>
      <c r="E44" s="79">
        <f>+E42+E43</f>
        <v>0</v>
      </c>
      <c r="F44" s="79">
        <v>0</v>
      </c>
      <c r="G44" s="79">
        <v>0</v>
      </c>
      <c r="H44" s="79"/>
      <c r="I44" s="79">
        <v>0</v>
      </c>
      <c r="J44" s="79">
        <v>0</v>
      </c>
      <c r="K44" s="79"/>
      <c r="L44" s="79">
        <v>0</v>
      </c>
      <c r="M44" s="79">
        <v>0</v>
      </c>
      <c r="N44" s="79"/>
      <c r="O44" s="79">
        <v>0</v>
      </c>
      <c r="P44" s="79">
        <v>0</v>
      </c>
      <c r="Q44" s="79"/>
      <c r="R44" s="79">
        <v>0</v>
      </c>
      <c r="S44" s="79">
        <v>0</v>
      </c>
      <c r="T44" s="79"/>
      <c r="U44" s="79">
        <v>0</v>
      </c>
      <c r="V44" s="79">
        <v>0</v>
      </c>
      <c r="W44" s="79"/>
      <c r="X44" s="79">
        <v>0</v>
      </c>
      <c r="Y44" s="79">
        <v>0</v>
      </c>
      <c r="Z44" s="79"/>
      <c r="AA44" s="79">
        <v>0</v>
      </c>
      <c r="AB44" s="79">
        <v>0</v>
      </c>
      <c r="AC44" s="79"/>
      <c r="AD44" s="79">
        <v>0</v>
      </c>
      <c r="AE44" s="79">
        <v>0</v>
      </c>
      <c r="AF44" s="79"/>
      <c r="AG44" s="80">
        <f>+C44+F44+I44+L44+O44+R44+U44+X44+AA44+AD44</f>
        <v>0</v>
      </c>
      <c r="AH44" s="80">
        <f t="shared" ref="AH44:AI47" si="26">+D44+G44+J44+M44+P44+S44+V44+Y44+AB44+AE44</f>
        <v>0</v>
      </c>
      <c r="AI44" s="80">
        <f t="shared" ref="AI44" si="27">+E44+H44+K44+N44+Q44+T44+W44+Z44+AC44+AF44</f>
        <v>0</v>
      </c>
    </row>
    <row r="45" spans="1:35" s="76" customFormat="1" ht="24" x14ac:dyDescent="0.2">
      <c r="A45" s="69" t="s">
        <v>180</v>
      </c>
      <c r="B45" s="70">
        <v>351</v>
      </c>
      <c r="C45" s="71">
        <v>278300</v>
      </c>
      <c r="D45" s="71">
        <v>139500</v>
      </c>
      <c r="E45" s="71">
        <v>108185</v>
      </c>
      <c r="F45" s="71">
        <v>523800</v>
      </c>
      <c r="G45" s="71">
        <v>500000</v>
      </c>
      <c r="H45" s="71">
        <v>479606</v>
      </c>
      <c r="I45" s="71">
        <v>140400</v>
      </c>
      <c r="J45" s="71">
        <v>145000</v>
      </c>
      <c r="K45" s="71">
        <v>117242</v>
      </c>
      <c r="L45" s="71">
        <v>21600</v>
      </c>
      <c r="M45" s="71">
        <v>25000</v>
      </c>
      <c r="N45" s="71">
        <v>14480</v>
      </c>
      <c r="O45" s="71"/>
      <c r="P45" s="71"/>
      <c r="Q45" s="71"/>
      <c r="R45" s="71"/>
      <c r="S45" s="71">
        <v>585000</v>
      </c>
      <c r="T45" s="71">
        <v>569885</v>
      </c>
      <c r="U45" s="71">
        <v>20000</v>
      </c>
      <c r="V45" s="71">
        <v>1500</v>
      </c>
      <c r="W45" s="71">
        <v>53</v>
      </c>
      <c r="X45" s="71"/>
      <c r="Y45" s="71">
        <v>1125000</v>
      </c>
      <c r="Z45" s="71">
        <f>2000+1080789</f>
        <v>1082789</v>
      </c>
      <c r="AA45" s="71">
        <v>13200</v>
      </c>
      <c r="AB45" s="71">
        <v>26000</v>
      </c>
      <c r="AC45" s="71">
        <v>17186</v>
      </c>
      <c r="AD45" s="71">
        <v>243000</v>
      </c>
      <c r="AE45" s="71">
        <v>623300</v>
      </c>
      <c r="AF45" s="71">
        <v>528834</v>
      </c>
      <c r="AG45" s="73">
        <f t="shared" ref="AG45:AG49" si="28">+C45+F45+I45+L45+O45+R45+U45+X45+AA45+AD45</f>
        <v>1240300</v>
      </c>
      <c r="AH45" s="73">
        <f t="shared" si="26"/>
        <v>3170300</v>
      </c>
      <c r="AI45" s="73">
        <f t="shared" si="26"/>
        <v>2918260</v>
      </c>
    </row>
    <row r="46" spans="1:35" s="76" customFormat="1" ht="12" x14ac:dyDescent="0.2">
      <c r="A46" s="69" t="s">
        <v>95</v>
      </c>
      <c r="B46" s="70">
        <v>355</v>
      </c>
      <c r="C46" s="71">
        <f t="shared" ref="C46:H46" si="29">+C47</f>
        <v>0</v>
      </c>
      <c r="D46" s="71">
        <f t="shared" si="29"/>
        <v>100000</v>
      </c>
      <c r="E46" s="71">
        <f t="shared" si="29"/>
        <v>73827</v>
      </c>
      <c r="F46" s="71">
        <f t="shared" si="29"/>
        <v>100000</v>
      </c>
      <c r="G46" s="71">
        <f t="shared" si="29"/>
        <v>14940</v>
      </c>
      <c r="H46" s="71">
        <f t="shared" si="29"/>
        <v>13872</v>
      </c>
      <c r="I46" s="71">
        <v>0</v>
      </c>
      <c r="J46" s="71">
        <v>0</v>
      </c>
      <c r="K46" s="71"/>
      <c r="L46" s="71">
        <v>0</v>
      </c>
      <c r="M46" s="71">
        <f>+M47</f>
        <v>0</v>
      </c>
      <c r="N46" s="71">
        <f>+N47</f>
        <v>0</v>
      </c>
      <c r="O46" s="71"/>
      <c r="P46" s="71"/>
      <c r="Q46" s="71"/>
      <c r="R46" s="71">
        <v>0</v>
      </c>
      <c r="S46" s="71">
        <v>0</v>
      </c>
      <c r="T46" s="71"/>
      <c r="U46" s="71">
        <v>0</v>
      </c>
      <c r="V46" s="71">
        <v>0</v>
      </c>
      <c r="W46" s="71"/>
      <c r="X46" s="71"/>
      <c r="Y46" s="71">
        <f>+Y47</f>
        <v>50</v>
      </c>
      <c r="Z46" s="71">
        <f>+Z47</f>
        <v>12</v>
      </c>
      <c r="AA46" s="71">
        <v>0</v>
      </c>
      <c r="AB46" s="71">
        <f>+AB47</f>
        <v>10</v>
      </c>
      <c r="AC46" s="71">
        <v>1</v>
      </c>
      <c r="AD46" s="71">
        <f>+AD47</f>
        <v>300000</v>
      </c>
      <c r="AE46" s="71">
        <v>85000</v>
      </c>
      <c r="AF46" s="71">
        <f>+AF47</f>
        <v>62564</v>
      </c>
      <c r="AG46" s="73">
        <f t="shared" si="28"/>
        <v>400000</v>
      </c>
      <c r="AH46" s="73">
        <f t="shared" si="26"/>
        <v>200000</v>
      </c>
      <c r="AI46" s="73">
        <f t="shared" si="26"/>
        <v>150276</v>
      </c>
    </row>
    <row r="47" spans="1:35" s="76" customFormat="1" ht="24" x14ac:dyDescent="0.2">
      <c r="A47" s="84" t="s">
        <v>167</v>
      </c>
      <c r="B47" s="82"/>
      <c r="C47" s="83"/>
      <c r="D47" s="83">
        <v>100000</v>
      </c>
      <c r="E47" s="83">
        <v>73827</v>
      </c>
      <c r="F47" s="83">
        <v>100000</v>
      </c>
      <c r="G47" s="83">
        <v>14940</v>
      </c>
      <c r="H47" s="83">
        <v>13872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>
        <v>50</v>
      </c>
      <c r="Z47" s="83">
        <v>12</v>
      </c>
      <c r="AA47" s="83"/>
      <c r="AB47" s="83">
        <v>10</v>
      </c>
      <c r="AC47" s="83">
        <v>1</v>
      </c>
      <c r="AD47" s="83">
        <v>300000</v>
      </c>
      <c r="AE47" s="83">
        <v>85000</v>
      </c>
      <c r="AF47" s="83">
        <v>62564</v>
      </c>
      <c r="AG47" s="73">
        <f t="shared" si="28"/>
        <v>400000</v>
      </c>
      <c r="AH47" s="73">
        <f t="shared" si="26"/>
        <v>200000</v>
      </c>
      <c r="AI47" s="73">
        <f t="shared" si="26"/>
        <v>150276</v>
      </c>
    </row>
    <row r="48" spans="1:35" s="76" customFormat="1" ht="24" x14ac:dyDescent="0.2">
      <c r="A48" s="77" t="s">
        <v>93</v>
      </c>
      <c r="B48" s="78">
        <v>35</v>
      </c>
      <c r="C48" s="79">
        <f t="shared" ref="C48:H48" si="30">+C45+C46</f>
        <v>278300</v>
      </c>
      <c r="D48" s="79">
        <f t="shared" si="30"/>
        <v>239500</v>
      </c>
      <c r="E48" s="79">
        <f t="shared" si="30"/>
        <v>182012</v>
      </c>
      <c r="F48" s="79">
        <f t="shared" si="30"/>
        <v>623800</v>
      </c>
      <c r="G48" s="79">
        <f t="shared" si="30"/>
        <v>514940</v>
      </c>
      <c r="H48" s="79">
        <f t="shared" si="30"/>
        <v>493478</v>
      </c>
      <c r="I48" s="79">
        <f>+I45</f>
        <v>140400</v>
      </c>
      <c r="J48" s="79">
        <f>+J45</f>
        <v>145000</v>
      </c>
      <c r="K48" s="79">
        <f>+K45</f>
        <v>117242</v>
      </c>
      <c r="L48" s="79">
        <f>+L45</f>
        <v>21600</v>
      </c>
      <c r="M48" s="79">
        <f>+M45+M46</f>
        <v>25000</v>
      </c>
      <c r="N48" s="79">
        <f>+N45+N46</f>
        <v>14480</v>
      </c>
      <c r="O48" s="79"/>
      <c r="P48" s="79">
        <f>+P45+P46</f>
        <v>0</v>
      </c>
      <c r="Q48" s="79">
        <f>+Q45+Q46</f>
        <v>0</v>
      </c>
      <c r="R48" s="79">
        <v>0</v>
      </c>
      <c r="S48" s="79">
        <f>+S45</f>
        <v>585000</v>
      </c>
      <c r="T48" s="79">
        <f>+T45</f>
        <v>569885</v>
      </c>
      <c r="U48" s="79">
        <f>+U45</f>
        <v>20000</v>
      </c>
      <c r="V48" s="79">
        <f>+V45</f>
        <v>1500</v>
      </c>
      <c r="W48" s="79">
        <f>+W45</f>
        <v>53</v>
      </c>
      <c r="X48" s="79"/>
      <c r="Y48" s="79">
        <f>+Y45+Y46</f>
        <v>1125050</v>
      </c>
      <c r="Z48" s="79">
        <f>+Z45+Z46</f>
        <v>1082801</v>
      </c>
      <c r="AA48" s="79">
        <f>+AA45</f>
        <v>13200</v>
      </c>
      <c r="AB48" s="79">
        <f>+AB45+AB46</f>
        <v>26010</v>
      </c>
      <c r="AC48" s="79">
        <f>+AC45+AC46</f>
        <v>17187</v>
      </c>
      <c r="AD48" s="79">
        <f>+AD45+AD46</f>
        <v>543000</v>
      </c>
      <c r="AE48" s="79">
        <f>+AE45+AE46</f>
        <v>708300</v>
      </c>
      <c r="AF48" s="79">
        <f>+AF45+AF46</f>
        <v>591398</v>
      </c>
      <c r="AG48" s="80">
        <f t="shared" si="28"/>
        <v>1640300</v>
      </c>
      <c r="AH48" s="80">
        <f t="shared" ref="AH48:AH51" si="31">+D48+G48+J48+M48+P48+S48+V48+Y48+AB48+AE48</f>
        <v>3370300</v>
      </c>
      <c r="AI48" s="80">
        <f t="shared" ref="AI48:AI51" si="32">+E48+H48+K48+N48+Q48+T48+W48+Z48+AC48+AF48</f>
        <v>3068536</v>
      </c>
    </row>
    <row r="49" spans="1:36" s="76" customFormat="1" ht="12" x14ac:dyDescent="0.2">
      <c r="A49" s="77" t="s">
        <v>92</v>
      </c>
      <c r="B49" s="78">
        <v>3</v>
      </c>
      <c r="C49" s="79">
        <f>+C24+C27+C41+C48</f>
        <v>998300</v>
      </c>
      <c r="D49" s="79">
        <f>+D24+D27+D41+D48+D44</f>
        <v>1380950</v>
      </c>
      <c r="E49" s="79">
        <f>+E24+E27+E41+E44+E48</f>
        <v>1176014</v>
      </c>
      <c r="F49" s="79">
        <f t="shared" ref="F49:AF49" si="33">+F24+F27+F41+F44+F48</f>
        <v>2703800</v>
      </c>
      <c r="G49" s="79">
        <f t="shared" si="33"/>
        <v>2997940</v>
      </c>
      <c r="H49" s="79">
        <f t="shared" si="33"/>
        <v>2810186</v>
      </c>
      <c r="I49" s="79">
        <f t="shared" si="33"/>
        <v>672000</v>
      </c>
      <c r="J49" s="79">
        <f t="shared" si="33"/>
        <v>795000</v>
      </c>
      <c r="K49" s="79">
        <f t="shared" si="33"/>
        <v>576289</v>
      </c>
      <c r="L49" s="79">
        <f t="shared" si="33"/>
        <v>101600</v>
      </c>
      <c r="M49" s="79">
        <f t="shared" si="33"/>
        <v>155000</v>
      </c>
      <c r="N49" s="79">
        <f t="shared" si="33"/>
        <v>69728</v>
      </c>
      <c r="O49" s="79">
        <f t="shared" si="33"/>
        <v>0</v>
      </c>
      <c r="P49" s="79">
        <f t="shared" si="33"/>
        <v>0</v>
      </c>
      <c r="Q49" s="79">
        <f t="shared" si="33"/>
        <v>0</v>
      </c>
      <c r="R49" s="79">
        <f t="shared" si="33"/>
        <v>0</v>
      </c>
      <c r="S49" s="79">
        <f t="shared" si="33"/>
        <v>2820000</v>
      </c>
      <c r="T49" s="79">
        <f t="shared" si="33"/>
        <v>2800966</v>
      </c>
      <c r="U49" s="79">
        <f t="shared" si="33"/>
        <v>100000</v>
      </c>
      <c r="V49" s="79">
        <f t="shared" si="33"/>
        <v>21500</v>
      </c>
      <c r="W49" s="79">
        <f t="shared" si="33"/>
        <v>250</v>
      </c>
      <c r="X49" s="79">
        <f t="shared" si="33"/>
        <v>0</v>
      </c>
      <c r="Y49" s="79">
        <f t="shared" si="33"/>
        <v>5670950</v>
      </c>
      <c r="Z49" s="79">
        <f t="shared" si="33"/>
        <v>5528552</v>
      </c>
      <c r="AA49" s="79">
        <f t="shared" si="33"/>
        <v>101200</v>
      </c>
      <c r="AB49" s="79">
        <f t="shared" si="33"/>
        <v>156010</v>
      </c>
      <c r="AC49" s="79">
        <f t="shared" si="33"/>
        <v>117965</v>
      </c>
      <c r="AD49" s="79">
        <f t="shared" si="33"/>
        <v>1143000</v>
      </c>
      <c r="AE49" s="79">
        <f t="shared" si="33"/>
        <v>4834300</v>
      </c>
      <c r="AF49" s="79">
        <f t="shared" si="33"/>
        <v>4705815</v>
      </c>
      <c r="AG49" s="80">
        <f t="shared" si="28"/>
        <v>5819900</v>
      </c>
      <c r="AH49" s="80">
        <f t="shared" si="31"/>
        <v>18831650</v>
      </c>
      <c r="AI49" s="80">
        <f t="shared" si="32"/>
        <v>17785765</v>
      </c>
      <c r="AJ49" s="88"/>
    </row>
    <row r="50" spans="1:36" s="76" customFormat="1" ht="12" x14ac:dyDescent="0.2">
      <c r="A50" s="69" t="s">
        <v>91</v>
      </c>
      <c r="B50" s="70">
        <v>48</v>
      </c>
      <c r="C50" s="71">
        <f>+C51</f>
        <v>0</v>
      </c>
      <c r="D50" s="71">
        <f>+D51</f>
        <v>0</v>
      </c>
      <c r="E50" s="71"/>
      <c r="F50" s="71">
        <v>0</v>
      </c>
      <c r="G50" s="71">
        <v>0</v>
      </c>
      <c r="H50" s="71"/>
      <c r="I50" s="71">
        <v>0</v>
      </c>
      <c r="J50" s="71">
        <v>0</v>
      </c>
      <c r="K50" s="71"/>
      <c r="L50" s="71">
        <v>0</v>
      </c>
      <c r="M50" s="71">
        <v>0</v>
      </c>
      <c r="N50" s="71"/>
      <c r="O50" s="71"/>
      <c r="P50" s="71"/>
      <c r="Q50" s="71"/>
      <c r="R50" s="71">
        <f>+R51</f>
        <v>5046000</v>
      </c>
      <c r="S50" s="71">
        <f>+S51</f>
        <v>4892500</v>
      </c>
      <c r="T50" s="71">
        <f>+T51</f>
        <v>3228000</v>
      </c>
      <c r="U50" s="71">
        <v>0</v>
      </c>
      <c r="V50" s="71">
        <v>0</v>
      </c>
      <c r="W50" s="71"/>
      <c r="X50" s="71">
        <v>0</v>
      </c>
      <c r="Y50" s="71">
        <v>0</v>
      </c>
      <c r="Z50" s="71"/>
      <c r="AA50" s="71">
        <v>0</v>
      </c>
      <c r="AB50" s="71">
        <v>0</v>
      </c>
      <c r="AC50" s="71"/>
      <c r="AD50" s="71">
        <v>0</v>
      </c>
      <c r="AE50" s="71">
        <v>0</v>
      </c>
      <c r="AF50" s="71"/>
      <c r="AG50" s="73">
        <f t="shared" ref="AG50:AG51" si="34">+C50+F50+I50+L50+O50+R50+U50+X50+AA50+AD50</f>
        <v>5046000</v>
      </c>
      <c r="AH50" s="73">
        <f t="shared" si="31"/>
        <v>4892500</v>
      </c>
      <c r="AI50" s="73">
        <f t="shared" si="32"/>
        <v>3228000</v>
      </c>
    </row>
    <row r="51" spans="1:36" s="76" customFormat="1" ht="12" x14ac:dyDescent="0.2">
      <c r="A51" s="81" t="s">
        <v>168</v>
      </c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>
        <v>5046000</v>
      </c>
      <c r="S51" s="83">
        <v>4892500</v>
      </c>
      <c r="T51" s="83">
        <v>3228000</v>
      </c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73">
        <f t="shared" si="34"/>
        <v>5046000</v>
      </c>
      <c r="AH51" s="73">
        <f t="shared" si="31"/>
        <v>4892500</v>
      </c>
      <c r="AI51" s="73">
        <f t="shared" si="32"/>
        <v>3228000</v>
      </c>
    </row>
    <row r="52" spans="1:36" s="76" customFormat="1" ht="12" x14ac:dyDescent="0.2">
      <c r="A52" s="81" t="s">
        <v>209</v>
      </c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>
        <v>257000</v>
      </c>
      <c r="T52" s="83">
        <v>257000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73">
        <f t="shared" ref="AG52" si="35">+C52+F52+I52+L52+O52+R52+U52+X52+AA52+AD52</f>
        <v>0</v>
      </c>
      <c r="AH52" s="73">
        <f t="shared" ref="AH52" si="36">+D52+G52+J52+M52+P52+S52+V52+Y52+AB52+AE52</f>
        <v>257000</v>
      </c>
      <c r="AI52" s="73">
        <f t="shared" ref="AI52" si="37">+E52+H52+K52+N52+Q52+T52+W52+Z52+AC52+AF52</f>
        <v>257000</v>
      </c>
    </row>
    <row r="53" spans="1:36" s="76" customFormat="1" ht="12" x14ac:dyDescent="0.2">
      <c r="A53" s="77" t="s">
        <v>90</v>
      </c>
      <c r="B53" s="78">
        <v>4</v>
      </c>
      <c r="C53" s="79">
        <f>+C50</f>
        <v>0</v>
      </c>
      <c r="D53" s="79">
        <f>+D50</f>
        <v>0</v>
      </c>
      <c r="E53" s="79"/>
      <c r="F53" s="79">
        <v>0</v>
      </c>
      <c r="G53" s="79">
        <v>0</v>
      </c>
      <c r="H53" s="79"/>
      <c r="I53" s="79">
        <v>0</v>
      </c>
      <c r="J53" s="79">
        <v>0</v>
      </c>
      <c r="K53" s="79"/>
      <c r="L53" s="79">
        <v>0</v>
      </c>
      <c r="M53" s="79">
        <v>0</v>
      </c>
      <c r="N53" s="79"/>
      <c r="O53" s="79">
        <v>0</v>
      </c>
      <c r="P53" s="79">
        <v>0</v>
      </c>
      <c r="Q53" s="79"/>
      <c r="R53" s="79">
        <f>+R50</f>
        <v>5046000</v>
      </c>
      <c r="S53" s="79">
        <f>+S50+S52</f>
        <v>5149500</v>
      </c>
      <c r="T53" s="79">
        <f>+T50+T52</f>
        <v>3485000</v>
      </c>
      <c r="U53" s="79">
        <v>0</v>
      </c>
      <c r="V53" s="79">
        <v>0</v>
      </c>
      <c r="W53" s="79"/>
      <c r="X53" s="79">
        <v>0</v>
      </c>
      <c r="Y53" s="79">
        <v>0</v>
      </c>
      <c r="Z53" s="79"/>
      <c r="AA53" s="79">
        <v>0</v>
      </c>
      <c r="AB53" s="79">
        <v>0</v>
      </c>
      <c r="AC53" s="79"/>
      <c r="AD53" s="79">
        <v>0</v>
      </c>
      <c r="AE53" s="79">
        <v>0</v>
      </c>
      <c r="AF53" s="79"/>
      <c r="AG53" s="80">
        <f>+C53+F53+I53+L53+O53+R53+U53+X53+AA53+AD53</f>
        <v>5046000</v>
      </c>
      <c r="AH53" s="80">
        <f t="shared" ref="AH53:AH61" si="38">+D53+G53+J53+M53+P53+S53+V53+Y53+AB53+AE53</f>
        <v>5149500</v>
      </c>
      <c r="AI53" s="80">
        <f t="shared" ref="AI53:AI55" si="39">+E53+H53+K53+N53+Q53+T53+W53+Z53+AC53+AF53</f>
        <v>3485000</v>
      </c>
    </row>
    <row r="54" spans="1:36" s="76" customFormat="1" ht="24" x14ac:dyDescent="0.2">
      <c r="A54" s="89" t="s">
        <v>189</v>
      </c>
      <c r="B54" s="70">
        <v>502</v>
      </c>
      <c r="C54" s="90"/>
      <c r="D54" s="90">
        <v>355756</v>
      </c>
      <c r="E54" s="90">
        <v>355756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73">
        <f t="shared" ref="AG54:AI62" si="40">+C54+F54+I54+L54+O54+R54+U54+X54+AA54+AD54</f>
        <v>0</v>
      </c>
      <c r="AH54" s="73">
        <f t="shared" si="38"/>
        <v>355756</v>
      </c>
      <c r="AI54" s="73">
        <f t="shared" si="39"/>
        <v>355756</v>
      </c>
    </row>
    <row r="55" spans="1:36" s="76" customFormat="1" ht="12" x14ac:dyDescent="0.2">
      <c r="A55" s="69" t="s">
        <v>89</v>
      </c>
      <c r="B55" s="70">
        <v>506</v>
      </c>
      <c r="C55" s="71">
        <f>+C56+C59+C60+C61</f>
        <v>0</v>
      </c>
      <c r="D55" s="71">
        <f>+D57+D58</f>
        <v>211000</v>
      </c>
      <c r="E55" s="71">
        <f>+E57+E58</f>
        <v>210831</v>
      </c>
      <c r="F55" s="71">
        <v>0</v>
      </c>
      <c r="G55" s="71">
        <v>0</v>
      </c>
      <c r="H55" s="71"/>
      <c r="I55" s="71">
        <v>0</v>
      </c>
      <c r="J55" s="71">
        <v>0</v>
      </c>
      <c r="K55" s="71"/>
      <c r="L55" s="71">
        <v>0</v>
      </c>
      <c r="M55" s="71">
        <v>0</v>
      </c>
      <c r="N55" s="71"/>
      <c r="O55" s="71"/>
      <c r="P55" s="71"/>
      <c r="Q55" s="71"/>
      <c r="R55" s="71">
        <f>+R56+R60+R61</f>
        <v>272330</v>
      </c>
      <c r="S55" s="71">
        <f>1193380-211000</f>
        <v>982380</v>
      </c>
      <c r="T55" s="71">
        <f>1158738-210831</f>
        <v>947907</v>
      </c>
      <c r="U55" s="71">
        <v>0</v>
      </c>
      <c r="V55" s="71">
        <v>0</v>
      </c>
      <c r="W55" s="71"/>
      <c r="X55" s="71">
        <v>0</v>
      </c>
      <c r="Y55" s="71">
        <v>0</v>
      </c>
      <c r="Z55" s="71"/>
      <c r="AA55" s="71">
        <v>0</v>
      </c>
      <c r="AB55" s="71">
        <v>0</v>
      </c>
      <c r="AC55" s="71"/>
      <c r="AD55" s="71">
        <v>0</v>
      </c>
      <c r="AE55" s="71">
        <v>0</v>
      </c>
      <c r="AF55" s="71"/>
      <c r="AG55" s="73">
        <f t="shared" si="40"/>
        <v>272330</v>
      </c>
      <c r="AH55" s="73">
        <f t="shared" si="38"/>
        <v>1193380</v>
      </c>
      <c r="AI55" s="73">
        <f t="shared" si="39"/>
        <v>1158738</v>
      </c>
    </row>
    <row r="56" spans="1:36" s="76" customFormat="1" ht="24" x14ac:dyDescent="0.2">
      <c r="A56" s="91" t="s">
        <v>190</v>
      </c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>
        <v>93198</v>
      </c>
      <c r="S56" s="71">
        <f>+S55-S59-S60</f>
        <v>242520</v>
      </c>
      <c r="T56" s="71">
        <f>30139+84710+93198</f>
        <v>208047</v>
      </c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3">
        <f t="shared" si="40"/>
        <v>93198</v>
      </c>
      <c r="AH56" s="73">
        <f t="shared" si="38"/>
        <v>242520</v>
      </c>
      <c r="AI56" s="73">
        <f t="shared" ref="AI56:AI61" si="41">+E56+H56+K56+N56+Q56+T56+W56+Z56+AC56+AF56</f>
        <v>208047</v>
      </c>
    </row>
    <row r="57" spans="1:36" s="76" customFormat="1" ht="12" x14ac:dyDescent="0.2">
      <c r="A57" s="113" t="s">
        <v>230</v>
      </c>
      <c r="B57" s="70"/>
      <c r="C57" s="71"/>
      <c r="D57" s="71">
        <v>100000</v>
      </c>
      <c r="E57" s="71">
        <v>100000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3"/>
      <c r="AH57" s="73"/>
      <c r="AI57" s="73"/>
    </row>
    <row r="58" spans="1:36" s="76" customFormat="1" ht="24" x14ac:dyDescent="0.2">
      <c r="A58" s="113" t="s">
        <v>231</v>
      </c>
      <c r="B58" s="70"/>
      <c r="C58" s="71"/>
      <c r="D58" s="71">
        <v>111000</v>
      </c>
      <c r="E58" s="71">
        <v>110831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3"/>
      <c r="AH58" s="73"/>
      <c r="AI58" s="73"/>
    </row>
    <row r="59" spans="1:36" s="76" customFormat="1" ht="15" x14ac:dyDescent="0.25">
      <c r="A59" s="105" t="s">
        <v>212</v>
      </c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>
        <v>596050</v>
      </c>
      <c r="T59" s="71">
        <f>243719+352331</f>
        <v>596050</v>
      </c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3">
        <f t="shared" si="40"/>
        <v>0</v>
      </c>
      <c r="AH59" s="73">
        <f t="shared" si="38"/>
        <v>596050</v>
      </c>
      <c r="AI59" s="73">
        <f t="shared" si="41"/>
        <v>596050</v>
      </c>
    </row>
    <row r="60" spans="1:36" s="76" customFormat="1" ht="12" x14ac:dyDescent="0.2">
      <c r="A60" s="69" t="s">
        <v>169</v>
      </c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>
        <v>143810</v>
      </c>
      <c r="S60" s="71">
        <v>143810</v>
      </c>
      <c r="T60" s="71">
        <f>71905*2</f>
        <v>143810</v>
      </c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3">
        <f t="shared" si="40"/>
        <v>143810</v>
      </c>
      <c r="AH60" s="73">
        <f t="shared" si="38"/>
        <v>143810</v>
      </c>
      <c r="AI60" s="73">
        <f t="shared" si="41"/>
        <v>143810</v>
      </c>
    </row>
    <row r="61" spans="1:36" s="76" customFormat="1" ht="12" x14ac:dyDescent="0.2">
      <c r="A61" s="69" t="s">
        <v>216</v>
      </c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>
        <v>35322</v>
      </c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3">
        <f t="shared" si="40"/>
        <v>35322</v>
      </c>
      <c r="AH61" s="73">
        <f t="shared" si="38"/>
        <v>0</v>
      </c>
      <c r="AI61" s="73">
        <f t="shared" si="41"/>
        <v>0</v>
      </c>
    </row>
    <row r="62" spans="1:36" s="76" customFormat="1" ht="12" x14ac:dyDescent="0.2">
      <c r="A62" s="69" t="s">
        <v>177</v>
      </c>
      <c r="B62" s="70">
        <v>512</v>
      </c>
      <c r="C62" s="71">
        <f>+C64+C65</f>
        <v>17000</v>
      </c>
      <c r="D62" s="71">
        <f>+D63+D65+D64</f>
        <v>2117300</v>
      </c>
      <c r="E62" s="71">
        <f>+E63+E65</f>
        <v>2056044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>
        <f>+R63</f>
        <v>70000</v>
      </c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3">
        <f t="shared" si="40"/>
        <v>87000</v>
      </c>
      <c r="AH62" s="73">
        <f t="shared" si="40"/>
        <v>2117300</v>
      </c>
      <c r="AI62" s="73">
        <f t="shared" si="40"/>
        <v>2056044</v>
      </c>
    </row>
    <row r="63" spans="1:36" s="76" customFormat="1" ht="12" x14ac:dyDescent="0.2">
      <c r="A63" s="69" t="s">
        <v>224</v>
      </c>
      <c r="B63" s="70"/>
      <c r="C63" s="71"/>
      <c r="D63" s="71">
        <v>70000</v>
      </c>
      <c r="E63" s="71">
        <v>25744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>
        <v>70000</v>
      </c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3"/>
      <c r="AH63" s="73"/>
      <c r="AI63" s="73"/>
    </row>
    <row r="64" spans="1:36" s="76" customFormat="1" ht="12" x14ac:dyDescent="0.2">
      <c r="A64" s="69" t="s">
        <v>225</v>
      </c>
      <c r="B64" s="70"/>
      <c r="C64" s="71">
        <v>10000</v>
      </c>
      <c r="D64" s="71">
        <v>10000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3"/>
      <c r="AH64" s="73"/>
      <c r="AI64" s="73"/>
    </row>
    <row r="65" spans="1:35" s="76" customFormat="1" ht="24" x14ac:dyDescent="0.2">
      <c r="A65" s="69" t="s">
        <v>229</v>
      </c>
      <c r="B65" s="70"/>
      <c r="C65" s="71">
        <v>7000</v>
      </c>
      <c r="D65" s="71">
        <f>7000+2030300</f>
        <v>2037300</v>
      </c>
      <c r="E65" s="71">
        <v>2030300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3"/>
      <c r="AH65" s="73"/>
      <c r="AI65" s="73"/>
    </row>
    <row r="66" spans="1:35" s="76" customFormat="1" ht="12" x14ac:dyDescent="0.2">
      <c r="A66" s="69" t="s">
        <v>191</v>
      </c>
      <c r="B66" s="70">
        <v>513</v>
      </c>
      <c r="C66" s="71">
        <v>8239275</v>
      </c>
      <c r="D66" s="71">
        <v>10342151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3">
        <f t="shared" ref="AG66" si="42">+C66+F66+I66+L66+O66+R66+U66+X66+AA66+AD66</f>
        <v>8239275</v>
      </c>
      <c r="AH66" s="73">
        <f t="shared" ref="AH66" si="43">+D66+G66+J66+M66+P66+S66+V66+Y66+AB66+AE66</f>
        <v>10342151</v>
      </c>
      <c r="AI66" s="73">
        <f t="shared" ref="AI66" si="44">+E66+H66+K66+N66+Q66+T66+W66+Z66+AC66+AF66</f>
        <v>0</v>
      </c>
    </row>
    <row r="67" spans="1:35" s="76" customFormat="1" ht="12" x14ac:dyDescent="0.2">
      <c r="A67" s="77" t="s">
        <v>170</v>
      </c>
      <c r="B67" s="78">
        <v>5</v>
      </c>
      <c r="C67" s="79">
        <f>+C62+C66</f>
        <v>8256275</v>
      </c>
      <c r="D67" s="79">
        <f>+D54+D55+D62+D66</f>
        <v>13026207</v>
      </c>
      <c r="E67" s="79">
        <f>+E54+E55+E62</f>
        <v>2622631</v>
      </c>
      <c r="F67" s="79">
        <v>0</v>
      </c>
      <c r="G67" s="79">
        <v>0</v>
      </c>
      <c r="H67" s="79"/>
      <c r="I67" s="79">
        <v>0</v>
      </c>
      <c r="J67" s="79">
        <v>0</v>
      </c>
      <c r="K67" s="79"/>
      <c r="L67" s="79">
        <v>0</v>
      </c>
      <c r="M67" s="79">
        <v>0</v>
      </c>
      <c r="N67" s="79"/>
      <c r="O67" s="79"/>
      <c r="P67" s="79"/>
      <c r="Q67" s="79"/>
      <c r="R67" s="79">
        <f>+R55+R62</f>
        <v>342330</v>
      </c>
      <c r="S67" s="79">
        <f t="shared" ref="S67:T67" si="45">+S55+S62</f>
        <v>982380</v>
      </c>
      <c r="T67" s="79">
        <f t="shared" si="45"/>
        <v>947907</v>
      </c>
      <c r="U67" s="79">
        <v>0</v>
      </c>
      <c r="V67" s="79">
        <v>0</v>
      </c>
      <c r="W67" s="79"/>
      <c r="X67" s="79">
        <v>0</v>
      </c>
      <c r="Y67" s="79">
        <v>0</v>
      </c>
      <c r="Z67" s="79"/>
      <c r="AA67" s="79">
        <v>0</v>
      </c>
      <c r="AB67" s="79">
        <v>0</v>
      </c>
      <c r="AC67" s="79"/>
      <c r="AD67" s="79">
        <v>0</v>
      </c>
      <c r="AE67" s="79">
        <f>+AE62</f>
        <v>0</v>
      </c>
      <c r="AF67" s="79">
        <f>+AF62</f>
        <v>0</v>
      </c>
      <c r="AG67" s="80">
        <f>+C67+F67+I67+L67+O67+R67+U67+X67+AA67+AD67</f>
        <v>8598605</v>
      </c>
      <c r="AH67" s="80">
        <f t="shared" ref="AH67:AH69" si="46">+D67+G67+J67+M67+P67+S67+V67+Y67+AB67+AE67</f>
        <v>14008587</v>
      </c>
      <c r="AI67" s="80">
        <f t="shared" ref="AI67:AI69" si="47">+E67+H67+K67+N67+Q67+T67+W67+Z67+AC67+AF67</f>
        <v>3570538</v>
      </c>
    </row>
    <row r="68" spans="1:35" s="76" customFormat="1" ht="24" x14ac:dyDescent="0.2">
      <c r="A68" s="69" t="s">
        <v>171</v>
      </c>
      <c r="B68" s="70">
        <v>64</v>
      </c>
      <c r="C68" s="71"/>
      <c r="D68" s="71">
        <f>248000+2108+8</f>
        <v>250116</v>
      </c>
      <c r="E68" s="71">
        <v>247151</v>
      </c>
      <c r="F68" s="71"/>
      <c r="G68" s="71">
        <v>53300</v>
      </c>
      <c r="H68" s="71">
        <v>53300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>
        <v>23851490</v>
      </c>
      <c r="Z68" s="71">
        <f>22077350+1774140</f>
        <v>23851490</v>
      </c>
      <c r="AA68" s="71">
        <v>176621</v>
      </c>
      <c r="AB68" s="71">
        <v>120500</v>
      </c>
      <c r="AC68" s="71">
        <v>120362</v>
      </c>
      <c r="AD68" s="71"/>
      <c r="AE68" s="71">
        <v>1387000</v>
      </c>
      <c r="AF68" s="71">
        <f>275590+1110795</f>
        <v>1386385</v>
      </c>
      <c r="AG68" s="73">
        <f t="shared" ref="AG68:AG69" si="48">+C68+F68+I68+L68+O68+R68+U68+X68+AA68+AD68</f>
        <v>176621</v>
      </c>
      <c r="AH68" s="73">
        <f t="shared" si="46"/>
        <v>25662406</v>
      </c>
      <c r="AI68" s="73">
        <f t="shared" si="47"/>
        <v>25658688</v>
      </c>
    </row>
    <row r="69" spans="1:35" s="76" customFormat="1" ht="12" x14ac:dyDescent="0.2">
      <c r="A69" s="69" t="s">
        <v>88</v>
      </c>
      <c r="B69" s="70">
        <v>67</v>
      </c>
      <c r="C69" s="71"/>
      <c r="D69" s="71">
        <v>87750</v>
      </c>
      <c r="E69" s="71">
        <v>12731</v>
      </c>
      <c r="F69" s="71"/>
      <c r="G69" s="71">
        <v>11300</v>
      </c>
      <c r="H69" s="71">
        <v>11300</v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>
        <f>+Y68*0.27+1</f>
        <v>6439903.3000000007</v>
      </c>
      <c r="Z69" s="71">
        <v>6439903</v>
      </c>
      <c r="AA69" s="71">
        <v>47688</v>
      </c>
      <c r="AB69" s="71">
        <v>32500</v>
      </c>
      <c r="AC69" s="71">
        <v>32498</v>
      </c>
      <c r="AD69" s="71"/>
      <c r="AE69" s="71">
        <f>373000+1130</f>
        <v>374130</v>
      </c>
      <c r="AF69" s="71">
        <v>372705</v>
      </c>
      <c r="AG69" s="73">
        <f t="shared" si="48"/>
        <v>47688</v>
      </c>
      <c r="AH69" s="73">
        <f t="shared" si="46"/>
        <v>6945583.3000000007</v>
      </c>
      <c r="AI69" s="73">
        <f t="shared" si="47"/>
        <v>6869137</v>
      </c>
    </row>
    <row r="70" spans="1:35" s="76" customFormat="1" ht="12" x14ac:dyDescent="0.2">
      <c r="A70" s="77" t="s">
        <v>172</v>
      </c>
      <c r="B70" s="78">
        <v>6</v>
      </c>
      <c r="C70" s="79">
        <f>+C68+C69</f>
        <v>0</v>
      </c>
      <c r="D70" s="79">
        <f>+D68+D69</f>
        <v>337866</v>
      </c>
      <c r="E70" s="79">
        <f>+E68+E69</f>
        <v>259882</v>
      </c>
      <c r="F70" s="79">
        <v>0</v>
      </c>
      <c r="G70" s="79">
        <f>+G68+G69</f>
        <v>64600</v>
      </c>
      <c r="H70" s="79">
        <f>+H68+H69</f>
        <v>64600</v>
      </c>
      <c r="I70" s="79">
        <v>0</v>
      </c>
      <c r="J70" s="79">
        <v>0</v>
      </c>
      <c r="K70" s="79"/>
      <c r="L70" s="79">
        <v>0</v>
      </c>
      <c r="M70" s="79">
        <f>+M68+M69</f>
        <v>0</v>
      </c>
      <c r="N70" s="79">
        <f>+N68+N69</f>
        <v>0</v>
      </c>
      <c r="O70" s="79">
        <v>0</v>
      </c>
      <c r="P70" s="79">
        <f>+P68+P69</f>
        <v>0</v>
      </c>
      <c r="Q70" s="79">
        <f>+Q68+Q69</f>
        <v>0</v>
      </c>
      <c r="R70" s="79">
        <v>0</v>
      </c>
      <c r="S70" s="79">
        <v>0</v>
      </c>
      <c r="T70" s="79"/>
      <c r="U70" s="79">
        <v>0</v>
      </c>
      <c r="V70" s="79">
        <v>0</v>
      </c>
      <c r="W70" s="79"/>
      <c r="X70" s="79">
        <v>0</v>
      </c>
      <c r="Y70" s="79">
        <f>+Y68+Y69</f>
        <v>30291393.300000001</v>
      </c>
      <c r="Z70" s="79">
        <f>+Z68+Z69</f>
        <v>30291393</v>
      </c>
      <c r="AA70" s="79">
        <f>+AA68+AA69</f>
        <v>224309</v>
      </c>
      <c r="AB70" s="79">
        <f>+AB68+AB69</f>
        <v>153000</v>
      </c>
      <c r="AC70" s="79">
        <f>+AC68+AC69</f>
        <v>152860</v>
      </c>
      <c r="AD70" s="79">
        <v>0</v>
      </c>
      <c r="AE70" s="79">
        <f>+AE68+AE69</f>
        <v>1761130</v>
      </c>
      <c r="AF70" s="79">
        <f>+AF68+AF69</f>
        <v>1759090</v>
      </c>
      <c r="AG70" s="80">
        <f>+C70+F70+I70+L70+O70+R70+U70+X70+AA70+AD70</f>
        <v>224309</v>
      </c>
      <c r="AH70" s="80">
        <f t="shared" ref="AH70:AH72" si="49">+D70+G70+J70+M70+P70+S70+V70+Y70+AB70+AE70</f>
        <v>32607989.300000001</v>
      </c>
      <c r="AI70" s="80">
        <f t="shared" ref="AI70:AI72" si="50">+E70+H70+K70+N70+Q70+T70+W70+Z70+AC70+AF70</f>
        <v>32527825</v>
      </c>
    </row>
    <row r="71" spans="1:35" s="76" customFormat="1" ht="12" x14ac:dyDescent="0.2">
      <c r="A71" s="69" t="s">
        <v>74</v>
      </c>
      <c r="B71" s="70">
        <v>71</v>
      </c>
      <c r="C71" s="71">
        <v>500000</v>
      </c>
      <c r="D71" s="71">
        <v>3150000</v>
      </c>
      <c r="E71" s="71">
        <v>3150000</v>
      </c>
      <c r="F71" s="71"/>
      <c r="G71" s="71">
        <v>8314567</v>
      </c>
      <c r="H71" s="71">
        <v>8314567</v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>
        <v>1550000</v>
      </c>
      <c r="Z71" s="71">
        <v>1550000</v>
      </c>
      <c r="AA71" s="71"/>
      <c r="AB71" s="71"/>
      <c r="AC71" s="71"/>
      <c r="AD71" s="71"/>
      <c r="AE71" s="71"/>
      <c r="AF71" s="71"/>
      <c r="AG71" s="73">
        <f t="shared" ref="AG71:AG74" si="51">+C71+F71+I71+L71+O71+R71+U71+X71+AA71+AD71</f>
        <v>500000</v>
      </c>
      <c r="AH71" s="73">
        <f t="shared" si="49"/>
        <v>13014567</v>
      </c>
      <c r="AI71" s="73">
        <f t="shared" si="50"/>
        <v>13014567</v>
      </c>
    </row>
    <row r="72" spans="1:35" s="76" customFormat="1" ht="12" x14ac:dyDescent="0.2">
      <c r="A72" s="69" t="s">
        <v>87</v>
      </c>
      <c r="B72" s="70">
        <v>74</v>
      </c>
      <c r="C72" s="71"/>
      <c r="D72" s="71">
        <v>850500</v>
      </c>
      <c r="E72" s="71">
        <v>850500</v>
      </c>
      <c r="F72" s="71"/>
      <c r="G72" s="71">
        <v>2244933</v>
      </c>
      <c r="H72" s="71">
        <v>2244933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>
        <v>418500</v>
      </c>
      <c r="Z72" s="71">
        <v>418500</v>
      </c>
      <c r="AA72" s="71"/>
      <c r="AB72" s="71"/>
      <c r="AC72" s="71"/>
      <c r="AD72" s="71"/>
      <c r="AE72" s="71"/>
      <c r="AF72" s="71"/>
      <c r="AG72" s="73">
        <f t="shared" si="51"/>
        <v>0</v>
      </c>
      <c r="AH72" s="73">
        <f t="shared" si="49"/>
        <v>3513933</v>
      </c>
      <c r="AI72" s="73">
        <f t="shared" si="50"/>
        <v>3513933</v>
      </c>
    </row>
    <row r="73" spans="1:35" s="76" customFormat="1" ht="12" x14ac:dyDescent="0.2">
      <c r="A73" s="77" t="s">
        <v>173</v>
      </c>
      <c r="B73" s="78">
        <v>7</v>
      </c>
      <c r="C73" s="79">
        <f>+C71+C72</f>
        <v>500000</v>
      </c>
      <c r="D73" s="79">
        <f>+D71+D72</f>
        <v>4000500</v>
      </c>
      <c r="E73" s="79">
        <f>+E71+E72</f>
        <v>4000500</v>
      </c>
      <c r="F73" s="79"/>
      <c r="G73" s="79">
        <f>+G71+G72</f>
        <v>10559500</v>
      </c>
      <c r="H73" s="79">
        <f>+H71+H72</f>
        <v>10559500</v>
      </c>
      <c r="I73" s="79">
        <v>0</v>
      </c>
      <c r="J73" s="79">
        <v>0</v>
      </c>
      <c r="K73" s="79"/>
      <c r="L73" s="79">
        <v>0</v>
      </c>
      <c r="M73" s="79">
        <v>0</v>
      </c>
      <c r="N73" s="79"/>
      <c r="O73" s="79">
        <v>0</v>
      </c>
      <c r="P73" s="79">
        <v>0</v>
      </c>
      <c r="Q73" s="79"/>
      <c r="R73" s="79">
        <v>0</v>
      </c>
      <c r="S73" s="79">
        <v>0</v>
      </c>
      <c r="T73" s="79"/>
      <c r="U73" s="79"/>
      <c r="V73" s="79"/>
      <c r="W73" s="79"/>
      <c r="X73" s="79">
        <v>0</v>
      </c>
      <c r="Y73" s="79">
        <f>+Y71+Y72</f>
        <v>1968500</v>
      </c>
      <c r="Z73" s="79">
        <f>+Z71+Z72</f>
        <v>1968500</v>
      </c>
      <c r="AA73" s="79">
        <v>0</v>
      </c>
      <c r="AB73" s="79">
        <v>0</v>
      </c>
      <c r="AC73" s="79"/>
      <c r="AD73" s="79">
        <v>0</v>
      </c>
      <c r="AE73" s="79">
        <v>0</v>
      </c>
      <c r="AF73" s="79"/>
      <c r="AG73" s="80">
        <f t="shared" si="51"/>
        <v>500000</v>
      </c>
      <c r="AH73" s="80">
        <f t="shared" ref="AH73:AH74" si="52">+D73+G73+J73+M73+P73+S73+V73+Y73+AB73+AE73</f>
        <v>16528500</v>
      </c>
      <c r="AI73" s="80">
        <f t="shared" ref="AI73:AI74" si="53">+E73+H73+K73+N73+Q73+T73+W73+Z73+AC73+AF73</f>
        <v>16528500</v>
      </c>
    </row>
    <row r="74" spans="1:35" s="76" customFormat="1" ht="12" x14ac:dyDescent="0.2">
      <c r="A74" s="77" t="s">
        <v>191</v>
      </c>
      <c r="B74" s="78">
        <v>8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80">
        <f t="shared" si="51"/>
        <v>0</v>
      </c>
      <c r="AH74" s="80">
        <f t="shared" si="52"/>
        <v>0</v>
      </c>
      <c r="AI74" s="80">
        <f t="shared" si="53"/>
        <v>0</v>
      </c>
    </row>
    <row r="75" spans="1:35" s="76" customFormat="1" ht="12" x14ac:dyDescent="0.2">
      <c r="A75" s="77" t="s">
        <v>207</v>
      </c>
      <c r="B75" s="78"/>
      <c r="C75" s="79"/>
      <c r="D75" s="79">
        <v>788176</v>
      </c>
      <c r="E75" s="79">
        <v>788176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80">
        <f t="shared" ref="AG75" si="54">+C75+F75+I75+L75+O75+R75+U75+X75+AA75+AD75</f>
        <v>0</v>
      </c>
      <c r="AH75" s="80">
        <f t="shared" ref="AH75" si="55">+D75+G75+J75+M75+P75+S75+V75+Y75+AB75+AE75</f>
        <v>788176</v>
      </c>
      <c r="AI75" s="80">
        <f t="shared" ref="AI75" si="56">+E75+H75+K75+N75+Q75+T75+W75+Z75+AC75+AF75</f>
        <v>788176</v>
      </c>
    </row>
    <row r="76" spans="1:35" s="76" customFormat="1" ht="12" x14ac:dyDescent="0.2">
      <c r="A76" s="92" t="s">
        <v>174</v>
      </c>
      <c r="B76" s="93" t="s">
        <v>86</v>
      </c>
      <c r="C76" s="94">
        <f t="shared" ref="C76:D76" si="57">+C49+C53+C67+C70+C73+C74+C17+C16+C75</f>
        <v>17063297</v>
      </c>
      <c r="D76" s="94">
        <f t="shared" si="57"/>
        <v>26942659</v>
      </c>
      <c r="E76" s="94">
        <f>+E49+E53+E67+E70+E73+E74+E17+E16+E75</f>
        <v>16252192</v>
      </c>
      <c r="F76" s="94">
        <f t="shared" ref="F76:AF76" si="58">+F49+F53+F67+F70+F73+F74+F17+F16+F75</f>
        <v>2703800</v>
      </c>
      <c r="G76" s="94">
        <f t="shared" si="58"/>
        <v>24379265</v>
      </c>
      <c r="H76" s="94">
        <f t="shared" si="58"/>
        <v>24131627</v>
      </c>
      <c r="I76" s="94">
        <f t="shared" si="58"/>
        <v>672000</v>
      </c>
      <c r="J76" s="94">
        <f t="shared" si="58"/>
        <v>795000</v>
      </c>
      <c r="K76" s="94">
        <f t="shared" si="58"/>
        <v>576289</v>
      </c>
      <c r="L76" s="94">
        <f t="shared" si="58"/>
        <v>101600</v>
      </c>
      <c r="M76" s="94">
        <f t="shared" si="58"/>
        <v>155000</v>
      </c>
      <c r="N76" s="94">
        <f t="shared" si="58"/>
        <v>69728</v>
      </c>
      <c r="O76" s="94">
        <f t="shared" si="58"/>
        <v>0</v>
      </c>
      <c r="P76" s="94">
        <f t="shared" si="58"/>
        <v>0</v>
      </c>
      <c r="Q76" s="94">
        <f t="shared" si="58"/>
        <v>0</v>
      </c>
      <c r="R76" s="94">
        <f t="shared" si="58"/>
        <v>5388330</v>
      </c>
      <c r="S76" s="94">
        <f t="shared" si="58"/>
        <v>8951880</v>
      </c>
      <c r="T76" s="94">
        <f t="shared" si="58"/>
        <v>7233873</v>
      </c>
      <c r="U76" s="94">
        <f t="shared" si="58"/>
        <v>100000</v>
      </c>
      <c r="V76" s="94">
        <f t="shared" si="58"/>
        <v>21500</v>
      </c>
      <c r="W76" s="94">
        <f t="shared" si="58"/>
        <v>250</v>
      </c>
      <c r="X76" s="94">
        <f t="shared" si="58"/>
        <v>10486125</v>
      </c>
      <c r="Y76" s="94">
        <f t="shared" si="58"/>
        <v>60572240.299999997</v>
      </c>
      <c r="Z76" s="94">
        <f>+Z49+Z53+Z67+Z70+Z73+Z74+Z17+Z16+Z75</f>
        <v>60340456</v>
      </c>
      <c r="AA76" s="94">
        <f t="shared" si="58"/>
        <v>657000</v>
      </c>
      <c r="AB76" s="94">
        <f t="shared" si="58"/>
        <v>638410</v>
      </c>
      <c r="AC76" s="94">
        <f t="shared" si="58"/>
        <v>600198</v>
      </c>
      <c r="AD76" s="94">
        <f t="shared" si="58"/>
        <v>1143000</v>
      </c>
      <c r="AE76" s="94">
        <f t="shared" si="58"/>
        <v>8009358</v>
      </c>
      <c r="AF76" s="94">
        <f t="shared" si="58"/>
        <v>7878430</v>
      </c>
      <c r="AG76" s="94">
        <f>+C76+F76+I76+L76+O76+R76+U76+X76+AA76+AD76</f>
        <v>38315152</v>
      </c>
      <c r="AH76" s="94">
        <f>+D76+G76+J76+M76+P76+S76+V76+Y76+AB76+AE76</f>
        <v>130465312.3</v>
      </c>
      <c r="AI76" s="94">
        <f>+E76+H76+K76+N76+Q76+T76+W76+Z76+AC76+AF76</f>
        <v>117083043</v>
      </c>
    </row>
    <row r="77" spans="1:35" x14ac:dyDescent="0.2">
      <c r="E77" s="21">
        <v>14897429</v>
      </c>
      <c r="T77" s="110">
        <f>+T55</f>
        <v>947907</v>
      </c>
      <c r="Z77" s="20">
        <v>9407</v>
      </c>
      <c r="AH77" s="107">
        <f>129677136+AH75</f>
        <v>130465312</v>
      </c>
      <c r="AI77" s="107">
        <f>116294867+AI75</f>
        <v>117083043</v>
      </c>
    </row>
    <row r="78" spans="1:35" x14ac:dyDescent="0.2">
      <c r="E78" s="106">
        <f>+E75</f>
        <v>788176</v>
      </c>
      <c r="T78" s="20">
        <v>257000</v>
      </c>
      <c r="Z78" s="20">
        <v>60331049</v>
      </c>
    </row>
    <row r="79" spans="1:35" x14ac:dyDescent="0.2">
      <c r="E79" s="106">
        <f>+E54</f>
        <v>355756</v>
      </c>
      <c r="T79" s="20">
        <v>6028966</v>
      </c>
      <c r="Z79" s="20">
        <f>+Z77+Z78</f>
        <v>60340456</v>
      </c>
    </row>
    <row r="80" spans="1:35" x14ac:dyDescent="0.2">
      <c r="T80" s="20">
        <f>SUM(T77:T79)</f>
        <v>7233873</v>
      </c>
    </row>
    <row r="81" spans="5:20" x14ac:dyDescent="0.2">
      <c r="T81" s="20">
        <v>25744</v>
      </c>
    </row>
    <row r="82" spans="5:20" x14ac:dyDescent="0.2">
      <c r="E82" s="21">
        <f>SUM(E77:E81)</f>
        <v>16041361</v>
      </c>
    </row>
  </sheetData>
  <mergeCells count="36">
    <mergeCell ref="O5:Q5"/>
    <mergeCell ref="O6:Q6"/>
    <mergeCell ref="U5:W5"/>
    <mergeCell ref="U6:W6"/>
    <mergeCell ref="U7:W7"/>
    <mergeCell ref="X5:Z5"/>
    <mergeCell ref="X6:Z6"/>
    <mergeCell ref="X7:Z7"/>
    <mergeCell ref="AG5:AI7"/>
    <mergeCell ref="AA5:AC5"/>
    <mergeCell ref="AA6:AC6"/>
    <mergeCell ref="AA7:AC7"/>
    <mergeCell ref="AD5:AF5"/>
    <mergeCell ref="AD6:AF6"/>
    <mergeCell ref="AD7:AF7"/>
    <mergeCell ref="F6:H6"/>
    <mergeCell ref="F7:H7"/>
    <mergeCell ref="I5:K5"/>
    <mergeCell ref="I6:K6"/>
    <mergeCell ref="I7:K7"/>
    <mergeCell ref="L5:N5"/>
    <mergeCell ref="L6:N6"/>
    <mergeCell ref="L7:N7"/>
    <mergeCell ref="O7:Q7"/>
    <mergeCell ref="A1:AI1"/>
    <mergeCell ref="A3:AI3"/>
    <mergeCell ref="A2:AI2"/>
    <mergeCell ref="R5:T5"/>
    <mergeCell ref="R6:T6"/>
    <mergeCell ref="R7:T7"/>
    <mergeCell ref="A5:A8"/>
    <mergeCell ref="B5:B8"/>
    <mergeCell ref="C5:E5"/>
    <mergeCell ref="C6:E6"/>
    <mergeCell ref="C7:E7"/>
    <mergeCell ref="F5:H5"/>
  </mergeCells>
  <pageMargins left="0.78740157480314965" right="0.39370078740157483" top="7.874015748031496E-2" bottom="0.39370078740157483" header="0.51181102362204722" footer="0.51181102362204722"/>
  <pageSetup paperSize="8" scale="46" orientation="landscape" blackAndWhite="1" r:id="rId1"/>
  <headerFooter alignWithMargins="0"/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D28" sqref="D28"/>
    </sheetView>
  </sheetViews>
  <sheetFormatPr defaultRowHeight="15" x14ac:dyDescent="0.25"/>
  <cols>
    <col min="2" max="2" width="39.7109375" customWidth="1"/>
    <col min="3" max="3" width="22.5703125" customWidth="1"/>
    <col min="4" max="6" width="10.42578125" customWidth="1"/>
  </cols>
  <sheetData>
    <row r="1" spans="1:6" x14ac:dyDescent="0.25">
      <c r="A1" s="18"/>
      <c r="B1" s="147" t="s">
        <v>81</v>
      </c>
      <c r="C1" s="147"/>
      <c r="D1" s="147"/>
      <c r="E1" s="147"/>
      <c r="F1" s="147"/>
    </row>
    <row r="2" spans="1:6" x14ac:dyDescent="0.25">
      <c r="A2" s="147" t="str">
        <f>+'2. mell.kiadások'!A2:AI2</f>
        <v>3/2020.(VI.16.) önkormányzati rendelet</v>
      </c>
      <c r="B2" s="147"/>
      <c r="C2" s="147"/>
      <c r="D2" s="147"/>
      <c r="E2" s="147"/>
      <c r="F2" s="147"/>
    </row>
    <row r="3" spans="1:6" x14ac:dyDescent="0.25">
      <c r="A3" s="158" t="s">
        <v>221</v>
      </c>
      <c r="B3" s="158"/>
      <c r="C3" s="158"/>
      <c r="D3" s="158"/>
      <c r="E3" s="158"/>
      <c r="F3" s="158"/>
    </row>
    <row r="4" spans="1:6" ht="50.45" customHeight="1" x14ac:dyDescent="0.25">
      <c r="A4" s="144" t="s">
        <v>80</v>
      </c>
      <c r="B4" s="144"/>
      <c r="C4" s="144" t="s">
        <v>79</v>
      </c>
      <c r="D4" s="140" t="str">
        <f>+'4. mell. mérleg'!C7</f>
        <v>2019. évi eredeti előirányzat</v>
      </c>
      <c r="E4" s="47" t="str">
        <f>+'4. mell. mérleg'!D7</f>
        <v>2019. évi módosított előirányzat</v>
      </c>
      <c r="F4" s="47" t="str">
        <f>+'4. mell. mérleg'!E7</f>
        <v>2019.évi tény</v>
      </c>
    </row>
    <row r="5" spans="1:6" ht="1.1499999999999999" hidden="1" customHeight="1" thickBot="1" x14ac:dyDescent="0.3">
      <c r="A5" s="144"/>
      <c r="B5" s="144"/>
      <c r="C5" s="144"/>
      <c r="D5" s="141"/>
      <c r="E5" s="48"/>
      <c r="F5" s="48"/>
    </row>
    <row r="6" spans="1:6" s="44" customFormat="1" ht="12.6" customHeight="1" x14ac:dyDescent="0.25">
      <c r="A6" s="159" t="s">
        <v>183</v>
      </c>
      <c r="B6" s="160"/>
      <c r="C6" s="160"/>
      <c r="D6" s="160"/>
      <c r="E6" s="160"/>
      <c r="F6" s="161"/>
    </row>
    <row r="7" spans="1:6" s="44" customFormat="1" ht="12.6" customHeight="1" x14ac:dyDescent="0.25">
      <c r="A7" s="146"/>
      <c r="B7" s="146"/>
      <c r="C7" s="45" t="s">
        <v>217</v>
      </c>
      <c r="D7" s="46"/>
      <c r="E7" s="49"/>
      <c r="F7" s="49"/>
    </row>
    <row r="8" spans="1:6" s="44" customFormat="1" ht="12.6" customHeight="1" x14ac:dyDescent="0.25">
      <c r="A8" s="146"/>
      <c r="B8" s="146"/>
      <c r="C8" s="45" t="s">
        <v>50</v>
      </c>
      <c r="D8" s="46">
        <f>D7</f>
        <v>0</v>
      </c>
      <c r="E8" s="49"/>
      <c r="F8" s="49"/>
    </row>
    <row r="9" spans="1:6" s="44" customFormat="1" ht="12.6" customHeight="1" x14ac:dyDescent="0.25">
      <c r="A9" s="159" t="s">
        <v>184</v>
      </c>
      <c r="B9" s="160"/>
      <c r="C9" s="160"/>
      <c r="D9" s="160"/>
      <c r="E9" s="160"/>
      <c r="F9" s="161"/>
    </row>
    <row r="10" spans="1:6" s="44" customFormat="1" ht="23.25" customHeight="1" x14ac:dyDescent="0.25">
      <c r="A10" s="145"/>
      <c r="B10" s="145"/>
      <c r="C10" s="98" t="s">
        <v>175</v>
      </c>
      <c r="D10" s="99"/>
      <c r="E10" s="100">
        <f>+'2. mell.kiadások'!Y68</f>
        <v>23851490</v>
      </c>
      <c r="F10" s="100">
        <f>+'2. mell.kiadások'!Z68</f>
        <v>23851490</v>
      </c>
    </row>
    <row r="11" spans="1:6" s="44" customFormat="1" ht="12.6" customHeight="1" x14ac:dyDescent="0.25">
      <c r="A11" s="145"/>
      <c r="B11" s="145"/>
      <c r="C11" s="98" t="s">
        <v>182</v>
      </c>
      <c r="D11" s="99">
        <f>+'2. mell.kiadások'!AA68</f>
        <v>176621</v>
      </c>
      <c r="E11" s="100">
        <f>+'2. mell.kiadások'!AH68-'2. mell.kiadások'!Z68</f>
        <v>1810916</v>
      </c>
      <c r="F11" s="100">
        <f>+'2. mell.kiadások'!AI68-'2. mell.kiadások'!Z68</f>
        <v>1807198</v>
      </c>
    </row>
    <row r="12" spans="1:6" s="44" customFormat="1" ht="13.9" customHeight="1" x14ac:dyDescent="0.25">
      <c r="A12" s="145"/>
      <c r="B12" s="145"/>
      <c r="C12" s="98" t="s">
        <v>50</v>
      </c>
      <c r="D12" s="99">
        <f>D10+D11</f>
        <v>176621</v>
      </c>
      <c r="E12" s="100">
        <f>+E10+E11</f>
        <v>25662406</v>
      </c>
      <c r="F12" s="100">
        <f>+F10+F11</f>
        <v>25658688</v>
      </c>
    </row>
    <row r="13" spans="1:6" s="44" customFormat="1" ht="13.9" customHeight="1" x14ac:dyDescent="0.25">
      <c r="A13" s="162" t="s">
        <v>185</v>
      </c>
      <c r="B13" s="163"/>
      <c r="C13" s="163"/>
      <c r="D13" s="163"/>
      <c r="E13" s="163"/>
      <c r="F13" s="164"/>
    </row>
    <row r="14" spans="1:6" s="44" customFormat="1" ht="13.9" customHeight="1" x14ac:dyDescent="0.25">
      <c r="A14" s="145"/>
      <c r="B14" s="145"/>
      <c r="C14" s="98" t="s">
        <v>50</v>
      </c>
      <c r="D14" s="99">
        <f>D12+D8</f>
        <v>176621</v>
      </c>
      <c r="E14" s="100"/>
      <c r="F14" s="100"/>
    </row>
    <row r="15" spans="1:6" s="44" customFormat="1" ht="13.9" customHeight="1" x14ac:dyDescent="0.25">
      <c r="A15" s="145"/>
      <c r="B15" s="145"/>
      <c r="C15" s="145"/>
      <c r="D15" s="148"/>
      <c r="E15" s="100"/>
      <c r="F15" s="100"/>
    </row>
    <row r="16" spans="1:6" s="44" customFormat="1" ht="13.9" customHeight="1" x14ac:dyDescent="0.25">
      <c r="A16" s="148"/>
      <c r="B16" s="149"/>
      <c r="C16" s="98"/>
      <c r="D16" s="99">
        <f>+'2. mell.kiadások'!AA69</f>
        <v>47688</v>
      </c>
      <c r="E16" s="100">
        <f>+'2. mell.kiadások'!AH69</f>
        <v>6945583.3000000007</v>
      </c>
      <c r="F16" s="100">
        <f>+'2. mell.kiadások'!AI69</f>
        <v>6869137</v>
      </c>
    </row>
    <row r="17" spans="1:6" s="44" customFormat="1" ht="13.9" customHeight="1" x14ac:dyDescent="0.25">
      <c r="A17" s="148"/>
      <c r="B17" s="149"/>
      <c r="C17" s="98" t="s">
        <v>50</v>
      </c>
      <c r="D17" s="99">
        <f>D16</f>
        <v>47688</v>
      </c>
      <c r="E17" s="100">
        <f>+E16</f>
        <v>6945583.3000000007</v>
      </c>
      <c r="F17" s="100">
        <f>F16</f>
        <v>6869137</v>
      </c>
    </row>
    <row r="18" spans="1:6" s="44" customFormat="1" ht="13.9" customHeight="1" x14ac:dyDescent="0.25">
      <c r="A18" s="165" t="s">
        <v>186</v>
      </c>
      <c r="B18" s="166"/>
      <c r="C18" s="166"/>
      <c r="D18" s="166"/>
      <c r="E18" s="166"/>
      <c r="F18" s="167"/>
    </row>
    <row r="19" spans="1:6" s="44" customFormat="1" ht="13.9" customHeight="1" x14ac:dyDescent="0.25">
      <c r="A19" s="168"/>
      <c r="B19" s="168"/>
      <c r="C19" s="98" t="s">
        <v>50</v>
      </c>
      <c r="D19" s="101">
        <f>D14+D17</f>
        <v>224309</v>
      </c>
      <c r="E19" s="102">
        <f>+E12+E17</f>
        <v>32607989.300000001</v>
      </c>
      <c r="F19" s="102">
        <f>+'2. mell.kiadások'!AI70</f>
        <v>32527825</v>
      </c>
    </row>
    <row r="20" spans="1:6" s="44" customFormat="1" ht="13.9" customHeight="1" x14ac:dyDescent="0.25">
      <c r="A20" s="159" t="s">
        <v>187</v>
      </c>
      <c r="B20" s="160"/>
      <c r="C20" s="160"/>
      <c r="D20" s="160"/>
      <c r="E20" s="160"/>
      <c r="F20" s="161"/>
    </row>
    <row r="21" spans="1:6" s="44" customFormat="1" ht="13.9" customHeight="1" x14ac:dyDescent="0.25">
      <c r="A21" s="142"/>
      <c r="B21" s="143"/>
      <c r="C21" s="68" t="s">
        <v>50</v>
      </c>
      <c r="D21" s="96">
        <v>0</v>
      </c>
      <c r="E21" s="95"/>
      <c r="F21" s="95"/>
    </row>
    <row r="22" spans="1:6" s="44" customFormat="1" ht="13.9" customHeight="1" x14ac:dyDescent="0.25">
      <c r="A22" s="152" t="s">
        <v>181</v>
      </c>
      <c r="B22" s="153"/>
      <c r="C22" s="153"/>
      <c r="D22" s="153"/>
      <c r="E22" s="153"/>
      <c r="F22" s="154"/>
    </row>
    <row r="23" spans="1:6" s="44" customFormat="1" ht="15" customHeight="1" x14ac:dyDescent="0.25">
      <c r="A23" s="152" t="s">
        <v>84</v>
      </c>
      <c r="B23" s="153"/>
      <c r="C23" s="154"/>
      <c r="D23" s="50">
        <f>D19+D21</f>
        <v>224309</v>
      </c>
      <c r="E23" s="102">
        <f>+E19</f>
        <v>32607989.300000001</v>
      </c>
      <c r="F23" s="102">
        <f>+F19</f>
        <v>32527825</v>
      </c>
    </row>
    <row r="24" spans="1:6" s="44" customFormat="1" ht="34.15" customHeight="1" x14ac:dyDescent="0.25">
      <c r="A24" s="144" t="s">
        <v>78</v>
      </c>
      <c r="B24" s="144"/>
      <c r="C24" s="144" t="s">
        <v>77</v>
      </c>
      <c r="D24" s="140" t="str">
        <f>+D4</f>
        <v>2019. évi eredeti előirányzat</v>
      </c>
      <c r="E24" s="150" t="str">
        <f>+E4</f>
        <v>2019. évi módosított előirányzat</v>
      </c>
      <c r="F24" s="150" t="str">
        <f>+F4</f>
        <v>2019.évi tény</v>
      </c>
    </row>
    <row r="25" spans="1:6" s="44" customFormat="1" ht="15" customHeight="1" x14ac:dyDescent="0.25">
      <c r="A25" s="144"/>
      <c r="B25" s="144"/>
      <c r="C25" s="144"/>
      <c r="D25" s="141"/>
      <c r="E25" s="151"/>
      <c r="F25" s="151"/>
    </row>
    <row r="26" spans="1:6" s="44" customFormat="1" ht="16.899999999999999" customHeight="1" x14ac:dyDescent="0.25">
      <c r="A26" s="169" t="s">
        <v>76</v>
      </c>
      <c r="B26" s="169"/>
      <c r="C26" s="169"/>
      <c r="D26" s="170"/>
      <c r="E26" s="97"/>
      <c r="F26" s="97"/>
    </row>
    <row r="27" spans="1:6" s="44" customFormat="1" ht="16.899999999999999" customHeight="1" x14ac:dyDescent="0.25">
      <c r="A27" s="169"/>
      <c r="B27" s="67" t="s">
        <v>74</v>
      </c>
      <c r="C27" s="38" t="s">
        <v>85</v>
      </c>
      <c r="D27" s="51">
        <f>+'2. mell.kiadások'!C71</f>
        <v>500000</v>
      </c>
      <c r="E27" s="108">
        <f>+'2. mell.kiadások'!AH71</f>
        <v>13014567</v>
      </c>
      <c r="F27" s="109">
        <f>+'2. mell.kiadások'!AI71</f>
        <v>13014567</v>
      </c>
    </row>
    <row r="28" spans="1:6" s="44" customFormat="1" ht="16.899999999999999" customHeight="1" x14ac:dyDescent="0.25">
      <c r="A28" s="169"/>
      <c r="B28" s="67"/>
      <c r="C28" s="38" t="s">
        <v>50</v>
      </c>
      <c r="D28" s="51">
        <f>D27</f>
        <v>500000</v>
      </c>
      <c r="E28" s="108">
        <f t="shared" ref="E28:F28" si="0">E27</f>
        <v>13014567</v>
      </c>
      <c r="F28" s="109">
        <f t="shared" si="0"/>
        <v>13014567</v>
      </c>
    </row>
    <row r="29" spans="1:6" s="44" customFormat="1" ht="16.899999999999999" customHeight="1" x14ac:dyDescent="0.25">
      <c r="A29" s="169"/>
      <c r="B29" s="67" t="s">
        <v>83</v>
      </c>
      <c r="C29" s="38"/>
      <c r="D29" s="51"/>
      <c r="E29" s="100">
        <f>+'2. mell.kiadások'!AH72</f>
        <v>3513933</v>
      </c>
      <c r="F29" s="100">
        <f>+'2. mell.kiadások'!AI72</f>
        <v>3513933</v>
      </c>
    </row>
    <row r="30" spans="1:6" s="44" customFormat="1" ht="16.899999999999999" customHeight="1" x14ac:dyDescent="0.25">
      <c r="A30" s="169"/>
      <c r="B30" s="67"/>
      <c r="C30" s="38" t="s">
        <v>50</v>
      </c>
      <c r="D30" s="51">
        <f>D29</f>
        <v>0</v>
      </c>
      <c r="E30" s="100">
        <f>+E29</f>
        <v>3513933</v>
      </c>
      <c r="F30" s="100">
        <f>+F29</f>
        <v>3513933</v>
      </c>
    </row>
    <row r="31" spans="1:6" s="44" customFormat="1" ht="15" customHeight="1" x14ac:dyDescent="0.25">
      <c r="A31" s="155" t="s">
        <v>82</v>
      </c>
      <c r="B31" s="156"/>
      <c r="C31" s="157"/>
      <c r="D31" s="50">
        <f>D27+D29</f>
        <v>500000</v>
      </c>
      <c r="E31" s="102">
        <f>+E28+E30</f>
        <v>16528500</v>
      </c>
      <c r="F31" s="102">
        <f>+F28+F30</f>
        <v>16528500</v>
      </c>
    </row>
  </sheetData>
  <mergeCells count="30">
    <mergeCell ref="E24:E25"/>
    <mergeCell ref="F24:F25"/>
    <mergeCell ref="A23:C23"/>
    <mergeCell ref="A31:C31"/>
    <mergeCell ref="A3:F3"/>
    <mergeCell ref="A6:F6"/>
    <mergeCell ref="A9:F9"/>
    <mergeCell ref="A13:F13"/>
    <mergeCell ref="A18:F18"/>
    <mergeCell ref="A20:F20"/>
    <mergeCell ref="A22:F22"/>
    <mergeCell ref="A24:B25"/>
    <mergeCell ref="A19:B19"/>
    <mergeCell ref="A26:D26"/>
    <mergeCell ref="A27:A28"/>
    <mergeCell ref="A29:A30"/>
    <mergeCell ref="B1:F1"/>
    <mergeCell ref="A2:F2"/>
    <mergeCell ref="A16:B16"/>
    <mergeCell ref="A17:B17"/>
    <mergeCell ref="A15:D15"/>
    <mergeCell ref="A14:B14"/>
    <mergeCell ref="D24:D25"/>
    <mergeCell ref="A21:B21"/>
    <mergeCell ref="C24:C25"/>
    <mergeCell ref="D4:D5"/>
    <mergeCell ref="A10:B12"/>
    <mergeCell ref="A7:B8"/>
    <mergeCell ref="A4:B5"/>
    <mergeCell ref="C4:C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0"/>
  <sheetViews>
    <sheetView workbookViewId="0">
      <selection activeCell="A14" sqref="A14"/>
    </sheetView>
  </sheetViews>
  <sheetFormatPr defaultColWidth="8.85546875" defaultRowHeight="15" x14ac:dyDescent="0.2"/>
  <cols>
    <col min="1" max="1" width="47" style="8" customWidth="1"/>
    <col min="2" max="2" width="5.85546875" style="8" customWidth="1"/>
    <col min="3" max="3" width="10.42578125" style="8" customWidth="1"/>
    <col min="4" max="5" width="11" style="8" customWidth="1"/>
    <col min="6" max="6" width="57.85546875" style="8" customWidth="1"/>
    <col min="7" max="7" width="5.42578125" style="8" customWidth="1"/>
    <col min="8" max="8" width="10.42578125" style="7" customWidth="1"/>
    <col min="9" max="9" width="11.42578125" style="7" customWidth="1"/>
    <col min="10" max="10" width="11.7109375" style="7" customWidth="1"/>
    <col min="11" max="11" width="10.140625" style="1" bestFit="1" customWidth="1"/>
    <col min="12" max="16384" width="8.85546875" style="1"/>
  </cols>
  <sheetData>
    <row r="1" spans="1:11" ht="20.100000000000001" customHeight="1" x14ac:dyDescent="0.2"/>
    <row r="2" spans="1:11" ht="15.6" customHeight="1" x14ac:dyDescent="0.2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6.149999999999999" customHeight="1" x14ac:dyDescent="0.2">
      <c r="A3" s="173" t="str">
        <f>+'3. mell.felhalm.'!A2:F2</f>
        <v>3/2020.(VI.16.) önkormányzati rendelet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1" ht="20.100000000000001" customHeight="1" x14ac:dyDescent="0.2">
      <c r="A4" s="172" t="s">
        <v>222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20.100000000000001" customHeight="1" x14ac:dyDescent="0.2">
      <c r="A5" s="2"/>
      <c r="B5" s="2"/>
      <c r="C5" s="2"/>
      <c r="D5" s="2"/>
      <c r="E5" s="2"/>
      <c r="F5" s="41"/>
      <c r="G5" s="41"/>
      <c r="H5" s="41"/>
      <c r="I5" s="41"/>
      <c r="J5" s="41" t="s">
        <v>176</v>
      </c>
    </row>
    <row r="6" spans="1:11" ht="45.6" customHeight="1" x14ac:dyDescent="0.2">
      <c r="A6" s="175" t="s">
        <v>49</v>
      </c>
      <c r="B6" s="175"/>
      <c r="C6" s="175"/>
      <c r="D6" s="175"/>
      <c r="E6" s="175"/>
      <c r="F6" s="175" t="s">
        <v>48</v>
      </c>
      <c r="G6" s="175"/>
      <c r="H6" s="175"/>
      <c r="I6" s="175"/>
      <c r="J6" s="175"/>
    </row>
    <row r="7" spans="1:11" ht="40.9" customHeight="1" x14ac:dyDescent="0.2">
      <c r="A7" s="32" t="s">
        <v>8</v>
      </c>
      <c r="B7" s="30" t="s">
        <v>47</v>
      </c>
      <c r="C7" s="30" t="s">
        <v>193</v>
      </c>
      <c r="D7" s="30" t="s">
        <v>192</v>
      </c>
      <c r="E7" s="30" t="s">
        <v>194</v>
      </c>
      <c r="F7" s="32" t="s">
        <v>8</v>
      </c>
      <c r="G7" s="30" t="s">
        <v>47</v>
      </c>
      <c r="H7" s="30" t="str">
        <f>+C7</f>
        <v>2019. évi eredeti előirányzat</v>
      </c>
      <c r="I7" s="30" t="str">
        <f>+D7</f>
        <v>2019. évi módosított előirányzat</v>
      </c>
      <c r="J7" s="30" t="str">
        <f>+E7</f>
        <v>2019.évi tény</v>
      </c>
    </row>
    <row r="8" spans="1:11" ht="20.100000000000001" customHeight="1" x14ac:dyDescent="0.2">
      <c r="A8" s="176" t="s">
        <v>46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1" ht="20.100000000000001" customHeight="1" x14ac:dyDescent="0.2">
      <c r="A9" s="5" t="s">
        <v>45</v>
      </c>
      <c r="B9" s="30" t="s">
        <v>44</v>
      </c>
      <c r="C9" s="28">
        <f>+'1. mell. bevételek'!AD15</f>
        <v>6990750</v>
      </c>
      <c r="D9" s="28">
        <f>+'1. mell. bevételek'!AE15</f>
        <v>41905597</v>
      </c>
      <c r="E9" s="28">
        <f>+'1. mell. bevételek'!AF15</f>
        <v>41909367</v>
      </c>
      <c r="F9" s="5" t="s">
        <v>2</v>
      </c>
      <c r="G9" s="17" t="s">
        <v>43</v>
      </c>
      <c r="H9" s="28">
        <f>+'2. mell.kiadások'!AG16</f>
        <v>15224960</v>
      </c>
      <c r="I9" s="28">
        <f>+'2. mell.kiadások'!AH16</f>
        <v>37344532</v>
      </c>
      <c r="J9" s="28">
        <f>+'2. mell.kiadások'!AI16</f>
        <v>37191679</v>
      </c>
    </row>
    <row r="10" spans="1:11" ht="20.100000000000001" customHeight="1" x14ac:dyDescent="0.2">
      <c r="A10" s="5" t="s">
        <v>7</v>
      </c>
      <c r="B10" s="30" t="s">
        <v>42</v>
      </c>
      <c r="C10" s="28">
        <f>+'1. mell. bevételek'!AD23</f>
        <v>600000</v>
      </c>
      <c r="D10" s="28">
        <f>+'1. mell. bevételek'!AE23</f>
        <v>665500</v>
      </c>
      <c r="E10" s="28">
        <f>+'1. mell. bevételek'!AF23</f>
        <v>672006</v>
      </c>
      <c r="F10" s="5" t="s">
        <v>41</v>
      </c>
      <c r="G10" s="17" t="s">
        <v>40</v>
      </c>
      <c r="H10" s="28">
        <f>+'2. mell.kiadások'!AG17</f>
        <v>2901378</v>
      </c>
      <c r="I10" s="28">
        <f>+'2. mell.kiadások'!AH17</f>
        <v>5206378</v>
      </c>
      <c r="J10" s="28">
        <f>+'2. mell.kiadások'!AI17</f>
        <v>5205560</v>
      </c>
    </row>
    <row r="11" spans="1:11" ht="20.100000000000001" customHeight="1" x14ac:dyDescent="0.2">
      <c r="A11" s="5" t="s">
        <v>6</v>
      </c>
      <c r="B11" s="30" t="s">
        <v>39</v>
      </c>
      <c r="C11" s="28">
        <f>+'1. mell. bevételek'!AD28</f>
        <v>0</v>
      </c>
      <c r="D11" s="28">
        <f>+'1. mell. bevételek'!AE28</f>
        <v>4965500</v>
      </c>
      <c r="E11" s="28">
        <f>+'1. mell. bevételek'!AF28</f>
        <v>4949262</v>
      </c>
      <c r="F11" s="5" t="s">
        <v>38</v>
      </c>
      <c r="G11" s="17" t="s">
        <v>37</v>
      </c>
      <c r="H11" s="28">
        <f>+'2. mell.kiadások'!AG49</f>
        <v>5819900</v>
      </c>
      <c r="I11" s="28">
        <f>+'2. mell.kiadások'!AH49</f>
        <v>18831650</v>
      </c>
      <c r="J11" s="28">
        <f>+'2. mell.kiadások'!AI49</f>
        <v>17785765</v>
      </c>
    </row>
    <row r="12" spans="1:11" ht="20.100000000000001" customHeight="1" x14ac:dyDescent="0.2">
      <c r="A12" s="5" t="s">
        <v>5</v>
      </c>
      <c r="B12" s="30" t="s">
        <v>36</v>
      </c>
      <c r="C12" s="28">
        <f>+'1. mell. bevételek'!AD30</f>
        <v>0</v>
      </c>
      <c r="D12" s="28">
        <f>+'1. mell. bevételek'!AE30</f>
        <v>0</v>
      </c>
      <c r="E12" s="28">
        <f>+'1. mell. bevételek'!AF30</f>
        <v>0</v>
      </c>
      <c r="F12" s="5" t="s">
        <v>35</v>
      </c>
      <c r="G12" s="17" t="s">
        <v>34</v>
      </c>
      <c r="H12" s="28">
        <f>+'2. mell.kiadások'!AG53</f>
        <v>5046000</v>
      </c>
      <c r="I12" s="28">
        <f>+'2. mell.kiadások'!AH53</f>
        <v>5149500</v>
      </c>
      <c r="J12" s="28">
        <f>+'2. mell.kiadások'!AI53</f>
        <v>3485000</v>
      </c>
    </row>
    <row r="13" spans="1:11" s="10" customFormat="1" ht="24" customHeight="1" x14ac:dyDescent="0.25">
      <c r="A13" s="5" t="s">
        <v>33</v>
      </c>
      <c r="B13" s="17" t="s">
        <v>44</v>
      </c>
      <c r="C13" s="4">
        <f>+'1. mell. bevételek'!AD14</f>
        <v>19704402</v>
      </c>
      <c r="D13" s="4">
        <f>+'1. mell. bevételek'!AE14</f>
        <v>23138052</v>
      </c>
      <c r="E13" s="4">
        <f>+'1. mell. bevételek'!AF14</f>
        <v>23138052</v>
      </c>
      <c r="F13" s="5" t="s">
        <v>32</v>
      </c>
      <c r="G13" s="17" t="s">
        <v>31</v>
      </c>
      <c r="H13" s="4">
        <f>+'2. mell.kiadások'!AG67</f>
        <v>8598605</v>
      </c>
      <c r="I13" s="4">
        <f>+'2. mell.kiadások'!AH67</f>
        <v>14008587</v>
      </c>
      <c r="J13" s="4">
        <f>+'2. mell.kiadások'!AI67</f>
        <v>3570538</v>
      </c>
    </row>
    <row r="14" spans="1:11" ht="26.45" customHeight="1" x14ac:dyDescent="0.2">
      <c r="A14" s="31" t="s">
        <v>30</v>
      </c>
      <c r="B14" s="31"/>
      <c r="C14" s="31">
        <f>SUM(C9:C13)</f>
        <v>27295152</v>
      </c>
      <c r="D14" s="31">
        <f t="shared" ref="D14:E14" si="0">SUM(D9:D13)</f>
        <v>70674649</v>
      </c>
      <c r="E14" s="31">
        <f t="shared" si="0"/>
        <v>70668687</v>
      </c>
      <c r="F14" s="31" t="s">
        <v>29</v>
      </c>
      <c r="G14" s="31"/>
      <c r="H14" s="31">
        <f>SUM(H9:H13)</f>
        <v>37590843</v>
      </c>
      <c r="I14" s="31">
        <f t="shared" ref="I14:J14" si="1">SUM(I9:I13)</f>
        <v>80540647</v>
      </c>
      <c r="J14" s="31">
        <f t="shared" si="1"/>
        <v>67238542</v>
      </c>
    </row>
    <row r="15" spans="1:11" ht="20.100000000000001" customHeight="1" x14ac:dyDescent="0.2">
      <c r="A15" s="171" t="s">
        <v>28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1" ht="20.100000000000001" customHeight="1" x14ac:dyDescent="0.2">
      <c r="A16" s="5" t="s">
        <v>27</v>
      </c>
      <c r="B16" s="30" t="s">
        <v>26</v>
      </c>
      <c r="C16" s="28">
        <f>+'1. mell. bevételek'!AD18</f>
        <v>0</v>
      </c>
      <c r="D16" s="28">
        <f>+'1. mell. bevételek'!AE18</f>
        <v>45941503</v>
      </c>
      <c r="E16" s="28">
        <f>+'1. mell. bevételek'!AF18</f>
        <v>45894415</v>
      </c>
      <c r="F16" s="4" t="s">
        <v>1</v>
      </c>
      <c r="G16" s="32" t="s">
        <v>25</v>
      </c>
      <c r="H16" s="4">
        <f>+'2. mell.kiadások'!AG70</f>
        <v>224309</v>
      </c>
      <c r="I16" s="4">
        <f>+'2. mell.kiadások'!AH70</f>
        <v>32607989.300000001</v>
      </c>
      <c r="J16" s="4">
        <f>+'2. mell.kiadások'!AI70</f>
        <v>32527825</v>
      </c>
      <c r="K16" s="6"/>
    </row>
    <row r="17" spans="1:13" ht="20.100000000000001" customHeight="1" x14ac:dyDescent="0.2">
      <c r="A17" s="5" t="s">
        <v>4</v>
      </c>
      <c r="B17" s="30" t="s">
        <v>24</v>
      </c>
      <c r="C17" s="28">
        <v>0</v>
      </c>
      <c r="D17" s="28">
        <v>0</v>
      </c>
      <c r="E17" s="28">
        <v>0</v>
      </c>
      <c r="F17" s="5" t="s">
        <v>0</v>
      </c>
      <c r="G17" s="17" t="s">
        <v>23</v>
      </c>
      <c r="H17" s="4">
        <f>+'2. mell.kiadások'!AG73</f>
        <v>500000</v>
      </c>
      <c r="I17" s="4">
        <f>+'2. mell.kiadások'!AH73</f>
        <v>16528500</v>
      </c>
      <c r="J17" s="4">
        <f>+'2. mell.kiadások'!AI73</f>
        <v>16528500</v>
      </c>
    </row>
    <row r="18" spans="1:13" ht="22.9" customHeight="1" x14ac:dyDescent="0.2">
      <c r="A18" s="5" t="s">
        <v>22</v>
      </c>
      <c r="B18" s="30" t="s">
        <v>21</v>
      </c>
      <c r="C18" s="28">
        <v>0</v>
      </c>
      <c r="D18" s="28">
        <v>0</v>
      </c>
      <c r="E18" s="28">
        <v>0</v>
      </c>
      <c r="F18" s="5" t="s">
        <v>20</v>
      </c>
      <c r="G18" s="17" t="s">
        <v>19</v>
      </c>
      <c r="H18" s="4">
        <v>0</v>
      </c>
      <c r="I18" s="4">
        <v>0</v>
      </c>
      <c r="J18" s="4">
        <v>0</v>
      </c>
      <c r="L18" s="6"/>
    </row>
    <row r="19" spans="1:13" ht="25.9" customHeight="1" x14ac:dyDescent="0.2">
      <c r="A19" s="31" t="s">
        <v>18</v>
      </c>
      <c r="B19" s="31"/>
      <c r="C19" s="31">
        <f>SUM(C16:C18)</f>
        <v>0</v>
      </c>
      <c r="D19" s="31">
        <f t="shared" ref="D19:E19" si="2">SUM(D16:D18)</f>
        <v>45941503</v>
      </c>
      <c r="E19" s="31">
        <f t="shared" si="2"/>
        <v>45894415</v>
      </c>
      <c r="F19" s="31" t="s">
        <v>17</v>
      </c>
      <c r="G19" s="31"/>
      <c r="H19" s="31">
        <f>SUM(H16:H18)</f>
        <v>724309</v>
      </c>
      <c r="I19" s="31">
        <f t="shared" ref="I19:J19" si="3">SUM(I16:I18)</f>
        <v>49136489.299999997</v>
      </c>
      <c r="J19" s="31">
        <f t="shared" si="3"/>
        <v>49056325</v>
      </c>
      <c r="L19" s="6"/>
    </row>
    <row r="20" spans="1:13" ht="20.100000000000001" customHeight="1" x14ac:dyDescent="0.2">
      <c r="A20" s="171" t="s">
        <v>16</v>
      </c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3" ht="20.100000000000001" customHeight="1" x14ac:dyDescent="0.2">
      <c r="A21" s="5" t="s">
        <v>3</v>
      </c>
      <c r="B21" s="17" t="s">
        <v>15</v>
      </c>
      <c r="C21" s="28">
        <f>+'1. mell. bevételek'!AD32</f>
        <v>11020000</v>
      </c>
      <c r="D21" s="28">
        <f>+'1. mell. bevételek'!AE32</f>
        <v>13849160</v>
      </c>
      <c r="E21" s="28">
        <f>+'1. mell. bevételek'!AF32</f>
        <v>13849160</v>
      </c>
      <c r="F21" s="5" t="s">
        <v>14</v>
      </c>
      <c r="G21" s="17" t="s">
        <v>13</v>
      </c>
      <c r="H21" s="4"/>
      <c r="I21" s="4">
        <f>+'2. mell.kiadások'!AH75</f>
        <v>788176</v>
      </c>
      <c r="J21" s="4">
        <f>+'2. mell.kiadások'!AI75</f>
        <v>788176</v>
      </c>
    </row>
    <row r="22" spans="1:13" ht="20.100000000000001" customHeight="1" x14ac:dyDescent="0.2">
      <c r="A22" s="5" t="str">
        <f>+'1. mell. bevételek'!A33</f>
        <v>Államháztartáson belüli megelőlegezések</v>
      </c>
      <c r="B22" s="17" t="s">
        <v>202</v>
      </c>
      <c r="C22" s="28">
        <f>+'1. mell. bevételek'!AD33</f>
        <v>0</v>
      </c>
      <c r="D22" s="28">
        <f>+'1. mell. bevételek'!AE33</f>
        <v>0</v>
      </c>
      <c r="E22" s="28">
        <f>+'1. mell. bevételek'!AF33</f>
        <v>814169</v>
      </c>
      <c r="F22" s="5"/>
      <c r="G22" s="5"/>
      <c r="H22" s="4"/>
      <c r="I22" s="4"/>
      <c r="J22" s="4"/>
      <c r="K22" s="6"/>
    </row>
    <row r="23" spans="1:13" ht="20.100000000000001" customHeight="1" x14ac:dyDescent="0.2">
      <c r="A23" s="33" t="s">
        <v>12</v>
      </c>
      <c r="B23" s="33"/>
      <c r="C23" s="3">
        <f>SUM(C21:C22)</f>
        <v>11020000</v>
      </c>
      <c r="D23" s="3">
        <f t="shared" ref="D23:E23" si="4">SUM(D21:D22)</f>
        <v>13849160</v>
      </c>
      <c r="E23" s="3">
        <f t="shared" si="4"/>
        <v>14663329</v>
      </c>
      <c r="F23" s="33" t="s">
        <v>11</v>
      </c>
      <c r="G23" s="5"/>
      <c r="H23" s="3">
        <f>SUM(H21:H22)</f>
        <v>0</v>
      </c>
      <c r="I23" s="3">
        <f t="shared" ref="I23:J23" si="5">SUM(I21:I22)</f>
        <v>788176</v>
      </c>
      <c r="J23" s="3">
        <f t="shared" si="5"/>
        <v>788176</v>
      </c>
      <c r="M23" s="6"/>
    </row>
    <row r="24" spans="1:13" ht="22.9" customHeight="1" x14ac:dyDescent="0.2">
      <c r="A24" s="111" t="s">
        <v>10</v>
      </c>
      <c r="B24" s="111"/>
      <c r="C24" s="112">
        <f>+C14+C23+C19</f>
        <v>38315152</v>
      </c>
      <c r="D24" s="112">
        <f t="shared" ref="D24:E24" si="6">+D14+D23+D19</f>
        <v>130465312</v>
      </c>
      <c r="E24" s="112">
        <f t="shared" si="6"/>
        <v>131226431</v>
      </c>
      <c r="F24" s="111" t="s">
        <v>9</v>
      </c>
      <c r="G24" s="111"/>
      <c r="H24" s="112">
        <f>H14+H19+H23</f>
        <v>38315152</v>
      </c>
      <c r="I24" s="112">
        <f t="shared" ref="I24:J24" si="7">I14+I19+I23</f>
        <v>130465312.3</v>
      </c>
      <c r="J24" s="112">
        <f t="shared" si="7"/>
        <v>117083043</v>
      </c>
    </row>
    <row r="25" spans="1:13" x14ac:dyDescent="0.2">
      <c r="A25" s="43"/>
      <c r="B25" s="43"/>
      <c r="C25" s="42"/>
      <c r="D25" s="42">
        <f>116616152+13849160</f>
        <v>130465312</v>
      </c>
      <c r="E25" s="42">
        <f>116563102+E23</f>
        <v>131226431</v>
      </c>
      <c r="F25" s="43" t="s">
        <v>211</v>
      </c>
      <c r="G25" s="43"/>
      <c r="H25" s="42"/>
      <c r="I25" s="42"/>
      <c r="J25" s="42">
        <f>+E24-J24</f>
        <v>14143388</v>
      </c>
    </row>
    <row r="26" spans="1:13" x14ac:dyDescent="0.2">
      <c r="A26" s="43"/>
      <c r="B26" s="43"/>
      <c r="C26" s="43"/>
      <c r="D26" s="43"/>
      <c r="E26" s="43"/>
      <c r="F26" s="43"/>
      <c r="G26" s="43"/>
      <c r="H26" s="42"/>
      <c r="I26" s="42"/>
      <c r="J26" s="42"/>
    </row>
    <row r="27" spans="1:13" x14ac:dyDescent="0.2">
      <c r="A27" s="43"/>
      <c r="B27" s="43"/>
      <c r="C27" s="43"/>
      <c r="D27" s="43"/>
      <c r="E27" s="43"/>
      <c r="F27" s="43"/>
      <c r="G27" s="43"/>
      <c r="H27" s="42"/>
      <c r="I27" s="42"/>
      <c r="J27" s="42"/>
    </row>
    <row r="28" spans="1:13" x14ac:dyDescent="0.2">
      <c r="H28" s="9"/>
      <c r="I28" s="9"/>
      <c r="J28" s="9"/>
    </row>
    <row r="30" spans="1:13" x14ac:dyDescent="0.2">
      <c r="L30" s="6"/>
    </row>
  </sheetData>
  <mergeCells count="8">
    <mergeCell ref="A15:J15"/>
    <mergeCell ref="A20:J20"/>
    <mergeCell ref="A4:J4"/>
    <mergeCell ref="A3:J3"/>
    <mergeCell ref="A2:J2"/>
    <mergeCell ref="A6:E6"/>
    <mergeCell ref="F6:J6"/>
    <mergeCell ref="A8:J8"/>
  </mergeCells>
  <phoneticPr fontId="0" type="noConversion"/>
  <printOptions horizontalCentered="1" verticalCentered="1"/>
  <pageMargins left="0.74803149606299213" right="0.74803149606299213" top="0.98425196850393704" bottom="0.59055118110236227" header="0.51181102362204722" footer="0.51181102362204722"/>
  <pageSetup paperSize="8" scale="8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workbookViewId="0">
      <selection activeCell="C19" sqref="C19"/>
    </sheetView>
  </sheetViews>
  <sheetFormatPr defaultRowHeight="15" x14ac:dyDescent="0.25"/>
  <cols>
    <col min="1" max="1" width="8" customWidth="1"/>
    <col min="2" max="2" width="41.7109375" customWidth="1"/>
    <col min="3" max="3" width="15.7109375" customWidth="1"/>
    <col min="4" max="4" width="15.28515625" customWidth="1"/>
  </cols>
  <sheetData>
    <row r="2" spans="1:4" x14ac:dyDescent="0.25">
      <c r="A2" s="147" t="s">
        <v>72</v>
      </c>
      <c r="B2" s="147"/>
      <c r="C2" s="147"/>
      <c r="D2" s="147"/>
    </row>
    <row r="3" spans="1:4" x14ac:dyDescent="0.25">
      <c r="A3" s="147" t="str">
        <f>+'4. mell. mérleg'!A3:J3</f>
        <v>3/2020.(VI.16.) önkormányzati rendelet</v>
      </c>
      <c r="B3" s="147"/>
      <c r="C3" s="147"/>
      <c r="D3" s="147"/>
    </row>
    <row r="4" spans="1:4" x14ac:dyDescent="0.25">
      <c r="A4" s="177" t="s">
        <v>223</v>
      </c>
      <c r="B4" s="177"/>
      <c r="C4" s="177"/>
      <c r="D4" s="177"/>
    </row>
    <row r="5" spans="1:4" x14ac:dyDescent="0.25">
      <c r="A5" s="26"/>
      <c r="B5" s="26"/>
      <c r="C5" s="26"/>
      <c r="D5" s="26"/>
    </row>
    <row r="6" spans="1:4" ht="24" x14ac:dyDescent="0.25">
      <c r="A6" s="16" t="s">
        <v>70</v>
      </c>
      <c r="B6" s="16" t="s">
        <v>69</v>
      </c>
      <c r="C6" s="16" t="s">
        <v>75</v>
      </c>
      <c r="D6" s="16" t="s">
        <v>68</v>
      </c>
    </row>
    <row r="7" spans="1:4" x14ac:dyDescent="0.25">
      <c r="A7" s="15"/>
      <c r="B7" s="15"/>
      <c r="C7" s="15"/>
      <c r="D7" s="15"/>
    </row>
    <row r="8" spans="1:4" ht="24" x14ac:dyDescent="0.25">
      <c r="A8" s="12">
        <v>1</v>
      </c>
      <c r="B8" s="13" t="s">
        <v>67</v>
      </c>
      <c r="C8" s="13"/>
      <c r="D8" s="11"/>
    </row>
    <row r="9" spans="1:4" ht="24" x14ac:dyDescent="0.25">
      <c r="A9" s="12">
        <v>2</v>
      </c>
      <c r="B9" s="13" t="s">
        <v>66</v>
      </c>
      <c r="C9" s="11"/>
      <c r="D9" s="11"/>
    </row>
    <row r="10" spans="1:4" ht="24" x14ac:dyDescent="0.25">
      <c r="A10" s="12">
        <v>3</v>
      </c>
      <c r="B10" s="13" t="s">
        <v>65</v>
      </c>
      <c r="C10" s="11"/>
      <c r="D10" s="11"/>
    </row>
    <row r="11" spans="1:4" ht="24" x14ac:dyDescent="0.25">
      <c r="A11" s="12">
        <v>4</v>
      </c>
      <c r="B11" s="13" t="s">
        <v>64</v>
      </c>
      <c r="C11" s="11"/>
      <c r="D11" s="11"/>
    </row>
    <row r="12" spans="1:4" ht="24" x14ac:dyDescent="0.25">
      <c r="A12" s="12">
        <v>5</v>
      </c>
      <c r="B12" s="13" t="s">
        <v>63</v>
      </c>
      <c r="C12" s="14"/>
      <c r="D12" s="11"/>
    </row>
    <row r="13" spans="1:4" x14ac:dyDescent="0.25">
      <c r="A13" s="12">
        <v>6</v>
      </c>
      <c r="B13" s="13" t="s">
        <v>62</v>
      </c>
      <c r="C13" s="11"/>
      <c r="D13" s="11"/>
    </row>
    <row r="14" spans="1:4" x14ac:dyDescent="0.25">
      <c r="A14" s="12">
        <v>7</v>
      </c>
      <c r="B14" s="13" t="s">
        <v>61</v>
      </c>
      <c r="C14" s="11"/>
      <c r="D14" s="11"/>
    </row>
    <row r="15" spans="1:4" x14ac:dyDescent="0.25">
      <c r="A15" s="12">
        <v>8</v>
      </c>
      <c r="B15" s="13" t="s">
        <v>60</v>
      </c>
      <c r="C15" s="11"/>
      <c r="D15" s="11"/>
    </row>
    <row r="16" spans="1:4" x14ac:dyDescent="0.25">
      <c r="A16" s="12">
        <v>9</v>
      </c>
      <c r="B16" s="13" t="s">
        <v>59</v>
      </c>
      <c r="C16" s="14"/>
      <c r="D16" s="14"/>
    </row>
    <row r="17" spans="1:4" x14ac:dyDescent="0.25">
      <c r="A17" s="12">
        <v>10</v>
      </c>
      <c r="B17" s="13" t="s">
        <v>58</v>
      </c>
      <c r="C17" s="14"/>
      <c r="D17" s="14"/>
    </row>
    <row r="18" spans="1:4" x14ac:dyDescent="0.25">
      <c r="A18" s="12">
        <v>11</v>
      </c>
      <c r="B18" s="13" t="s">
        <v>57</v>
      </c>
      <c r="C18" s="14"/>
      <c r="D18" s="14"/>
    </row>
    <row r="19" spans="1:4" ht="24" x14ac:dyDescent="0.25">
      <c r="A19" s="12">
        <v>12</v>
      </c>
      <c r="B19" s="13" t="s">
        <v>56</v>
      </c>
      <c r="C19" s="14">
        <f>+'1. mell. bevételek'!D19</f>
        <v>415000</v>
      </c>
      <c r="D19" s="14">
        <v>0</v>
      </c>
    </row>
    <row r="20" spans="1:4" x14ac:dyDescent="0.25">
      <c r="A20" s="12">
        <v>13</v>
      </c>
      <c r="B20" s="13" t="s">
        <v>55</v>
      </c>
      <c r="C20" s="14">
        <f>+'1. mell. bevételek'!D20</f>
        <v>247000</v>
      </c>
      <c r="D20" s="14">
        <v>0</v>
      </c>
    </row>
    <row r="21" spans="1:4" x14ac:dyDescent="0.25">
      <c r="A21" s="12">
        <v>14</v>
      </c>
      <c r="B21" s="13" t="s">
        <v>54</v>
      </c>
      <c r="C21" s="11"/>
      <c r="D21" s="11"/>
    </row>
    <row r="22" spans="1:4" x14ac:dyDescent="0.25">
      <c r="A22" s="12">
        <v>15</v>
      </c>
      <c r="B22" s="13" t="s">
        <v>53</v>
      </c>
      <c r="C22" s="11"/>
      <c r="D22" s="11"/>
    </row>
    <row r="23" spans="1:4" x14ac:dyDescent="0.25">
      <c r="A23" s="12">
        <v>16</v>
      </c>
      <c r="B23" s="13" t="s">
        <v>52</v>
      </c>
      <c r="C23" s="11"/>
      <c r="D23" s="11"/>
    </row>
    <row r="24" spans="1:4" x14ac:dyDescent="0.25">
      <c r="A24" s="12">
        <v>17</v>
      </c>
      <c r="B24" s="13" t="s">
        <v>51</v>
      </c>
      <c r="C24" s="11"/>
      <c r="D24" s="11"/>
    </row>
    <row r="25" spans="1:4" x14ac:dyDescent="0.25">
      <c r="A25" s="12">
        <v>18</v>
      </c>
      <c r="B25" s="11"/>
      <c r="C25" s="11"/>
      <c r="D25" s="11"/>
    </row>
    <row r="26" spans="1:4" x14ac:dyDescent="0.25">
      <c r="A26" s="12">
        <v>19</v>
      </c>
      <c r="B26" s="11"/>
      <c r="C26" s="11"/>
      <c r="D26" s="11"/>
    </row>
    <row r="27" spans="1:4" x14ac:dyDescent="0.25">
      <c r="A27" s="12">
        <v>20</v>
      </c>
      <c r="B27" s="11"/>
      <c r="C27" s="11"/>
      <c r="D27" s="11"/>
    </row>
    <row r="28" spans="1:4" x14ac:dyDescent="0.25">
      <c r="A28" s="12">
        <v>21</v>
      </c>
      <c r="B28" s="11"/>
      <c r="C28" s="11"/>
      <c r="D28" s="11"/>
    </row>
    <row r="29" spans="1:4" x14ac:dyDescent="0.25">
      <c r="A29" s="12">
        <v>22</v>
      </c>
      <c r="B29" s="11"/>
      <c r="C29" s="11"/>
      <c r="D29" s="11"/>
    </row>
    <row r="30" spans="1:4" x14ac:dyDescent="0.25">
      <c r="A30" s="12">
        <v>23</v>
      </c>
      <c r="B30" s="11"/>
      <c r="C30" s="11"/>
      <c r="D30" s="11"/>
    </row>
    <row r="31" spans="1:4" x14ac:dyDescent="0.25">
      <c r="A31" s="12">
        <v>24</v>
      </c>
      <c r="B31" s="11"/>
      <c r="C31" s="11"/>
      <c r="D31" s="11"/>
    </row>
    <row r="32" spans="1:4" ht="22.15" customHeight="1" x14ac:dyDescent="0.25">
      <c r="A32" s="34"/>
      <c r="B32" s="35" t="s">
        <v>50</v>
      </c>
      <c r="C32" s="36">
        <f>C14+C16+C19+C20</f>
        <v>662000</v>
      </c>
      <c r="D32" s="37">
        <v>0</v>
      </c>
    </row>
  </sheetData>
  <mergeCells count="3">
    <mergeCell ref="A2:D2"/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1. mell. bevételek</vt:lpstr>
      <vt:lpstr>2. mell.kiadások</vt:lpstr>
      <vt:lpstr>3. mell.felhalm.</vt:lpstr>
      <vt:lpstr>4. mell. mérleg</vt:lpstr>
      <vt:lpstr>5. mell. közv.tám.</vt:lpstr>
      <vt:lpstr>'4. mell.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Drávaszabolcs Körjegyzőség</dc:creator>
  <cp:lastModifiedBy>kirendeltsegvezeto</cp:lastModifiedBy>
  <cp:lastPrinted>2020-06-17T08:32:53Z</cp:lastPrinted>
  <dcterms:created xsi:type="dcterms:W3CDTF">2014-04-16T11:50:05Z</dcterms:created>
  <dcterms:modified xsi:type="dcterms:W3CDTF">2020-06-17T08:32:55Z</dcterms:modified>
</cp:coreProperties>
</file>