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mell_zárszám_2015" sheetId="1" r:id="rId1"/>
  </sheets>
  <definedNames>
    <definedName name="_xlnm.Print_Area" localSheetId="0">'9mell_zárszám_2015'!$A$1:$M$136</definedName>
  </definedNames>
  <calcPr calcId="152511"/>
</workbook>
</file>

<file path=xl/calcChain.xml><?xml version="1.0" encoding="utf-8"?>
<calcChain xmlns="http://schemas.openxmlformats.org/spreadsheetml/2006/main">
  <c r="I136" i="1" l="1"/>
  <c r="I133" i="1"/>
  <c r="I126" i="1"/>
  <c r="I94" i="1"/>
  <c r="I117" i="1"/>
  <c r="I11" i="1"/>
  <c r="I47" i="1"/>
  <c r="J47" i="1" s="1"/>
  <c r="I25" i="1"/>
  <c r="I18" i="1"/>
  <c r="J112" i="1"/>
  <c r="J114" i="1"/>
  <c r="J116" i="1"/>
  <c r="I110" i="1"/>
  <c r="J110" i="1" s="1"/>
  <c r="J108" i="1"/>
  <c r="J109" i="1"/>
  <c r="J107" i="1"/>
  <c r="J105" i="1"/>
  <c r="J103" i="1"/>
  <c r="J99" i="1"/>
  <c r="J97" i="1"/>
  <c r="J91" i="1"/>
  <c r="J90" i="1"/>
  <c r="I91" i="1"/>
  <c r="I85" i="1"/>
  <c r="J71" i="1"/>
  <c r="J72" i="1"/>
  <c r="J68" i="1"/>
  <c r="J67" i="1"/>
  <c r="I68" i="1"/>
  <c r="J65" i="1"/>
  <c r="J64" i="1"/>
  <c r="I65" i="1"/>
  <c r="J48" i="1"/>
  <c r="I48" i="1"/>
  <c r="H50" i="1"/>
  <c r="J46" i="1"/>
  <c r="J31" i="1"/>
  <c r="I31" i="1"/>
  <c r="J29" i="1"/>
  <c r="I92" i="1" l="1"/>
  <c r="J50" i="1"/>
  <c r="I50" i="1"/>
  <c r="J26" i="1"/>
  <c r="I26" i="1"/>
  <c r="J19" i="1"/>
  <c r="I19" i="1"/>
  <c r="J42" i="1"/>
  <c r="J43" i="1"/>
  <c r="K41" i="1"/>
  <c r="I41" i="1"/>
  <c r="J41" i="1" s="1"/>
  <c r="J45" i="1"/>
  <c r="J57" i="1"/>
  <c r="I58" i="1"/>
  <c r="J58" i="1" s="1"/>
  <c r="J88" i="1"/>
  <c r="I88" i="1"/>
  <c r="J87" i="1"/>
  <c r="J25" i="1"/>
  <c r="J22" i="1"/>
  <c r="J23" i="1"/>
  <c r="J21" i="1"/>
  <c r="I21" i="1"/>
  <c r="I54" i="1"/>
  <c r="J53" i="1"/>
  <c r="B11" i="1"/>
  <c r="J60" i="1"/>
  <c r="I61" i="1"/>
  <c r="J61" i="1" s="1"/>
  <c r="J52" i="1"/>
  <c r="J44" i="1"/>
  <c r="J18" i="1"/>
  <c r="J17" i="1"/>
  <c r="J11" i="1"/>
  <c r="J8" i="1"/>
  <c r="J33" i="1"/>
  <c r="I34" i="1"/>
  <c r="J16" i="1"/>
  <c r="J14" i="1"/>
  <c r="J15" i="1"/>
  <c r="J13" i="1"/>
  <c r="I13" i="1"/>
  <c r="I120" i="1" l="1"/>
  <c r="J34" i="1"/>
  <c r="E135" i="1"/>
  <c r="E134" i="1"/>
  <c r="E133" i="1"/>
  <c r="E126" i="1"/>
  <c r="E119" i="1"/>
  <c r="E118" i="1"/>
  <c r="E117" i="1"/>
  <c r="E93" i="1"/>
  <c r="E92" i="1"/>
  <c r="E65" i="1"/>
  <c r="E61" i="1"/>
  <c r="E58" i="1"/>
  <c r="E54" i="1"/>
  <c r="E47" i="1"/>
  <c r="E41" i="1"/>
  <c r="E40" i="1"/>
  <c r="E37" i="1"/>
  <c r="E34" i="1"/>
  <c r="E31" i="1"/>
  <c r="E25" i="1"/>
  <c r="E21" i="1"/>
  <c r="E19" i="1"/>
  <c r="E18" i="1"/>
  <c r="E11" i="1"/>
  <c r="I93" i="1" l="1"/>
  <c r="I118" i="1"/>
  <c r="I134" i="1" s="1"/>
  <c r="I119" i="1"/>
  <c r="I135" i="1" s="1"/>
  <c r="G28" i="1"/>
  <c r="F28" i="1"/>
  <c r="H13" i="1" l="1"/>
  <c r="G13" i="1"/>
  <c r="F13" i="1"/>
  <c r="F21" i="1"/>
  <c r="B21" i="1"/>
  <c r="H117" i="1"/>
  <c r="F22" i="1" l="1"/>
  <c r="B22" i="1"/>
  <c r="G33" i="1"/>
  <c r="F33" i="1"/>
  <c r="B33" i="1"/>
  <c r="C18" i="1"/>
  <c r="D18" i="1"/>
  <c r="F18" i="1"/>
  <c r="G18" i="1"/>
  <c r="H18" i="1"/>
  <c r="B18" i="1"/>
  <c r="B13" i="1"/>
  <c r="H17" i="1"/>
  <c r="H16" i="1"/>
  <c r="G60" i="1" l="1"/>
  <c r="F60" i="1"/>
  <c r="B60" i="1"/>
  <c r="D117" i="1"/>
  <c r="H116" i="1"/>
  <c r="H114" i="1"/>
  <c r="H112" i="1"/>
  <c r="F105" i="1"/>
  <c r="B105" i="1"/>
  <c r="C31" i="1"/>
  <c r="C92" i="1" s="1"/>
  <c r="D31" i="1"/>
  <c r="F31" i="1"/>
  <c r="G31" i="1"/>
  <c r="K31" i="1"/>
  <c r="L31" i="1"/>
  <c r="M31" i="1"/>
  <c r="B31" i="1"/>
  <c r="H30" i="1"/>
  <c r="G132" i="1" l="1"/>
  <c r="F132" i="1"/>
  <c r="B132" i="1"/>
  <c r="F47" i="1"/>
  <c r="H46" i="1"/>
  <c r="M136" i="1" l="1"/>
  <c r="L136" i="1"/>
  <c r="K136" i="1"/>
  <c r="M133" i="1"/>
  <c r="L133" i="1"/>
  <c r="L135" i="1" s="1"/>
  <c r="K133" i="1"/>
  <c r="D133" i="1"/>
  <c r="G130" i="1"/>
  <c r="F130" i="1"/>
  <c r="B130" i="1"/>
  <c r="H128" i="1"/>
  <c r="G126" i="1"/>
  <c r="G133" i="1" s="1"/>
  <c r="F126" i="1"/>
  <c r="B126" i="1"/>
  <c r="H125" i="1"/>
  <c r="H124" i="1"/>
  <c r="H126" i="1" s="1"/>
  <c r="M120" i="1"/>
  <c r="L120" i="1"/>
  <c r="K120" i="1"/>
  <c r="M117" i="1"/>
  <c r="K117" i="1"/>
  <c r="L110" i="1"/>
  <c r="L117" i="1" s="1"/>
  <c r="G110" i="1"/>
  <c r="F110" i="1"/>
  <c r="B110" i="1"/>
  <c r="H109" i="1"/>
  <c r="H108" i="1"/>
  <c r="H107" i="1"/>
  <c r="H110" i="1" s="1"/>
  <c r="G105" i="1"/>
  <c r="F103" i="1"/>
  <c r="H103" i="1" s="1"/>
  <c r="B103" i="1"/>
  <c r="H101" i="1"/>
  <c r="G99" i="1"/>
  <c r="F99" i="1"/>
  <c r="B99" i="1"/>
  <c r="H97" i="1"/>
  <c r="L91" i="1"/>
  <c r="K91" i="1"/>
  <c r="G91" i="1"/>
  <c r="F91" i="1"/>
  <c r="D91" i="1"/>
  <c r="C91" i="1"/>
  <c r="C134" i="1" s="1"/>
  <c r="B91" i="1"/>
  <c r="H90" i="1"/>
  <c r="H91" i="1" s="1"/>
  <c r="L88" i="1"/>
  <c r="K88" i="1"/>
  <c r="G88" i="1"/>
  <c r="F88" i="1"/>
  <c r="B88" i="1"/>
  <c r="H87" i="1"/>
  <c r="H88" i="1" s="1"/>
  <c r="M85" i="1"/>
  <c r="L85" i="1"/>
  <c r="K85" i="1"/>
  <c r="G85" i="1"/>
  <c r="F85" i="1"/>
  <c r="D85" i="1"/>
  <c r="B85" i="1"/>
  <c r="B92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2" i="1"/>
  <c r="H71" i="1"/>
  <c r="H70" i="1"/>
  <c r="J70" i="1" s="1"/>
  <c r="M68" i="1"/>
  <c r="L68" i="1"/>
  <c r="K68" i="1"/>
  <c r="G68" i="1"/>
  <c r="F68" i="1"/>
  <c r="D68" i="1"/>
  <c r="B68" i="1"/>
  <c r="H67" i="1"/>
  <c r="H68" i="1" s="1"/>
  <c r="M65" i="1"/>
  <c r="L65" i="1"/>
  <c r="K65" i="1"/>
  <c r="G65" i="1"/>
  <c r="D65" i="1"/>
  <c r="B65" i="1"/>
  <c r="H64" i="1"/>
  <c r="F63" i="1"/>
  <c r="F65" i="1" s="1"/>
  <c r="M61" i="1"/>
  <c r="L61" i="1"/>
  <c r="K61" i="1"/>
  <c r="G61" i="1"/>
  <c r="F61" i="1"/>
  <c r="D61" i="1"/>
  <c r="B61" i="1"/>
  <c r="H60" i="1"/>
  <c r="H61" i="1" s="1"/>
  <c r="M58" i="1"/>
  <c r="L58" i="1"/>
  <c r="K58" i="1"/>
  <c r="G58" i="1"/>
  <c r="F58" i="1"/>
  <c r="B58" i="1"/>
  <c r="H57" i="1"/>
  <c r="H58" i="1" s="1"/>
  <c r="D55" i="1"/>
  <c r="C55" i="1"/>
  <c r="B55" i="1"/>
  <c r="G54" i="1"/>
  <c r="F54" i="1"/>
  <c r="D54" i="1"/>
  <c r="B54" i="1"/>
  <c r="H53" i="1"/>
  <c r="K48" i="1"/>
  <c r="G48" i="1"/>
  <c r="F48" i="1"/>
  <c r="D48" i="1"/>
  <c r="C48" i="1"/>
  <c r="B48" i="1"/>
  <c r="P47" i="1"/>
  <c r="D47" i="1"/>
  <c r="C47" i="1"/>
  <c r="H45" i="1"/>
  <c r="H44" i="1"/>
  <c r="H43" i="1"/>
  <c r="H48" i="1" s="1"/>
  <c r="K47" i="1"/>
  <c r="G41" i="1"/>
  <c r="G42" i="1" s="1"/>
  <c r="G47" i="1" s="1"/>
  <c r="F41" i="1"/>
  <c r="H41" i="1" s="1"/>
  <c r="B41" i="1"/>
  <c r="B42" i="1" s="1"/>
  <c r="B47" i="1" s="1"/>
  <c r="H40" i="1"/>
  <c r="H39" i="1"/>
  <c r="M37" i="1"/>
  <c r="L37" i="1"/>
  <c r="K37" i="1"/>
  <c r="H37" i="1"/>
  <c r="G37" i="1"/>
  <c r="F37" i="1"/>
  <c r="D37" i="1"/>
  <c r="B37" i="1"/>
  <c r="M34" i="1"/>
  <c r="L34" i="1"/>
  <c r="K34" i="1"/>
  <c r="G34" i="1"/>
  <c r="F34" i="1"/>
  <c r="D34" i="1"/>
  <c r="B34" i="1"/>
  <c r="H33" i="1"/>
  <c r="H34" i="1" s="1"/>
  <c r="H29" i="1"/>
  <c r="H28" i="1"/>
  <c r="F26" i="1"/>
  <c r="D26" i="1"/>
  <c r="C26" i="1"/>
  <c r="C25" i="1"/>
  <c r="H24" i="1"/>
  <c r="G23" i="1"/>
  <c r="H23" i="1" s="1"/>
  <c r="H26" i="1" s="1"/>
  <c r="B23" i="1"/>
  <c r="G22" i="1"/>
  <c r="G25" i="1" s="1"/>
  <c r="F25" i="1"/>
  <c r="D22" i="1"/>
  <c r="D25" i="1" s="1"/>
  <c r="K21" i="1"/>
  <c r="K25" i="1" s="1"/>
  <c r="G21" i="1"/>
  <c r="G19" i="1"/>
  <c r="F19" i="1"/>
  <c r="D19" i="1"/>
  <c r="C19" i="1"/>
  <c r="B19" i="1"/>
  <c r="M18" i="1"/>
  <c r="L18" i="1"/>
  <c r="K18" i="1"/>
  <c r="H15" i="1"/>
  <c r="H19" i="1" s="1"/>
  <c r="H14" i="1"/>
  <c r="M11" i="1"/>
  <c r="L11" i="1"/>
  <c r="K11" i="1"/>
  <c r="G11" i="1"/>
  <c r="F11" i="1"/>
  <c r="H8" i="1"/>
  <c r="H11" i="1" s="1"/>
  <c r="G92" i="1" l="1"/>
  <c r="F92" i="1"/>
  <c r="H94" i="1"/>
  <c r="J94" i="1" s="1"/>
  <c r="D92" i="1"/>
  <c r="F133" i="1"/>
  <c r="B26" i="1"/>
  <c r="B94" i="1" s="1"/>
  <c r="B25" i="1"/>
  <c r="F117" i="1"/>
  <c r="B133" i="1"/>
  <c r="H31" i="1"/>
  <c r="B117" i="1"/>
  <c r="G117" i="1"/>
  <c r="D118" i="1"/>
  <c r="D134" i="1" s="1"/>
  <c r="C94" i="1"/>
  <c r="F94" i="1"/>
  <c r="F120" i="1" s="1"/>
  <c r="H21" i="1"/>
  <c r="H120" i="1"/>
  <c r="K92" i="1"/>
  <c r="K118" i="1" s="1"/>
  <c r="K134" i="1" s="1"/>
  <c r="M92" i="1"/>
  <c r="M118" i="1" s="1"/>
  <c r="M134" i="1" s="1"/>
  <c r="H63" i="1"/>
  <c r="H65" i="1" s="1"/>
  <c r="H85" i="1"/>
  <c r="J85" i="1" s="1"/>
  <c r="H130" i="1"/>
  <c r="F136" i="1"/>
  <c r="H22" i="1"/>
  <c r="H25" i="1" s="1"/>
  <c r="H42" i="1"/>
  <c r="H47" i="1" s="1"/>
  <c r="L92" i="1"/>
  <c r="L118" i="1" s="1"/>
  <c r="L134" i="1" s="1"/>
  <c r="G26" i="1"/>
  <c r="G94" i="1" s="1"/>
  <c r="G93" i="1" s="1"/>
  <c r="H54" i="1"/>
  <c r="J54" i="1" s="1"/>
  <c r="D94" i="1"/>
  <c r="H99" i="1"/>
  <c r="H105" i="1"/>
  <c r="H132" i="1"/>
  <c r="H133" i="1" s="1"/>
  <c r="K135" i="1"/>
  <c r="M135" i="1"/>
  <c r="H136" i="1" l="1"/>
  <c r="H92" i="1"/>
  <c r="J92" i="1" s="1"/>
  <c r="F93" i="1"/>
  <c r="C120" i="1"/>
  <c r="C93" i="1"/>
  <c r="C136" i="1"/>
  <c r="D93" i="1"/>
  <c r="H93" i="1"/>
  <c r="J93" i="1" s="1"/>
  <c r="C135" i="1"/>
  <c r="H119" i="1"/>
  <c r="H135" i="1" s="1"/>
  <c r="G136" i="1"/>
  <c r="G120" i="1"/>
  <c r="G119" i="1"/>
  <c r="G135" i="1" s="1"/>
  <c r="F118" i="1"/>
  <c r="F134" i="1" s="1"/>
  <c r="F119" i="1"/>
  <c r="F135" i="1" s="1"/>
  <c r="D136" i="1"/>
  <c r="D120" i="1"/>
  <c r="B118" i="1"/>
  <c r="B134" i="1" s="1"/>
  <c r="D119" i="1"/>
  <c r="D135" i="1" s="1"/>
  <c r="B136" i="1"/>
  <c r="B120" i="1"/>
  <c r="G118" i="1"/>
  <c r="G134" i="1" s="1"/>
  <c r="B93" i="1"/>
  <c r="B119" i="1" s="1"/>
  <c r="B135" i="1" s="1"/>
  <c r="H118" i="1" l="1"/>
  <c r="H134" i="1" s="1"/>
</calcChain>
</file>

<file path=xl/sharedStrings.xml><?xml version="1.0" encoding="utf-8"?>
<sst xmlns="http://schemas.openxmlformats.org/spreadsheetml/2006/main" count="191" uniqueCount="127">
  <si>
    <t>TAMÁSI VÁROS ÖNKORMÁNYZAT 2015. ÉVI FELHALMOZÁSI, BERUHÁZÁSI KIADÁSI ELŐIRÁNYZATA FELADATONKÉNT, CÉLONKÉNT ÖNKORMÁNYZAT ÉS KÖLTSÉGVETÉSI SZERVEK TAGOLÁSÁBAN</t>
  </si>
  <si>
    <t>ezer Ft-ban</t>
  </si>
  <si>
    <t>Beruházás  megnevezése</t>
  </si>
  <si>
    <t>Teljes költség</t>
  </si>
  <si>
    <t>Kivitelezés kezdési és befejezési éve</t>
  </si>
  <si>
    <t>Felhaszná- lás
2014. XII.31-ig</t>
  </si>
  <si>
    <t>2015.évi előirányzat ÁFA</t>
  </si>
  <si>
    <t>2015. évi visszaigé- nyelhető ÁFA</t>
  </si>
  <si>
    <t>ebből európai uniós támogatás</t>
  </si>
  <si>
    <t xml:space="preserve">Önkormányzat   BERUHÁZÁS ÉS NAGYÉRTÉKŰ ESZKÖZ BESZERZÉS </t>
  </si>
  <si>
    <t>013350 Önkormányzati vagyonnal való gazdálkodással kapcsolatos feladatok</t>
  </si>
  <si>
    <t>1) Északi iparterületnél terület vásárlás (út)</t>
  </si>
  <si>
    <t>2) Bérlakás célra ingatlanvásárlás 174/2015.(IX.30.) határozat szerint</t>
  </si>
  <si>
    <t>2015.</t>
  </si>
  <si>
    <t>Kormányzati funkció összesen:</t>
  </si>
  <si>
    <t>045120 Út, autópálya építése</t>
  </si>
  <si>
    <t>1) Kerékpárút hálózat kialakítása Tamási városában DDOP-5.1.1-11-2011-0007 teljes költség</t>
  </si>
  <si>
    <t>2011-2015.</t>
  </si>
  <si>
    <t xml:space="preserve">       1/a Beruházásként (K6 rovat) megjelenő költség</t>
  </si>
  <si>
    <t xml:space="preserve">       1/b Dologi kiadásként (K3 rovat) megjelenő költség (fordított áfa)</t>
  </si>
  <si>
    <t>Kormányzati funkció beruházás összesen:</t>
  </si>
  <si>
    <t>Kormányzati funkció beruházáshoz kapcsolódó dologi kiadás összesen:</t>
  </si>
  <si>
    <t>052020 Szennyvíz gyűjtése, tisztítása, elhelyezése</t>
  </si>
  <si>
    <t>1) KEOP-1-2-0/B/10-2010-0077 Tamási város szennyvízcsatorna hálózatának bővítése</t>
  </si>
  <si>
    <t>2012-2015</t>
  </si>
  <si>
    <t>861216(ebből 2015. évben:271911)</t>
  </si>
  <si>
    <t>834433 (ebből 2015. évben: 245128)</t>
  </si>
  <si>
    <t>2) 65 sz. út helyreállítása, szennyvízberuházás projekt által nem finanszírozott</t>
  </si>
  <si>
    <t>063020 Víztermelés, -kezelés, -ellátás</t>
  </si>
  <si>
    <t>1) Tamási I-es, II-es kúttelep ivóvíz javító munkái</t>
  </si>
  <si>
    <t>2) Vízmű üzletrész vásárlás Aquainvest Kft-től (109/2015.(VI.16.) sz.hat.)</t>
  </si>
  <si>
    <t>064010 Közvilágítás</t>
  </si>
  <si>
    <t>1) KEOP-5.5.0/K/14-2014-0005 Tamási város közvilágításának energiatakarékos átalakítása</t>
  </si>
  <si>
    <t>081030 Sportlétesítmények működtetése és fejlesztése</t>
  </si>
  <si>
    <t>1) Sportok háza célra épületvásárlás</t>
  </si>
  <si>
    <t>2015-2017</t>
  </si>
  <si>
    <t>066020 Város és községgazdálkodási egyéb szolgáltatások</t>
  </si>
  <si>
    <t xml:space="preserve">1) Szarkahegyi részen áteresz építése </t>
  </si>
  <si>
    <t>2) Polgármesteri hivatali udvar kialakítás I. ütem volt tűzolto épület bontása</t>
  </si>
  <si>
    <t>3) Geotermikus energiahasznosítás és közműrendszer kiépítése EU-s támogatással KEOP-4.2.0/B/09-2010-0030</t>
  </si>
  <si>
    <t>2010-2015</t>
  </si>
  <si>
    <t>1131602 (ebből:2015. évben: 1131602)</t>
  </si>
  <si>
    <t>565801 (ebből:2015. évben: 565801)</t>
  </si>
  <si>
    <t>4) Túrmezei Erzsébet parkba folyókák beépítése</t>
  </si>
  <si>
    <t>5) DÁM szobor megvalósítása és felállítása Tamási központjában</t>
  </si>
  <si>
    <t>091140 Óvodai nevelés,ellátás működtetési feladatai</t>
  </si>
  <si>
    <t>1) "Megújul az Aranyerdő" DDOP-3.1.2-12-2013-0018 pályázat</t>
  </si>
  <si>
    <t>2013.-2015.</t>
  </si>
  <si>
    <t>118.787 (Ebből 2015:0)</t>
  </si>
  <si>
    <t>1) pontból: működési kiadásként elszámolt</t>
  </si>
  <si>
    <t xml:space="preserve">                  beruházási kiadásként elszámolt</t>
  </si>
  <si>
    <t xml:space="preserve">2) Aranyerő óvoda melegítő konyhájának átalakítása </t>
  </si>
  <si>
    <t>074054 Komplex egészségfejlesztő, prevenciós programok</t>
  </si>
  <si>
    <t>1) Program keretében nagyértékű eszköz beszerzés(laptopok,nyomtatók, fényképezőgép, egészségügyi eszközök)</t>
  </si>
  <si>
    <t>092260 Gimnázium és szakképző iskola tanulóinak közismereti és szakmai elméleti oktatásával összefüggő működtetési feladatok</t>
  </si>
  <si>
    <t>1)Gimnázium épület energetikai fejlesztése  pályázat KEOP-4.10.0/F/14</t>
  </si>
  <si>
    <t>2013-2015.</t>
  </si>
  <si>
    <t>081061 Szabadidős park, fürdő- és strandszolgáltatás</t>
  </si>
  <si>
    <t>1) Fürdőnél külső medence kialakítása</t>
  </si>
  <si>
    <t>2013-2015</t>
  </si>
  <si>
    <t>2) Gurigolf szabadidős sportjáték Licencvétel</t>
  </si>
  <si>
    <t>041233 Hosszabb időtartamú közfoglalkoztatás</t>
  </si>
  <si>
    <t xml:space="preserve"> 1) Belvízelvezetés programon: ágaprító</t>
  </si>
  <si>
    <t>041237 Közfoglalkoztatási mintaprogram</t>
  </si>
  <si>
    <t xml:space="preserve"> 1) Mezőgazdasági program: burgonya kipergető</t>
  </si>
  <si>
    <t xml:space="preserve">                                          - fóliaváz 3 db</t>
  </si>
  <si>
    <t xml:space="preserve">                                          - váltvaforgató eke</t>
  </si>
  <si>
    <t xml:space="preserve"> 2) Belterületi közutak karbantartása program: -aszfalt vágó</t>
  </si>
  <si>
    <t xml:space="preserve">                                                                         -kasza alkatrész</t>
  </si>
  <si>
    <t xml:space="preserve"> 3) Helyi sajátosságokra épülő program: -tarktor</t>
  </si>
  <si>
    <t xml:space="preserve">                                                               - Személyszállító jármű</t>
  </si>
  <si>
    <t xml:space="preserve">                                                               -pótkocsi</t>
  </si>
  <si>
    <t xml:space="preserve">                                                               - benzinmotoros fűnyíró</t>
  </si>
  <si>
    <t xml:space="preserve">                                                              - Lengyel fűkasza</t>
  </si>
  <si>
    <t xml:space="preserve">                                                             - Bozótvágóhoz meghajtó spirál, vágófej</t>
  </si>
  <si>
    <t xml:space="preserve">                                                            - Fűnyíróhoz kuplung</t>
  </si>
  <si>
    <t>011130 Önkormányzatok és önkormányzati hivatalok jogalkotó és általános igazgatási tevékenysége</t>
  </si>
  <si>
    <t>1) Akadálymentesített honlap (ÁROP-1.A.3-2014-2014-0110)</t>
  </si>
  <si>
    <t>107055 Falugondnoki, tanyagondnoki szolgáltatás</t>
  </si>
  <si>
    <t>Mikrobusz beszerzés tanyagondnoki feladatok ellátásához</t>
  </si>
  <si>
    <t>Önkormányzat összesen:</t>
  </si>
  <si>
    <t>Előzőből:  beruházásként elszámolt</t>
  </si>
  <si>
    <t xml:space="preserve">                  dologi kiadásként elszámolt</t>
  </si>
  <si>
    <t>Önkormányzat  KISÉRTÉKŰ ESZKÖZ BESZERZÉS</t>
  </si>
  <si>
    <t>074031 Család- és nővédelmi egészségügyi gondozás</t>
  </si>
  <si>
    <t>Védőnők részére kisértékű(200 e Ft alatti) tárgyieszköz beszerzés</t>
  </si>
  <si>
    <t>074032 Ifjúsági-egészségügyi gondozás</t>
  </si>
  <si>
    <t>Iskola védőnő részére kisértékű(200 e Ft alatti) tárgyieszköz beszerzés</t>
  </si>
  <si>
    <t xml:space="preserve"> Program keretében kisértékű(200 e Ft alatti) tárgyieszköz beszerzés</t>
  </si>
  <si>
    <t>Karácsonyi város dekorációhoz kisértékű(200 e Ft alatti) tárgyieszköz beszerzés, egyéb)</t>
  </si>
  <si>
    <t>öszesen:</t>
  </si>
  <si>
    <t>Önkormányzat kisértékű eszköz beszerzés összesen:</t>
  </si>
  <si>
    <t>ÖNKORMÁNYZAT  ÖSSZESEN:</t>
  </si>
  <si>
    <t>INTÉZMÉNYEK</t>
  </si>
  <si>
    <t xml:space="preserve">Tamási Közös Önkormányzati Hivatal </t>
  </si>
  <si>
    <t>1) Önkormányzati Hivatalhoz számítástechnikai eszközök beszerzése nagyértékű eszköz beszerzés</t>
  </si>
  <si>
    <t>2) Kisértékű(200 e Ft alatti) tárgyieszköz beszerzés</t>
  </si>
  <si>
    <t>Polgármesteri Hivatal  beruházás összesen:</t>
  </si>
  <si>
    <t>Könnyü László Városi Könyvtár és Helytörténeti Gyűjtemény:</t>
  </si>
  <si>
    <t xml:space="preserve"> Kisértékű(200 e Ft alatti) tárgyieszköz beszerzés</t>
  </si>
  <si>
    <t>Városi Művelődési Központ</t>
  </si>
  <si>
    <t>Tamási Aranyerdő Óvoda és Bölcsőde</t>
  </si>
  <si>
    <t>Intézmények összesen:</t>
  </si>
  <si>
    <t>ÖSSZESEN:</t>
  </si>
  <si>
    <t>6) Traktor beszerzés zöldterületek, kerékpárutak,sporttelepek,egyéb városüzemeltetési feladatok ellátására</t>
  </si>
  <si>
    <t>2015-2016.</t>
  </si>
  <si>
    <t>3) Vízmű ingatlan és ingó vagyon megvásárlása</t>
  </si>
  <si>
    <t>091220 Köznevelési intézmény 1-4. évfolyamán tanulók nevelésével, oktatásával összefüggő működtetési feladatok</t>
  </si>
  <si>
    <t>092120 Köznevelési intézmény 5-8. évfolyamán tanulók nevelésével, oktatásával összefüggő működtetési feladatok</t>
  </si>
  <si>
    <t>091250 Alapfokú művészetoktatásával összefüggő működtetési feladatok</t>
  </si>
  <si>
    <t>Lombfúvó beszerzés</t>
  </si>
  <si>
    <t xml:space="preserve">2) KÖZOP-os kerékpárút </t>
  </si>
  <si>
    <t>3) Rácvölgyi kerékpárút</t>
  </si>
  <si>
    <t>2015. évi módosított  előirányzat (nettó)</t>
  </si>
  <si>
    <t>2015. évi módosított bruttó előirányzat (6+7)</t>
  </si>
  <si>
    <t>2015. évi telejítés bruttó</t>
  </si>
  <si>
    <t>Teljesítés %-a</t>
  </si>
  <si>
    <t xml:space="preserve">       1/b Dologi kiadásként (K3 rovat) megjelenő költség (fordított áfa,egyéb dol.,szakmai tevékenységet segítő szolg.)</t>
  </si>
  <si>
    <t xml:space="preserve"> pályázati támogatás</t>
  </si>
  <si>
    <t>3) Volt 2.sz.ált.iskola átalakítási előkészítési költségek</t>
  </si>
  <si>
    <t xml:space="preserve">                                                             - motoros fűkasza</t>
  </si>
  <si>
    <t xml:space="preserve">                                          - tenyészállat vásárlás (juh) ÉVÜ-től átvétel</t>
  </si>
  <si>
    <t>2015. évi eredeti előirányzat bruttó</t>
  </si>
  <si>
    <t>9. számú melléklet</t>
  </si>
  <si>
    <t xml:space="preserve"> - helyi sajátosságokra épülő</t>
  </si>
  <si>
    <t xml:space="preserve"> - belterületi közutak karb.tart.</t>
  </si>
  <si>
    <t xml:space="preserve"> Program keretében kisértékű(200 e Ft alatti) tárgyieszköz beszerzés:    - mezőgazdaság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</si>
</sst>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#.0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164" fontId="2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164" fontId="3" fillId="0" borderId="8" xfId="1" applyNumberFormat="1" applyFont="1" applyFill="1" applyBorder="1" applyAlignment="1" applyProtection="1">
      <alignment horizontal="center" vertical="center" wrapText="1"/>
    </xf>
    <xf numFmtId="3" fontId="3" fillId="0" borderId="9" xfId="1" applyNumberFormat="1" applyFont="1" applyFill="1" applyBorder="1" applyAlignment="1" applyProtection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left" vertical="center" wrapText="1"/>
    </xf>
    <xf numFmtId="164" fontId="3" fillId="0" borderId="3" xfId="1" applyNumberFormat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/>
    <xf numFmtId="164" fontId="4" fillId="0" borderId="10" xfId="1" applyNumberFormat="1" applyFont="1" applyFill="1" applyBorder="1" applyAlignment="1" applyProtection="1">
      <alignment horizontal="left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0" borderId="12" xfId="1" applyNumberFormat="1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/>
    <xf numFmtId="164" fontId="2" fillId="0" borderId="14" xfId="1" applyNumberFormat="1" applyFont="1" applyFill="1" applyBorder="1" applyAlignment="1" applyProtection="1">
      <alignment horizontal="left" vertical="center" wrapText="1"/>
    </xf>
    <xf numFmtId="164" fontId="2" fillId="0" borderId="15" xfId="1" applyNumberFormat="1" applyFont="1" applyFill="1" applyBorder="1" applyAlignment="1" applyProtection="1">
      <alignment horizontal="right" vertical="center" wrapText="1"/>
    </xf>
    <xf numFmtId="164" fontId="2" fillId="0" borderId="15" xfId="1" applyNumberFormat="1" applyFont="1" applyFill="1" applyBorder="1" applyAlignment="1" applyProtection="1">
      <alignment horizontal="center" vertical="center" wrapText="1"/>
    </xf>
    <xf numFmtId="164" fontId="2" fillId="0" borderId="16" xfId="1" applyNumberFormat="1" applyFont="1" applyFill="1" applyBorder="1" applyAlignment="1" applyProtection="1">
      <alignment horizontal="center" vertical="center" wrapText="1"/>
    </xf>
    <xf numFmtId="164" fontId="2" fillId="0" borderId="16" xfId="1" applyNumberFormat="1" applyFont="1" applyFill="1" applyBorder="1" applyAlignment="1" applyProtection="1">
      <alignment horizontal="right" vertical="center" wrapText="1"/>
    </xf>
    <xf numFmtId="3" fontId="2" fillId="0" borderId="16" xfId="1" applyNumberFormat="1" applyFont="1" applyFill="1" applyBorder="1" applyAlignment="1" applyProtection="1">
      <alignment horizontal="center" vertical="center" wrapText="1"/>
    </xf>
    <xf numFmtId="165" fontId="2" fillId="0" borderId="16" xfId="1" applyNumberFormat="1" applyFont="1" applyFill="1" applyBorder="1" applyAlignment="1" applyProtection="1">
      <alignment horizontal="right" vertical="center" wrapText="1"/>
    </xf>
    <xf numFmtId="1" fontId="2" fillId="0" borderId="16" xfId="1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/>
    <xf numFmtId="164" fontId="2" fillId="0" borderId="44" xfId="1" applyNumberFormat="1" applyFont="1" applyFill="1" applyBorder="1" applyAlignment="1" applyProtection="1">
      <alignment horizontal="left" vertical="center" wrapText="1"/>
    </xf>
    <xf numFmtId="3" fontId="2" fillId="0" borderId="45" xfId="1" applyNumberFormat="1" applyFont="1" applyFill="1" applyBorder="1" applyAlignment="1" applyProtection="1">
      <alignment horizontal="right" vertical="center" wrapText="1"/>
    </xf>
    <xf numFmtId="164" fontId="2" fillId="0" borderId="45" xfId="1" applyNumberFormat="1" applyFont="1" applyFill="1" applyBorder="1" applyAlignment="1" applyProtection="1">
      <alignment horizontal="center" vertical="center" wrapText="1"/>
    </xf>
    <xf numFmtId="164" fontId="2" fillId="0" borderId="46" xfId="1" applyNumberFormat="1" applyFont="1" applyFill="1" applyBorder="1" applyAlignment="1" applyProtection="1">
      <alignment horizontal="center" vertical="center" wrapText="1"/>
    </xf>
    <xf numFmtId="3" fontId="2" fillId="0" borderId="46" xfId="1" applyNumberFormat="1" applyFont="1" applyFill="1" applyBorder="1" applyAlignment="1" applyProtection="1">
      <alignment horizontal="right" vertical="center" wrapText="1"/>
    </xf>
    <xf numFmtId="3" fontId="2" fillId="0" borderId="46" xfId="1" applyNumberFormat="1" applyFont="1" applyFill="1" applyBorder="1" applyAlignment="1" applyProtection="1">
      <alignment horizontal="center" vertical="center" wrapText="1"/>
    </xf>
    <xf numFmtId="165" fontId="2" fillId="0" borderId="45" xfId="1" applyNumberFormat="1" applyFont="1" applyFill="1" applyBorder="1" applyAlignment="1" applyProtection="1">
      <alignment horizontal="right" vertical="center" wrapText="1"/>
    </xf>
    <xf numFmtId="1" fontId="2" fillId="0" borderId="46" xfId="1" applyNumberFormat="1" applyFont="1" applyFill="1" applyBorder="1" applyAlignment="1" applyProtection="1">
      <alignment horizontal="center" vertical="center" wrapText="1"/>
    </xf>
    <xf numFmtId="1" fontId="2" fillId="0" borderId="47" xfId="0" applyNumberFormat="1" applyFont="1" applyFill="1" applyBorder="1"/>
    <xf numFmtId="164" fontId="2" fillId="0" borderId="10" xfId="1" applyNumberFormat="1" applyFont="1" applyFill="1" applyBorder="1" applyAlignment="1" applyProtection="1">
      <alignment horizontal="left" vertical="center" wrapText="1"/>
    </xf>
    <xf numFmtId="3" fontId="2" fillId="0" borderId="11" xfId="1" applyNumberFormat="1" applyFont="1" applyFill="1" applyBorder="1" applyAlignment="1" applyProtection="1">
      <alignment horizontal="right" vertical="center" wrapText="1"/>
    </xf>
    <xf numFmtId="164" fontId="2" fillId="0" borderId="11" xfId="1" applyNumberFormat="1" applyFont="1" applyFill="1" applyBorder="1" applyAlignment="1" applyProtection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center" vertical="center" wrapText="1"/>
    </xf>
    <xf numFmtId="3" fontId="2" fillId="0" borderId="12" xfId="1" applyNumberFormat="1" applyFont="1" applyFill="1" applyBorder="1" applyAlignment="1" applyProtection="1">
      <alignment horizontal="right" vertical="center" wrapText="1"/>
    </xf>
    <xf numFmtId="3" fontId="2" fillId="0" borderId="12" xfId="1" applyNumberFormat="1" applyFont="1" applyFill="1" applyBorder="1" applyAlignment="1" applyProtection="1">
      <alignment horizontal="center" vertical="center" wrapText="1"/>
    </xf>
    <xf numFmtId="165" fontId="2" fillId="0" borderId="7" xfId="1" applyNumberFormat="1" applyFont="1" applyFill="1" applyBorder="1" applyAlignment="1" applyProtection="1">
      <alignment horizontal="right" vertical="center" wrapText="1"/>
    </xf>
    <xf numFmtId="1" fontId="2" fillId="0" borderId="12" xfId="1" applyNumberFormat="1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/>
    <xf numFmtId="164" fontId="3" fillId="0" borderId="2" xfId="1" applyNumberFormat="1" applyFont="1" applyFill="1" applyBorder="1" applyAlignment="1" applyProtection="1">
      <alignment horizontal="left"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/>
    </xf>
    <xf numFmtId="164" fontId="3" fillId="0" borderId="4" xfId="1" applyNumberFormat="1" applyFont="1" applyFill="1" applyBorder="1" applyAlignment="1" applyProtection="1">
      <alignment horizontal="right" vertical="center" wrapText="1"/>
    </xf>
    <xf numFmtId="165" fontId="2" fillId="0" borderId="51" xfId="1" applyNumberFormat="1" applyFont="1" applyFill="1" applyBorder="1" applyAlignment="1" applyProtection="1">
      <alignment horizontal="right" vertical="center" wrapText="1"/>
    </xf>
    <xf numFmtId="164" fontId="3" fillId="0" borderId="9" xfId="1" applyNumberFormat="1" applyFont="1" applyFill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/>
    </xf>
    <xf numFmtId="164" fontId="2" fillId="0" borderId="12" xfId="1" applyNumberFormat="1" applyFont="1" applyFill="1" applyBorder="1" applyAlignment="1" applyProtection="1">
      <alignment horizontal="right" vertical="center" wrapText="1"/>
    </xf>
    <xf numFmtId="3" fontId="2" fillId="0" borderId="13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9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19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50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21" xfId="0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2" xfId="1" applyNumberFormat="1" applyFont="1" applyFill="1" applyBorder="1" applyAlignment="1" applyProtection="1">
      <alignment horizontal="right" vertical="center" wrapText="1"/>
      <protection locked="0"/>
    </xf>
    <xf numFmtId="1" fontId="2" fillId="3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2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8" xfId="1" applyNumberFormat="1" applyFont="1" applyFill="1" applyBorder="1" applyAlignment="1" applyProtection="1">
      <alignment horizontal="right" vertical="center" wrapText="1"/>
      <protection locked="0"/>
    </xf>
    <xf numFmtId="1" fontId="2" fillId="3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24" xfId="0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4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3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31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49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9" xfId="0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25" xfId="1" applyNumberFormat="1" applyFont="1" applyFill="1" applyBorder="1" applyAlignment="1" applyProtection="1">
      <alignment horizontal="left" vertical="center" wrapText="1"/>
    </xf>
    <xf numFmtId="164" fontId="3" fillId="0" borderId="26" xfId="1" applyNumberFormat="1" applyFont="1" applyFill="1" applyBorder="1" applyAlignment="1" applyProtection="1">
      <alignment horizontal="right" vertical="center" wrapText="1"/>
    </xf>
    <xf numFmtId="164" fontId="3" fillId="0" borderId="31" xfId="1" applyNumberFormat="1" applyFont="1" applyFill="1" applyBorder="1" applyAlignment="1" applyProtection="1">
      <alignment horizontal="right" vertical="center" wrapText="1"/>
    </xf>
    <xf numFmtId="164" fontId="3" fillId="0" borderId="27" xfId="1" applyNumberFormat="1" applyFont="1" applyFill="1" applyBorder="1" applyAlignment="1" applyProtection="1">
      <alignment horizontal="right" vertical="center" wrapText="1"/>
    </xf>
    <xf numFmtId="164" fontId="3" fillId="0" borderId="9" xfId="1" applyNumberFormat="1" applyFont="1" applyFill="1" applyBorder="1" applyAlignment="1" applyProtection="1">
      <alignment horizontal="right" vertical="center" wrapText="1"/>
    </xf>
    <xf numFmtId="165" fontId="2" fillId="0" borderId="22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28" xfId="1" applyNumberFormat="1" applyFont="1" applyFill="1" applyBorder="1" applyAlignment="1" applyProtection="1">
      <alignment horizontal="right" vertical="center" wrapText="1"/>
    </xf>
    <xf numFmtId="164" fontId="3" fillId="0" borderId="5" xfId="1" applyNumberFormat="1" applyFont="1" applyFill="1" applyBorder="1" applyAlignment="1" applyProtection="1">
      <alignment horizontal="right" vertical="center" wrapText="1"/>
    </xf>
    <xf numFmtId="0" fontId="4" fillId="0" borderId="25" xfId="1" applyFont="1" applyFill="1" applyBorder="1" applyAlignment="1"/>
    <xf numFmtId="0" fontId="3" fillId="0" borderId="26" xfId="1" applyFont="1" applyFill="1" applyBorder="1" applyAlignment="1"/>
    <xf numFmtId="0" fontId="3" fillId="0" borderId="29" xfId="1" applyFont="1" applyFill="1" applyBorder="1" applyAlignment="1"/>
    <xf numFmtId="0" fontId="3" fillId="0" borderId="27" xfId="1" applyFont="1" applyFill="1" applyBorder="1" applyAlignment="1"/>
    <xf numFmtId="0" fontId="3" fillId="0" borderId="28" xfId="1" applyFont="1" applyFill="1" applyBorder="1" applyAlignment="1"/>
    <xf numFmtId="164" fontId="2" fillId="0" borderId="26" xfId="1" applyNumberFormat="1" applyFont="1" applyFill="1" applyBorder="1" applyAlignment="1" applyProtection="1">
      <alignment horizontal="right" vertical="center" wrapText="1"/>
    </xf>
    <xf numFmtId="164" fontId="2" fillId="0" borderId="5" xfId="1" applyNumberFormat="1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>
      <alignment wrapText="1"/>
    </xf>
    <xf numFmtId="165" fontId="2" fillId="0" borderId="11" xfId="1" applyNumberFormat="1" applyFont="1" applyFill="1" applyBorder="1" applyAlignment="1" applyProtection="1">
      <alignment horizontal="right" vertical="center" wrapText="1"/>
    </xf>
    <xf numFmtId="164" fontId="2" fillId="0" borderId="13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right" vertical="center" wrapText="1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2" xfId="1" applyNumberFormat="1" applyFont="1" applyFill="1" applyBorder="1" applyAlignment="1" applyProtection="1">
      <alignment horizontal="right" vertical="center" wrapText="1"/>
    </xf>
    <xf numFmtId="164" fontId="2" fillId="3" borderId="7" xfId="1" applyNumberFormat="1" applyFont="1" applyFill="1" applyBorder="1" applyAlignment="1" applyProtection="1">
      <alignment horizontal="right" vertical="center" wrapText="1"/>
    </xf>
    <xf numFmtId="164" fontId="2" fillId="3" borderId="7" xfId="1" applyNumberFormat="1" applyFont="1" applyFill="1" applyBorder="1" applyAlignment="1" applyProtection="1">
      <alignment horizontal="center" vertical="center" wrapText="1"/>
    </xf>
    <xf numFmtId="164" fontId="2" fillId="3" borderId="8" xfId="1" applyNumberFormat="1" applyFont="1" applyFill="1" applyBorder="1" applyAlignment="1" applyProtection="1">
      <alignment horizontal="right" vertical="center" wrapText="1"/>
    </xf>
    <xf numFmtId="164" fontId="2" fillId="0" borderId="8" xfId="1" applyNumberFormat="1" applyFont="1" applyFill="1" applyBorder="1" applyAlignment="1" applyProtection="1">
      <alignment horizontal="right" vertical="center" wrapText="1"/>
    </xf>
    <xf numFmtId="164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24" xfId="1" applyNumberFormat="1" applyFont="1" applyFill="1" applyBorder="1" applyAlignment="1" applyProtection="1">
      <alignment horizontal="center" vertical="center" wrapText="1"/>
    </xf>
    <xf numFmtId="165" fontId="3" fillId="0" borderId="4" xfId="1" applyNumberFormat="1" applyFont="1" applyFill="1" applyBorder="1" applyAlignment="1" applyProtection="1">
      <alignment horizontal="right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1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6" xfId="1" applyNumberFormat="1" applyFont="1" applyFill="1" applyBorder="1" applyAlignment="1" applyProtection="1">
      <alignment horizontal="right" vertical="center" wrapText="1"/>
      <protection locked="0"/>
    </xf>
    <xf numFmtId="3" fontId="2" fillId="3" borderId="16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17" xfId="0" applyNumberFormat="1" applyFont="1" applyFill="1" applyBorder="1" applyAlignment="1">
      <alignment horizontal="right" vertical="center"/>
    </xf>
    <xf numFmtId="164" fontId="2" fillId="0" borderId="45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45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45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4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4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45" xfId="1" applyNumberFormat="1" applyFont="1" applyFill="1" applyBorder="1" applyAlignment="1" applyProtection="1">
      <alignment horizontal="right" vertical="center" wrapText="1"/>
      <protection locked="0"/>
    </xf>
    <xf numFmtId="3" fontId="2" fillId="3" borderId="46" xfId="1" applyNumberFormat="1" applyFont="1" applyFill="1" applyBorder="1" applyAlignment="1" applyProtection="1">
      <alignment horizontal="right" vertical="center" wrapText="1"/>
      <protection locked="0"/>
    </xf>
    <xf numFmtId="166" fontId="2" fillId="0" borderId="46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47" xfId="0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 applyProtection="1">
      <alignment horizontal="lef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5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52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51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24" xfId="0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3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0" xfId="1" applyNumberFormat="1" applyFont="1" applyFill="1" applyBorder="1" applyAlignment="1" applyProtection="1">
      <alignment horizontal="left" vertical="center" wrapText="1"/>
    </xf>
    <xf numFmtId="3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5" xfId="0" applyNumberFormat="1" applyFont="1" applyFill="1" applyBorder="1" applyAlignment="1">
      <alignment horizontal="right" vertical="center"/>
    </xf>
    <xf numFmtId="1" fontId="2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30" xfId="1" applyNumberFormat="1" applyFont="1" applyFill="1" applyBorder="1" applyAlignment="1" applyProtection="1">
      <alignment horizontal="center" vertical="center" wrapText="1"/>
    </xf>
    <xf numFmtId="165" fontId="2" fillId="0" borderId="41" xfId="1" applyNumberFormat="1" applyFont="1" applyFill="1" applyBorder="1" applyAlignment="1" applyProtection="1">
      <alignment horizontal="right" vertical="center" wrapText="1"/>
    </xf>
    <xf numFmtId="164" fontId="2" fillId="3" borderId="16" xfId="1" applyNumberFormat="1" applyFont="1" applyFill="1" applyBorder="1" applyAlignment="1" applyProtection="1">
      <alignment horizontal="center" vertical="center" wrapText="1"/>
    </xf>
    <xf numFmtId="164" fontId="2" fillId="3" borderId="17" xfId="1" applyNumberFormat="1" applyFont="1" applyFill="1" applyBorder="1" applyAlignment="1" applyProtection="1">
      <alignment horizontal="center" vertical="center" wrapText="1"/>
    </xf>
    <xf numFmtId="164" fontId="2" fillId="0" borderId="22" xfId="1" applyNumberFormat="1" applyFont="1" applyFill="1" applyBorder="1" applyAlignment="1" applyProtection="1">
      <alignment horizontal="center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2" fillId="0" borderId="23" xfId="1" applyNumberFormat="1" applyFont="1" applyFill="1" applyBorder="1" applyAlignment="1" applyProtection="1">
      <alignment horizontal="center" vertical="center" wrapText="1"/>
    </xf>
    <xf numFmtId="164" fontId="2" fillId="0" borderId="2" xfId="1" applyNumberFormat="1" applyFont="1" applyFill="1" applyBorder="1" applyAlignment="1" applyProtection="1">
      <alignment horizontal="left" vertical="center" wrapText="1"/>
    </xf>
    <xf numFmtId="164" fontId="2" fillId="0" borderId="3" xfId="1" applyNumberFormat="1" applyFont="1" applyFill="1" applyBorder="1" applyAlignment="1" applyProtection="1">
      <alignment horizontal="right" vertical="center" wrapText="1"/>
    </xf>
    <xf numFmtId="164" fontId="2" fillId="0" borderId="31" xfId="1" applyNumberFormat="1" applyFont="1" applyFill="1" applyBorder="1" applyAlignment="1" applyProtection="1">
      <alignment horizontal="center" vertical="center" wrapText="1"/>
    </xf>
    <xf numFmtId="164" fontId="2" fillId="0" borderId="4" xfId="1" applyNumberFormat="1" applyFont="1" applyFill="1" applyBorder="1" applyAlignment="1" applyProtection="1">
      <alignment horizontal="right" vertical="center" wrapText="1"/>
    </xf>
    <xf numFmtId="165" fontId="2" fillId="0" borderId="4" xfId="1" applyNumberFormat="1" applyFont="1" applyFill="1" applyBorder="1" applyAlignment="1" applyProtection="1">
      <alignment horizontal="right" vertical="center" wrapText="1"/>
    </xf>
    <xf numFmtId="164" fontId="2" fillId="0" borderId="4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29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12" xfId="1" applyNumberFormat="1" applyFont="1" applyFill="1" applyBorder="1" applyAlignment="1" applyProtection="1">
      <alignment horizontal="right" vertical="center" wrapText="1"/>
    </xf>
    <xf numFmtId="164" fontId="3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2" fontId="4" fillId="0" borderId="25" xfId="1" applyNumberFormat="1" applyFont="1" applyFill="1" applyBorder="1" applyAlignment="1" applyProtection="1">
      <alignment horizontal="left" vertical="center" wrapText="1"/>
    </xf>
    <xf numFmtId="2" fontId="3" fillId="0" borderId="29" xfId="1" applyNumberFormat="1" applyFont="1" applyFill="1" applyBorder="1" applyAlignment="1" applyProtection="1">
      <alignment horizontal="right" vertical="center" wrapText="1"/>
      <protection locked="0"/>
    </xf>
    <xf numFmtId="2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26" xfId="1" applyNumberFormat="1" applyFont="1" applyFill="1" applyBorder="1" applyAlignment="1" applyProtection="1">
      <alignment horizontal="right" vertical="center" wrapText="1"/>
      <protection locked="0"/>
    </xf>
    <xf numFmtId="2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14" xfId="0" applyNumberFormat="1" applyFont="1" applyFill="1" applyBorder="1" applyAlignment="1">
      <alignment vertical="center"/>
    </xf>
    <xf numFmtId="3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7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 applyFill="1"/>
    <xf numFmtId="2" fontId="2" fillId="0" borderId="32" xfId="0" applyNumberFormat="1" applyFont="1" applyFill="1" applyBorder="1" applyAlignment="1">
      <alignment vertical="center"/>
    </xf>
    <xf numFmtId="3" fontId="2" fillId="0" borderId="33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34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35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36" xfId="0" applyNumberFormat="1" applyFont="1" applyFill="1" applyBorder="1" applyAlignment="1">
      <alignment vertical="center"/>
    </xf>
    <xf numFmtId="3" fontId="2" fillId="0" borderId="37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38" xfId="1" applyNumberFormat="1" applyFont="1" applyFill="1" applyBorder="1" applyAlignment="1" applyProtection="1">
      <alignment horizontal="right" vertical="center" wrapText="1"/>
      <protection locked="0"/>
    </xf>
    <xf numFmtId="166" fontId="2" fillId="0" borderId="38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39" xfId="1" applyNumberFormat="1" applyFont="1" applyFill="1" applyBorder="1" applyAlignment="1" applyProtection="1">
      <alignment horizontal="right" vertical="center" wrapText="1"/>
      <protection locked="0"/>
    </xf>
    <xf numFmtId="2" fontId="2" fillId="0" borderId="10" xfId="0" applyNumberFormat="1" applyFont="1" applyFill="1" applyBorder="1" applyAlignment="1">
      <alignment vertical="center"/>
    </xf>
    <xf numFmtId="2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5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3" xfId="1" applyNumberFormat="1" applyFont="1" applyFill="1" applyBorder="1" applyAlignment="1" applyProtection="1">
      <alignment horizontal="right" vertical="center" wrapText="1"/>
      <protection locked="0"/>
    </xf>
    <xf numFmtId="166" fontId="2" fillId="0" borderId="12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26" xfId="1" applyNumberFormat="1" applyFont="1" applyFill="1" applyBorder="1" applyAlignment="1" applyProtection="1">
      <alignment horizontal="right" vertical="center" wrapText="1"/>
      <protection locked="0"/>
    </xf>
    <xf numFmtId="164" fontId="2" fillId="3" borderId="0" xfId="0" applyNumberFormat="1" applyFont="1" applyFill="1"/>
    <xf numFmtId="0" fontId="2" fillId="3" borderId="0" xfId="0" applyFont="1" applyFill="1"/>
    <xf numFmtId="165" fontId="3" fillId="0" borderId="26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25" xfId="1" applyNumberFormat="1" applyFont="1" applyFill="1" applyBorder="1" applyAlignment="1" applyProtection="1">
      <alignment horizontal="left" vertical="center" wrapText="1"/>
    </xf>
    <xf numFmtId="1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9" xfId="1" applyNumberFormat="1" applyFont="1" applyFill="1" applyBorder="1" applyAlignment="1" applyProtection="1">
      <alignment horizontal="right" vertical="center" wrapText="1"/>
      <protection locked="0"/>
    </xf>
    <xf numFmtId="166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9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40" xfId="1" applyNumberFormat="1" applyFont="1" applyFill="1" applyBorder="1" applyAlignment="1" applyProtection="1">
      <alignment horizontal="left" vertical="center" wrapText="1"/>
    </xf>
    <xf numFmtId="164" fontId="3" fillId="0" borderId="41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4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2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43" xfId="0" applyNumberFormat="1" applyFont="1" applyFill="1" applyBorder="1" applyAlignment="1">
      <alignment horizontal="right" vertical="center"/>
    </xf>
    <xf numFmtId="164" fontId="2" fillId="0" borderId="4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47" xfId="0" applyNumberFormat="1" applyFont="1" applyFill="1" applyBorder="1" applyAlignment="1">
      <alignment horizontal="right" vertical="center"/>
    </xf>
    <xf numFmtId="164" fontId="2" fillId="3" borderId="46" xfId="1" applyNumberFormat="1" applyFont="1" applyFill="1" applyBorder="1" applyAlignment="1" applyProtection="1">
      <alignment horizontal="right" vertical="center" wrapText="1"/>
      <protection locked="0"/>
    </xf>
    <xf numFmtId="165" fontId="2" fillId="3" borderId="51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47" xfId="1" applyNumberFormat="1" applyFont="1" applyFill="1" applyBorder="1" applyAlignment="1" applyProtection="1">
      <alignment horizontal="right" vertical="center" wrapText="1"/>
      <protection locked="0"/>
    </xf>
    <xf numFmtId="164" fontId="3" fillId="3" borderId="4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44" xfId="1" applyNumberFormat="1" applyFont="1" applyFill="1" applyBorder="1" applyAlignment="1" applyProtection="1">
      <alignment horizontal="left" vertical="center" wrapText="1"/>
    </xf>
    <xf numFmtId="164" fontId="2" fillId="3" borderId="16" xfId="1" applyNumberFormat="1" applyFont="1" applyFill="1" applyBorder="1" applyAlignment="1" applyProtection="1">
      <alignment horizontal="right" vertical="center" wrapText="1"/>
      <protection locked="0"/>
    </xf>
    <xf numFmtId="164" fontId="2" fillId="3" borderId="45" xfId="1" applyNumberFormat="1" applyFont="1" applyFill="1" applyBorder="1" applyAlignment="1" applyProtection="1">
      <alignment horizontal="right" vertical="center" wrapText="1"/>
      <protection locked="0"/>
    </xf>
    <xf numFmtId="165" fontId="2" fillId="3" borderId="46" xfId="1" applyNumberFormat="1" applyFont="1" applyFill="1" applyBorder="1" applyAlignment="1" applyProtection="1">
      <alignment horizontal="right" vertical="center" wrapText="1"/>
      <protection locked="0"/>
    </xf>
    <xf numFmtId="164" fontId="2" fillId="3" borderId="15" xfId="1" applyNumberFormat="1" applyFont="1" applyFill="1" applyBorder="1" applyAlignment="1" applyProtection="1">
      <alignment horizontal="right" vertical="center" wrapText="1"/>
      <protection locked="0"/>
    </xf>
    <xf numFmtId="165" fontId="2" fillId="3" borderId="16" xfId="1" applyNumberFormat="1" applyFont="1" applyFill="1" applyBorder="1" applyAlignment="1" applyProtection="1">
      <alignment horizontal="right" vertical="center" wrapText="1"/>
      <protection locked="0"/>
    </xf>
    <xf numFmtId="165" fontId="2" fillId="3" borderId="45" xfId="1" applyNumberFormat="1" applyFont="1" applyFill="1" applyBorder="1" applyAlignment="1" applyProtection="1">
      <alignment horizontal="right" vertical="center" wrapText="1"/>
      <protection locked="0"/>
    </xf>
    <xf numFmtId="165" fontId="2" fillId="3" borderId="7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4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2" xfId="1" applyNumberFormat="1" applyFont="1" applyFill="1" applyBorder="1" applyAlignment="1" applyProtection="1">
      <alignment horizontal="left" vertical="center" wrapText="1"/>
      <protection locked="0"/>
    </xf>
    <xf numFmtId="164" fontId="3" fillId="4" borderId="3" xfId="1" applyNumberFormat="1" applyFont="1" applyFill="1" applyBorder="1" applyAlignment="1" applyProtection="1">
      <alignment horizontal="right" vertical="center" wrapText="1"/>
      <protection locked="0"/>
    </xf>
    <xf numFmtId="165" fontId="3" fillId="4" borderId="8" xfId="1" applyNumberFormat="1" applyFont="1" applyFill="1" applyBorder="1" applyAlignment="1" applyProtection="1">
      <alignment horizontal="right" vertical="center" wrapText="1"/>
      <protection locked="0"/>
    </xf>
    <xf numFmtId="16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164" fontId="3" fillId="3" borderId="9" xfId="1" applyNumberFormat="1" applyFont="1" applyFill="1" applyBorder="1" applyAlignment="1" applyProtection="1">
      <alignment horizontal="right" vertical="center" wrapText="1"/>
      <protection locked="0"/>
    </xf>
    <xf numFmtId="3" fontId="3" fillId="3" borderId="4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7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3" fillId="3" borderId="8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24" xfId="1" applyNumberFormat="1" applyFont="1" applyFill="1" applyBorder="1" applyAlignment="1" applyProtection="1">
      <alignment horizontal="right" vertical="center" wrapText="1"/>
      <protection locked="0"/>
    </xf>
    <xf numFmtId="3" fontId="3" fillId="3" borderId="12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29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7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24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12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1" applyNumberFormat="1" applyFont="1" applyFill="1" applyBorder="1" applyAlignment="1" applyProtection="1">
      <alignment horizontal="left" vertical="center" wrapText="1"/>
    </xf>
    <xf numFmtId="164" fontId="3" fillId="0" borderId="0" xfId="0" applyNumberFormat="1" applyFont="1" applyFill="1"/>
    <xf numFmtId="0" fontId="3" fillId="0" borderId="0" xfId="0" applyFont="1" applyFill="1"/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29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3" fillId="3" borderId="26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12" xfId="1" applyNumberFormat="1" applyFont="1" applyFill="1" applyBorder="1" applyAlignment="1" applyProtection="1">
      <alignment horizontal="right" vertical="center" wrapText="1"/>
      <protection locked="0"/>
    </xf>
    <xf numFmtId="3" fontId="2" fillId="3" borderId="15" xfId="1" applyNumberFormat="1" applyFont="1" applyFill="1" applyBorder="1" applyAlignment="1" applyProtection="1">
      <alignment horizontal="right" vertical="center" wrapText="1"/>
      <protection locked="0"/>
    </xf>
    <xf numFmtId="166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45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47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0" fontId="4" fillId="3" borderId="44" xfId="0" applyFont="1" applyFill="1" applyBorder="1" applyAlignment="1">
      <alignment wrapText="1"/>
    </xf>
    <xf numFmtId="164" fontId="3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41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42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42" xfId="1" applyNumberFormat="1" applyFont="1" applyFill="1" applyBorder="1" applyAlignment="1" applyProtection="1">
      <alignment horizontal="right" vertical="center" wrapText="1"/>
      <protection locked="0"/>
    </xf>
    <xf numFmtId="3" fontId="3" fillId="3" borderId="42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43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41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44" xfId="0" applyFont="1" applyFill="1" applyBorder="1"/>
    <xf numFmtId="1" fontId="2" fillId="0" borderId="13" xfId="0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 applyProtection="1">
      <alignment horizontal="left" vertical="center" wrapText="1"/>
      <protection locked="0"/>
    </xf>
    <xf numFmtId="1" fontId="3" fillId="0" borderId="13" xfId="0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 applyProtection="1">
      <alignment horizontal="left" vertical="center" wrapText="1"/>
      <protection locked="0"/>
    </xf>
    <xf numFmtId="3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/>
      <protection locked="0"/>
    </xf>
    <xf numFmtId="1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Fill="1" applyBorder="1" applyAlignment="1">
      <alignment horizontal="right" vertical="center"/>
    </xf>
    <xf numFmtId="164" fontId="4" fillId="0" borderId="25" xfId="1" applyNumberFormat="1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>
      <alignment horizontal="right" vertical="center"/>
    </xf>
    <xf numFmtId="1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4" xfId="0" applyNumberFormat="1" applyFont="1" applyFill="1" applyBorder="1" applyAlignment="1">
      <alignment horizontal="right" vertical="center"/>
    </xf>
    <xf numFmtId="3" fontId="3" fillId="4" borderId="3" xfId="1" applyNumberFormat="1" applyFont="1" applyFill="1" applyBorder="1" applyAlignment="1" applyProtection="1">
      <alignment horizontal="right" vertical="center" wrapText="1"/>
      <protection locked="0"/>
    </xf>
    <xf numFmtId="3" fontId="3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2" xfId="1" applyNumberFormat="1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 applyProtection="1">
      <alignment horizontal="right" vertical="center" wrapText="1"/>
    </xf>
    <xf numFmtId="164" fontId="3" fillId="3" borderId="3" xfId="1" applyNumberFormat="1" applyFont="1" applyFill="1" applyBorder="1" applyAlignment="1" applyProtection="1">
      <alignment horizontal="right" vertical="center" wrapText="1"/>
    </xf>
    <xf numFmtId="164" fontId="3" fillId="5" borderId="2" xfId="1" applyNumberFormat="1" applyFont="1" applyFill="1" applyBorder="1" applyAlignment="1" applyProtection="1">
      <alignment horizontal="left" vertical="center" wrapText="1"/>
      <protection locked="0"/>
    </xf>
    <xf numFmtId="164" fontId="3" fillId="5" borderId="3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2" fillId="0" borderId="48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28" xfId="1" applyNumberFormat="1" applyFont="1" applyFill="1" applyBorder="1" applyAlignment="1" applyProtection="1">
      <alignment horizontal="left" vertical="center" wrapText="1"/>
      <protection locked="0"/>
    </xf>
    <xf numFmtId="3" fontId="2" fillId="3" borderId="12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44" xfId="1" applyNumberFormat="1" applyFont="1" applyFill="1" applyBorder="1" applyAlignment="1" applyProtection="1">
      <alignment vertical="center" wrapText="1"/>
    </xf>
    <xf numFmtId="164" fontId="2" fillId="3" borderId="13" xfId="1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tabSelected="1" topLeftCell="B127" zoomScaleNormal="100" workbookViewId="0">
      <selection activeCell="M42" sqref="M42"/>
    </sheetView>
  </sheetViews>
  <sheetFormatPr defaultRowHeight="33.75" customHeight="1" x14ac:dyDescent="0.25"/>
  <cols>
    <col min="1" max="1" width="68.5703125" style="1" customWidth="1"/>
    <col min="2" max="2" width="11.42578125" style="1" customWidth="1"/>
    <col min="3" max="5" width="11.28515625" style="1" customWidth="1"/>
    <col min="6" max="9" width="12.42578125" style="1" customWidth="1"/>
    <col min="10" max="10" width="8.85546875" style="1" customWidth="1"/>
    <col min="11" max="11" width="12.42578125" style="1" customWidth="1"/>
    <col min="12" max="12" width="12.140625" style="1" customWidth="1"/>
    <col min="13" max="13" width="11.28515625" style="197" customWidth="1"/>
    <col min="14" max="14" width="10.7109375" style="1" customWidth="1"/>
    <col min="15" max="15" width="9.140625" style="1"/>
    <col min="16" max="16" width="9.28515625" style="1" bestFit="1" customWidth="1"/>
    <col min="17" max="259" width="9.140625" style="1"/>
    <col min="260" max="260" width="68.5703125" style="1" customWidth="1"/>
    <col min="261" max="261" width="11.42578125" style="1" customWidth="1"/>
    <col min="262" max="263" width="11.28515625" style="1" customWidth="1"/>
    <col min="264" max="267" width="12.42578125" style="1" customWidth="1"/>
    <col min="268" max="268" width="16" style="1" customWidth="1"/>
    <col min="269" max="269" width="17" style="1" customWidth="1"/>
    <col min="270" max="270" width="10.7109375" style="1" customWidth="1"/>
    <col min="271" max="271" width="9.140625" style="1"/>
    <col min="272" max="272" width="9.28515625" style="1" bestFit="1" customWidth="1"/>
    <col min="273" max="515" width="9.140625" style="1"/>
    <col min="516" max="516" width="68.5703125" style="1" customWidth="1"/>
    <col min="517" max="517" width="11.42578125" style="1" customWidth="1"/>
    <col min="518" max="519" width="11.28515625" style="1" customWidth="1"/>
    <col min="520" max="523" width="12.42578125" style="1" customWidth="1"/>
    <col min="524" max="524" width="16" style="1" customWidth="1"/>
    <col min="525" max="525" width="17" style="1" customWidth="1"/>
    <col min="526" max="526" width="10.7109375" style="1" customWidth="1"/>
    <col min="527" max="527" width="9.140625" style="1"/>
    <col min="528" max="528" width="9.28515625" style="1" bestFit="1" customWidth="1"/>
    <col min="529" max="771" width="9.140625" style="1"/>
    <col min="772" max="772" width="68.5703125" style="1" customWidth="1"/>
    <col min="773" max="773" width="11.42578125" style="1" customWidth="1"/>
    <col min="774" max="775" width="11.28515625" style="1" customWidth="1"/>
    <col min="776" max="779" width="12.42578125" style="1" customWidth="1"/>
    <col min="780" max="780" width="16" style="1" customWidth="1"/>
    <col min="781" max="781" width="17" style="1" customWidth="1"/>
    <col min="782" max="782" width="10.7109375" style="1" customWidth="1"/>
    <col min="783" max="783" width="9.140625" style="1"/>
    <col min="784" max="784" width="9.28515625" style="1" bestFit="1" customWidth="1"/>
    <col min="785" max="1027" width="9.140625" style="1"/>
    <col min="1028" max="1028" width="68.5703125" style="1" customWidth="1"/>
    <col min="1029" max="1029" width="11.42578125" style="1" customWidth="1"/>
    <col min="1030" max="1031" width="11.28515625" style="1" customWidth="1"/>
    <col min="1032" max="1035" width="12.42578125" style="1" customWidth="1"/>
    <col min="1036" max="1036" width="16" style="1" customWidth="1"/>
    <col min="1037" max="1037" width="17" style="1" customWidth="1"/>
    <col min="1038" max="1038" width="10.7109375" style="1" customWidth="1"/>
    <col min="1039" max="1039" width="9.140625" style="1"/>
    <col min="1040" max="1040" width="9.28515625" style="1" bestFit="1" customWidth="1"/>
    <col min="1041" max="1283" width="9.140625" style="1"/>
    <col min="1284" max="1284" width="68.5703125" style="1" customWidth="1"/>
    <col min="1285" max="1285" width="11.42578125" style="1" customWidth="1"/>
    <col min="1286" max="1287" width="11.28515625" style="1" customWidth="1"/>
    <col min="1288" max="1291" width="12.42578125" style="1" customWidth="1"/>
    <col min="1292" max="1292" width="16" style="1" customWidth="1"/>
    <col min="1293" max="1293" width="17" style="1" customWidth="1"/>
    <col min="1294" max="1294" width="10.7109375" style="1" customWidth="1"/>
    <col min="1295" max="1295" width="9.140625" style="1"/>
    <col min="1296" max="1296" width="9.28515625" style="1" bestFit="1" customWidth="1"/>
    <col min="1297" max="1539" width="9.140625" style="1"/>
    <col min="1540" max="1540" width="68.5703125" style="1" customWidth="1"/>
    <col min="1541" max="1541" width="11.42578125" style="1" customWidth="1"/>
    <col min="1542" max="1543" width="11.28515625" style="1" customWidth="1"/>
    <col min="1544" max="1547" width="12.42578125" style="1" customWidth="1"/>
    <col min="1548" max="1548" width="16" style="1" customWidth="1"/>
    <col min="1549" max="1549" width="17" style="1" customWidth="1"/>
    <col min="1550" max="1550" width="10.7109375" style="1" customWidth="1"/>
    <col min="1551" max="1551" width="9.140625" style="1"/>
    <col min="1552" max="1552" width="9.28515625" style="1" bestFit="1" customWidth="1"/>
    <col min="1553" max="1795" width="9.140625" style="1"/>
    <col min="1796" max="1796" width="68.5703125" style="1" customWidth="1"/>
    <col min="1797" max="1797" width="11.42578125" style="1" customWidth="1"/>
    <col min="1798" max="1799" width="11.28515625" style="1" customWidth="1"/>
    <col min="1800" max="1803" width="12.42578125" style="1" customWidth="1"/>
    <col min="1804" max="1804" width="16" style="1" customWidth="1"/>
    <col min="1805" max="1805" width="17" style="1" customWidth="1"/>
    <col min="1806" max="1806" width="10.7109375" style="1" customWidth="1"/>
    <col min="1807" max="1807" width="9.140625" style="1"/>
    <col min="1808" max="1808" width="9.28515625" style="1" bestFit="1" customWidth="1"/>
    <col min="1809" max="2051" width="9.140625" style="1"/>
    <col min="2052" max="2052" width="68.5703125" style="1" customWidth="1"/>
    <col min="2053" max="2053" width="11.42578125" style="1" customWidth="1"/>
    <col min="2054" max="2055" width="11.28515625" style="1" customWidth="1"/>
    <col min="2056" max="2059" width="12.42578125" style="1" customWidth="1"/>
    <col min="2060" max="2060" width="16" style="1" customWidth="1"/>
    <col min="2061" max="2061" width="17" style="1" customWidth="1"/>
    <col min="2062" max="2062" width="10.7109375" style="1" customWidth="1"/>
    <col min="2063" max="2063" width="9.140625" style="1"/>
    <col min="2064" max="2064" width="9.28515625" style="1" bestFit="1" customWidth="1"/>
    <col min="2065" max="2307" width="9.140625" style="1"/>
    <col min="2308" max="2308" width="68.5703125" style="1" customWidth="1"/>
    <col min="2309" max="2309" width="11.42578125" style="1" customWidth="1"/>
    <col min="2310" max="2311" width="11.28515625" style="1" customWidth="1"/>
    <col min="2312" max="2315" width="12.42578125" style="1" customWidth="1"/>
    <col min="2316" max="2316" width="16" style="1" customWidth="1"/>
    <col min="2317" max="2317" width="17" style="1" customWidth="1"/>
    <col min="2318" max="2318" width="10.7109375" style="1" customWidth="1"/>
    <col min="2319" max="2319" width="9.140625" style="1"/>
    <col min="2320" max="2320" width="9.28515625" style="1" bestFit="1" customWidth="1"/>
    <col min="2321" max="2563" width="9.140625" style="1"/>
    <col min="2564" max="2564" width="68.5703125" style="1" customWidth="1"/>
    <col min="2565" max="2565" width="11.42578125" style="1" customWidth="1"/>
    <col min="2566" max="2567" width="11.28515625" style="1" customWidth="1"/>
    <col min="2568" max="2571" width="12.42578125" style="1" customWidth="1"/>
    <col min="2572" max="2572" width="16" style="1" customWidth="1"/>
    <col min="2573" max="2573" width="17" style="1" customWidth="1"/>
    <col min="2574" max="2574" width="10.7109375" style="1" customWidth="1"/>
    <col min="2575" max="2575" width="9.140625" style="1"/>
    <col min="2576" max="2576" width="9.28515625" style="1" bestFit="1" customWidth="1"/>
    <col min="2577" max="2819" width="9.140625" style="1"/>
    <col min="2820" max="2820" width="68.5703125" style="1" customWidth="1"/>
    <col min="2821" max="2821" width="11.42578125" style="1" customWidth="1"/>
    <col min="2822" max="2823" width="11.28515625" style="1" customWidth="1"/>
    <col min="2824" max="2827" width="12.42578125" style="1" customWidth="1"/>
    <col min="2828" max="2828" width="16" style="1" customWidth="1"/>
    <col min="2829" max="2829" width="17" style="1" customWidth="1"/>
    <col min="2830" max="2830" width="10.7109375" style="1" customWidth="1"/>
    <col min="2831" max="2831" width="9.140625" style="1"/>
    <col min="2832" max="2832" width="9.28515625" style="1" bestFit="1" customWidth="1"/>
    <col min="2833" max="3075" width="9.140625" style="1"/>
    <col min="3076" max="3076" width="68.5703125" style="1" customWidth="1"/>
    <col min="3077" max="3077" width="11.42578125" style="1" customWidth="1"/>
    <col min="3078" max="3079" width="11.28515625" style="1" customWidth="1"/>
    <col min="3080" max="3083" width="12.42578125" style="1" customWidth="1"/>
    <col min="3084" max="3084" width="16" style="1" customWidth="1"/>
    <col min="3085" max="3085" width="17" style="1" customWidth="1"/>
    <col min="3086" max="3086" width="10.7109375" style="1" customWidth="1"/>
    <col min="3087" max="3087" width="9.140625" style="1"/>
    <col min="3088" max="3088" width="9.28515625" style="1" bestFit="1" customWidth="1"/>
    <col min="3089" max="3331" width="9.140625" style="1"/>
    <col min="3332" max="3332" width="68.5703125" style="1" customWidth="1"/>
    <col min="3333" max="3333" width="11.42578125" style="1" customWidth="1"/>
    <col min="3334" max="3335" width="11.28515625" style="1" customWidth="1"/>
    <col min="3336" max="3339" width="12.42578125" style="1" customWidth="1"/>
    <col min="3340" max="3340" width="16" style="1" customWidth="1"/>
    <col min="3341" max="3341" width="17" style="1" customWidth="1"/>
    <col min="3342" max="3342" width="10.7109375" style="1" customWidth="1"/>
    <col min="3343" max="3343" width="9.140625" style="1"/>
    <col min="3344" max="3344" width="9.28515625" style="1" bestFit="1" customWidth="1"/>
    <col min="3345" max="3587" width="9.140625" style="1"/>
    <col min="3588" max="3588" width="68.5703125" style="1" customWidth="1"/>
    <col min="3589" max="3589" width="11.42578125" style="1" customWidth="1"/>
    <col min="3590" max="3591" width="11.28515625" style="1" customWidth="1"/>
    <col min="3592" max="3595" width="12.42578125" style="1" customWidth="1"/>
    <col min="3596" max="3596" width="16" style="1" customWidth="1"/>
    <col min="3597" max="3597" width="17" style="1" customWidth="1"/>
    <col min="3598" max="3598" width="10.7109375" style="1" customWidth="1"/>
    <col min="3599" max="3599" width="9.140625" style="1"/>
    <col min="3600" max="3600" width="9.28515625" style="1" bestFit="1" customWidth="1"/>
    <col min="3601" max="3843" width="9.140625" style="1"/>
    <col min="3844" max="3844" width="68.5703125" style="1" customWidth="1"/>
    <col min="3845" max="3845" width="11.42578125" style="1" customWidth="1"/>
    <col min="3846" max="3847" width="11.28515625" style="1" customWidth="1"/>
    <col min="3848" max="3851" width="12.42578125" style="1" customWidth="1"/>
    <col min="3852" max="3852" width="16" style="1" customWidth="1"/>
    <col min="3853" max="3853" width="17" style="1" customWidth="1"/>
    <col min="3854" max="3854" width="10.7109375" style="1" customWidth="1"/>
    <col min="3855" max="3855" width="9.140625" style="1"/>
    <col min="3856" max="3856" width="9.28515625" style="1" bestFit="1" customWidth="1"/>
    <col min="3857" max="4099" width="9.140625" style="1"/>
    <col min="4100" max="4100" width="68.5703125" style="1" customWidth="1"/>
    <col min="4101" max="4101" width="11.42578125" style="1" customWidth="1"/>
    <col min="4102" max="4103" width="11.28515625" style="1" customWidth="1"/>
    <col min="4104" max="4107" width="12.42578125" style="1" customWidth="1"/>
    <col min="4108" max="4108" width="16" style="1" customWidth="1"/>
    <col min="4109" max="4109" width="17" style="1" customWidth="1"/>
    <col min="4110" max="4110" width="10.7109375" style="1" customWidth="1"/>
    <col min="4111" max="4111" width="9.140625" style="1"/>
    <col min="4112" max="4112" width="9.28515625" style="1" bestFit="1" customWidth="1"/>
    <col min="4113" max="4355" width="9.140625" style="1"/>
    <col min="4356" max="4356" width="68.5703125" style="1" customWidth="1"/>
    <col min="4357" max="4357" width="11.42578125" style="1" customWidth="1"/>
    <col min="4358" max="4359" width="11.28515625" style="1" customWidth="1"/>
    <col min="4360" max="4363" width="12.42578125" style="1" customWidth="1"/>
    <col min="4364" max="4364" width="16" style="1" customWidth="1"/>
    <col min="4365" max="4365" width="17" style="1" customWidth="1"/>
    <col min="4366" max="4366" width="10.7109375" style="1" customWidth="1"/>
    <col min="4367" max="4367" width="9.140625" style="1"/>
    <col min="4368" max="4368" width="9.28515625" style="1" bestFit="1" customWidth="1"/>
    <col min="4369" max="4611" width="9.140625" style="1"/>
    <col min="4612" max="4612" width="68.5703125" style="1" customWidth="1"/>
    <col min="4613" max="4613" width="11.42578125" style="1" customWidth="1"/>
    <col min="4614" max="4615" width="11.28515625" style="1" customWidth="1"/>
    <col min="4616" max="4619" width="12.42578125" style="1" customWidth="1"/>
    <col min="4620" max="4620" width="16" style="1" customWidth="1"/>
    <col min="4621" max="4621" width="17" style="1" customWidth="1"/>
    <col min="4622" max="4622" width="10.7109375" style="1" customWidth="1"/>
    <col min="4623" max="4623" width="9.140625" style="1"/>
    <col min="4624" max="4624" width="9.28515625" style="1" bestFit="1" customWidth="1"/>
    <col min="4625" max="4867" width="9.140625" style="1"/>
    <col min="4868" max="4868" width="68.5703125" style="1" customWidth="1"/>
    <col min="4869" max="4869" width="11.42578125" style="1" customWidth="1"/>
    <col min="4870" max="4871" width="11.28515625" style="1" customWidth="1"/>
    <col min="4872" max="4875" width="12.42578125" style="1" customWidth="1"/>
    <col min="4876" max="4876" width="16" style="1" customWidth="1"/>
    <col min="4877" max="4877" width="17" style="1" customWidth="1"/>
    <col min="4878" max="4878" width="10.7109375" style="1" customWidth="1"/>
    <col min="4879" max="4879" width="9.140625" style="1"/>
    <col min="4880" max="4880" width="9.28515625" style="1" bestFit="1" customWidth="1"/>
    <col min="4881" max="5123" width="9.140625" style="1"/>
    <col min="5124" max="5124" width="68.5703125" style="1" customWidth="1"/>
    <col min="5125" max="5125" width="11.42578125" style="1" customWidth="1"/>
    <col min="5126" max="5127" width="11.28515625" style="1" customWidth="1"/>
    <col min="5128" max="5131" width="12.42578125" style="1" customWidth="1"/>
    <col min="5132" max="5132" width="16" style="1" customWidth="1"/>
    <col min="5133" max="5133" width="17" style="1" customWidth="1"/>
    <col min="5134" max="5134" width="10.7109375" style="1" customWidth="1"/>
    <col min="5135" max="5135" width="9.140625" style="1"/>
    <col min="5136" max="5136" width="9.28515625" style="1" bestFit="1" customWidth="1"/>
    <col min="5137" max="5379" width="9.140625" style="1"/>
    <col min="5380" max="5380" width="68.5703125" style="1" customWidth="1"/>
    <col min="5381" max="5381" width="11.42578125" style="1" customWidth="1"/>
    <col min="5382" max="5383" width="11.28515625" style="1" customWidth="1"/>
    <col min="5384" max="5387" width="12.42578125" style="1" customWidth="1"/>
    <col min="5388" max="5388" width="16" style="1" customWidth="1"/>
    <col min="5389" max="5389" width="17" style="1" customWidth="1"/>
    <col min="5390" max="5390" width="10.7109375" style="1" customWidth="1"/>
    <col min="5391" max="5391" width="9.140625" style="1"/>
    <col min="5392" max="5392" width="9.28515625" style="1" bestFit="1" customWidth="1"/>
    <col min="5393" max="5635" width="9.140625" style="1"/>
    <col min="5636" max="5636" width="68.5703125" style="1" customWidth="1"/>
    <col min="5637" max="5637" width="11.42578125" style="1" customWidth="1"/>
    <col min="5638" max="5639" width="11.28515625" style="1" customWidth="1"/>
    <col min="5640" max="5643" width="12.42578125" style="1" customWidth="1"/>
    <col min="5644" max="5644" width="16" style="1" customWidth="1"/>
    <col min="5645" max="5645" width="17" style="1" customWidth="1"/>
    <col min="5646" max="5646" width="10.7109375" style="1" customWidth="1"/>
    <col min="5647" max="5647" width="9.140625" style="1"/>
    <col min="5648" max="5648" width="9.28515625" style="1" bestFit="1" customWidth="1"/>
    <col min="5649" max="5891" width="9.140625" style="1"/>
    <col min="5892" max="5892" width="68.5703125" style="1" customWidth="1"/>
    <col min="5893" max="5893" width="11.42578125" style="1" customWidth="1"/>
    <col min="5894" max="5895" width="11.28515625" style="1" customWidth="1"/>
    <col min="5896" max="5899" width="12.42578125" style="1" customWidth="1"/>
    <col min="5900" max="5900" width="16" style="1" customWidth="1"/>
    <col min="5901" max="5901" width="17" style="1" customWidth="1"/>
    <col min="5902" max="5902" width="10.7109375" style="1" customWidth="1"/>
    <col min="5903" max="5903" width="9.140625" style="1"/>
    <col min="5904" max="5904" width="9.28515625" style="1" bestFit="1" customWidth="1"/>
    <col min="5905" max="6147" width="9.140625" style="1"/>
    <col min="6148" max="6148" width="68.5703125" style="1" customWidth="1"/>
    <col min="6149" max="6149" width="11.42578125" style="1" customWidth="1"/>
    <col min="6150" max="6151" width="11.28515625" style="1" customWidth="1"/>
    <col min="6152" max="6155" width="12.42578125" style="1" customWidth="1"/>
    <col min="6156" max="6156" width="16" style="1" customWidth="1"/>
    <col min="6157" max="6157" width="17" style="1" customWidth="1"/>
    <col min="6158" max="6158" width="10.7109375" style="1" customWidth="1"/>
    <col min="6159" max="6159" width="9.140625" style="1"/>
    <col min="6160" max="6160" width="9.28515625" style="1" bestFit="1" customWidth="1"/>
    <col min="6161" max="6403" width="9.140625" style="1"/>
    <col min="6404" max="6404" width="68.5703125" style="1" customWidth="1"/>
    <col min="6405" max="6405" width="11.42578125" style="1" customWidth="1"/>
    <col min="6406" max="6407" width="11.28515625" style="1" customWidth="1"/>
    <col min="6408" max="6411" width="12.42578125" style="1" customWidth="1"/>
    <col min="6412" max="6412" width="16" style="1" customWidth="1"/>
    <col min="6413" max="6413" width="17" style="1" customWidth="1"/>
    <col min="6414" max="6414" width="10.7109375" style="1" customWidth="1"/>
    <col min="6415" max="6415" width="9.140625" style="1"/>
    <col min="6416" max="6416" width="9.28515625" style="1" bestFit="1" customWidth="1"/>
    <col min="6417" max="6659" width="9.140625" style="1"/>
    <col min="6660" max="6660" width="68.5703125" style="1" customWidth="1"/>
    <col min="6661" max="6661" width="11.42578125" style="1" customWidth="1"/>
    <col min="6662" max="6663" width="11.28515625" style="1" customWidth="1"/>
    <col min="6664" max="6667" width="12.42578125" style="1" customWidth="1"/>
    <col min="6668" max="6668" width="16" style="1" customWidth="1"/>
    <col min="6669" max="6669" width="17" style="1" customWidth="1"/>
    <col min="6670" max="6670" width="10.7109375" style="1" customWidth="1"/>
    <col min="6671" max="6671" width="9.140625" style="1"/>
    <col min="6672" max="6672" width="9.28515625" style="1" bestFit="1" customWidth="1"/>
    <col min="6673" max="6915" width="9.140625" style="1"/>
    <col min="6916" max="6916" width="68.5703125" style="1" customWidth="1"/>
    <col min="6917" max="6917" width="11.42578125" style="1" customWidth="1"/>
    <col min="6918" max="6919" width="11.28515625" style="1" customWidth="1"/>
    <col min="6920" max="6923" width="12.42578125" style="1" customWidth="1"/>
    <col min="6924" max="6924" width="16" style="1" customWidth="1"/>
    <col min="6925" max="6925" width="17" style="1" customWidth="1"/>
    <col min="6926" max="6926" width="10.7109375" style="1" customWidth="1"/>
    <col min="6927" max="6927" width="9.140625" style="1"/>
    <col min="6928" max="6928" width="9.28515625" style="1" bestFit="1" customWidth="1"/>
    <col min="6929" max="7171" width="9.140625" style="1"/>
    <col min="7172" max="7172" width="68.5703125" style="1" customWidth="1"/>
    <col min="7173" max="7173" width="11.42578125" style="1" customWidth="1"/>
    <col min="7174" max="7175" width="11.28515625" style="1" customWidth="1"/>
    <col min="7176" max="7179" width="12.42578125" style="1" customWidth="1"/>
    <col min="7180" max="7180" width="16" style="1" customWidth="1"/>
    <col min="7181" max="7181" width="17" style="1" customWidth="1"/>
    <col min="7182" max="7182" width="10.7109375" style="1" customWidth="1"/>
    <col min="7183" max="7183" width="9.140625" style="1"/>
    <col min="7184" max="7184" width="9.28515625" style="1" bestFit="1" customWidth="1"/>
    <col min="7185" max="7427" width="9.140625" style="1"/>
    <col min="7428" max="7428" width="68.5703125" style="1" customWidth="1"/>
    <col min="7429" max="7429" width="11.42578125" style="1" customWidth="1"/>
    <col min="7430" max="7431" width="11.28515625" style="1" customWidth="1"/>
    <col min="7432" max="7435" width="12.42578125" style="1" customWidth="1"/>
    <col min="7436" max="7436" width="16" style="1" customWidth="1"/>
    <col min="7437" max="7437" width="17" style="1" customWidth="1"/>
    <col min="7438" max="7438" width="10.7109375" style="1" customWidth="1"/>
    <col min="7439" max="7439" width="9.140625" style="1"/>
    <col min="7440" max="7440" width="9.28515625" style="1" bestFit="1" customWidth="1"/>
    <col min="7441" max="7683" width="9.140625" style="1"/>
    <col min="7684" max="7684" width="68.5703125" style="1" customWidth="1"/>
    <col min="7685" max="7685" width="11.42578125" style="1" customWidth="1"/>
    <col min="7686" max="7687" width="11.28515625" style="1" customWidth="1"/>
    <col min="7688" max="7691" width="12.42578125" style="1" customWidth="1"/>
    <col min="7692" max="7692" width="16" style="1" customWidth="1"/>
    <col min="7693" max="7693" width="17" style="1" customWidth="1"/>
    <col min="7694" max="7694" width="10.7109375" style="1" customWidth="1"/>
    <col min="7695" max="7695" width="9.140625" style="1"/>
    <col min="7696" max="7696" width="9.28515625" style="1" bestFit="1" customWidth="1"/>
    <col min="7697" max="7939" width="9.140625" style="1"/>
    <col min="7940" max="7940" width="68.5703125" style="1" customWidth="1"/>
    <col min="7941" max="7941" width="11.42578125" style="1" customWidth="1"/>
    <col min="7942" max="7943" width="11.28515625" style="1" customWidth="1"/>
    <col min="7944" max="7947" width="12.42578125" style="1" customWidth="1"/>
    <col min="7948" max="7948" width="16" style="1" customWidth="1"/>
    <col min="7949" max="7949" width="17" style="1" customWidth="1"/>
    <col min="7950" max="7950" width="10.7109375" style="1" customWidth="1"/>
    <col min="7951" max="7951" width="9.140625" style="1"/>
    <col min="7952" max="7952" width="9.28515625" style="1" bestFit="1" customWidth="1"/>
    <col min="7953" max="8195" width="9.140625" style="1"/>
    <col min="8196" max="8196" width="68.5703125" style="1" customWidth="1"/>
    <col min="8197" max="8197" width="11.42578125" style="1" customWidth="1"/>
    <col min="8198" max="8199" width="11.28515625" style="1" customWidth="1"/>
    <col min="8200" max="8203" width="12.42578125" style="1" customWidth="1"/>
    <col min="8204" max="8204" width="16" style="1" customWidth="1"/>
    <col min="8205" max="8205" width="17" style="1" customWidth="1"/>
    <col min="8206" max="8206" width="10.7109375" style="1" customWidth="1"/>
    <col min="8207" max="8207" width="9.140625" style="1"/>
    <col min="8208" max="8208" width="9.28515625" style="1" bestFit="1" customWidth="1"/>
    <col min="8209" max="8451" width="9.140625" style="1"/>
    <col min="8452" max="8452" width="68.5703125" style="1" customWidth="1"/>
    <col min="8453" max="8453" width="11.42578125" style="1" customWidth="1"/>
    <col min="8454" max="8455" width="11.28515625" style="1" customWidth="1"/>
    <col min="8456" max="8459" width="12.42578125" style="1" customWidth="1"/>
    <col min="8460" max="8460" width="16" style="1" customWidth="1"/>
    <col min="8461" max="8461" width="17" style="1" customWidth="1"/>
    <col min="8462" max="8462" width="10.7109375" style="1" customWidth="1"/>
    <col min="8463" max="8463" width="9.140625" style="1"/>
    <col min="8464" max="8464" width="9.28515625" style="1" bestFit="1" customWidth="1"/>
    <col min="8465" max="8707" width="9.140625" style="1"/>
    <col min="8708" max="8708" width="68.5703125" style="1" customWidth="1"/>
    <col min="8709" max="8709" width="11.42578125" style="1" customWidth="1"/>
    <col min="8710" max="8711" width="11.28515625" style="1" customWidth="1"/>
    <col min="8712" max="8715" width="12.42578125" style="1" customWidth="1"/>
    <col min="8716" max="8716" width="16" style="1" customWidth="1"/>
    <col min="8717" max="8717" width="17" style="1" customWidth="1"/>
    <col min="8718" max="8718" width="10.7109375" style="1" customWidth="1"/>
    <col min="8719" max="8719" width="9.140625" style="1"/>
    <col min="8720" max="8720" width="9.28515625" style="1" bestFit="1" customWidth="1"/>
    <col min="8721" max="8963" width="9.140625" style="1"/>
    <col min="8964" max="8964" width="68.5703125" style="1" customWidth="1"/>
    <col min="8965" max="8965" width="11.42578125" style="1" customWidth="1"/>
    <col min="8966" max="8967" width="11.28515625" style="1" customWidth="1"/>
    <col min="8968" max="8971" width="12.42578125" style="1" customWidth="1"/>
    <col min="8972" max="8972" width="16" style="1" customWidth="1"/>
    <col min="8973" max="8973" width="17" style="1" customWidth="1"/>
    <col min="8974" max="8974" width="10.7109375" style="1" customWidth="1"/>
    <col min="8975" max="8975" width="9.140625" style="1"/>
    <col min="8976" max="8976" width="9.28515625" style="1" bestFit="1" customWidth="1"/>
    <col min="8977" max="9219" width="9.140625" style="1"/>
    <col min="9220" max="9220" width="68.5703125" style="1" customWidth="1"/>
    <col min="9221" max="9221" width="11.42578125" style="1" customWidth="1"/>
    <col min="9222" max="9223" width="11.28515625" style="1" customWidth="1"/>
    <col min="9224" max="9227" width="12.42578125" style="1" customWidth="1"/>
    <col min="9228" max="9228" width="16" style="1" customWidth="1"/>
    <col min="9229" max="9229" width="17" style="1" customWidth="1"/>
    <col min="9230" max="9230" width="10.7109375" style="1" customWidth="1"/>
    <col min="9231" max="9231" width="9.140625" style="1"/>
    <col min="9232" max="9232" width="9.28515625" style="1" bestFit="1" customWidth="1"/>
    <col min="9233" max="9475" width="9.140625" style="1"/>
    <col min="9476" max="9476" width="68.5703125" style="1" customWidth="1"/>
    <col min="9477" max="9477" width="11.42578125" style="1" customWidth="1"/>
    <col min="9478" max="9479" width="11.28515625" style="1" customWidth="1"/>
    <col min="9480" max="9483" width="12.42578125" style="1" customWidth="1"/>
    <col min="9484" max="9484" width="16" style="1" customWidth="1"/>
    <col min="9485" max="9485" width="17" style="1" customWidth="1"/>
    <col min="9486" max="9486" width="10.7109375" style="1" customWidth="1"/>
    <col min="9487" max="9487" width="9.140625" style="1"/>
    <col min="9488" max="9488" width="9.28515625" style="1" bestFit="1" customWidth="1"/>
    <col min="9489" max="9731" width="9.140625" style="1"/>
    <col min="9732" max="9732" width="68.5703125" style="1" customWidth="1"/>
    <col min="9733" max="9733" width="11.42578125" style="1" customWidth="1"/>
    <col min="9734" max="9735" width="11.28515625" style="1" customWidth="1"/>
    <col min="9736" max="9739" width="12.42578125" style="1" customWidth="1"/>
    <col min="9740" max="9740" width="16" style="1" customWidth="1"/>
    <col min="9741" max="9741" width="17" style="1" customWidth="1"/>
    <col min="9742" max="9742" width="10.7109375" style="1" customWidth="1"/>
    <col min="9743" max="9743" width="9.140625" style="1"/>
    <col min="9744" max="9744" width="9.28515625" style="1" bestFit="1" customWidth="1"/>
    <col min="9745" max="9987" width="9.140625" style="1"/>
    <col min="9988" max="9988" width="68.5703125" style="1" customWidth="1"/>
    <col min="9989" max="9989" width="11.42578125" style="1" customWidth="1"/>
    <col min="9990" max="9991" width="11.28515625" style="1" customWidth="1"/>
    <col min="9992" max="9995" width="12.42578125" style="1" customWidth="1"/>
    <col min="9996" max="9996" width="16" style="1" customWidth="1"/>
    <col min="9997" max="9997" width="17" style="1" customWidth="1"/>
    <col min="9998" max="9998" width="10.7109375" style="1" customWidth="1"/>
    <col min="9999" max="9999" width="9.140625" style="1"/>
    <col min="10000" max="10000" width="9.28515625" style="1" bestFit="1" customWidth="1"/>
    <col min="10001" max="10243" width="9.140625" style="1"/>
    <col min="10244" max="10244" width="68.5703125" style="1" customWidth="1"/>
    <col min="10245" max="10245" width="11.42578125" style="1" customWidth="1"/>
    <col min="10246" max="10247" width="11.28515625" style="1" customWidth="1"/>
    <col min="10248" max="10251" width="12.42578125" style="1" customWidth="1"/>
    <col min="10252" max="10252" width="16" style="1" customWidth="1"/>
    <col min="10253" max="10253" width="17" style="1" customWidth="1"/>
    <col min="10254" max="10254" width="10.7109375" style="1" customWidth="1"/>
    <col min="10255" max="10255" width="9.140625" style="1"/>
    <col min="10256" max="10256" width="9.28515625" style="1" bestFit="1" customWidth="1"/>
    <col min="10257" max="10499" width="9.140625" style="1"/>
    <col min="10500" max="10500" width="68.5703125" style="1" customWidth="1"/>
    <col min="10501" max="10501" width="11.42578125" style="1" customWidth="1"/>
    <col min="10502" max="10503" width="11.28515625" style="1" customWidth="1"/>
    <col min="10504" max="10507" width="12.42578125" style="1" customWidth="1"/>
    <col min="10508" max="10508" width="16" style="1" customWidth="1"/>
    <col min="10509" max="10509" width="17" style="1" customWidth="1"/>
    <col min="10510" max="10510" width="10.7109375" style="1" customWidth="1"/>
    <col min="10511" max="10511" width="9.140625" style="1"/>
    <col min="10512" max="10512" width="9.28515625" style="1" bestFit="1" customWidth="1"/>
    <col min="10513" max="10755" width="9.140625" style="1"/>
    <col min="10756" max="10756" width="68.5703125" style="1" customWidth="1"/>
    <col min="10757" max="10757" width="11.42578125" style="1" customWidth="1"/>
    <col min="10758" max="10759" width="11.28515625" style="1" customWidth="1"/>
    <col min="10760" max="10763" width="12.42578125" style="1" customWidth="1"/>
    <col min="10764" max="10764" width="16" style="1" customWidth="1"/>
    <col min="10765" max="10765" width="17" style="1" customWidth="1"/>
    <col min="10766" max="10766" width="10.7109375" style="1" customWidth="1"/>
    <col min="10767" max="10767" width="9.140625" style="1"/>
    <col min="10768" max="10768" width="9.28515625" style="1" bestFit="1" customWidth="1"/>
    <col min="10769" max="11011" width="9.140625" style="1"/>
    <col min="11012" max="11012" width="68.5703125" style="1" customWidth="1"/>
    <col min="11013" max="11013" width="11.42578125" style="1" customWidth="1"/>
    <col min="11014" max="11015" width="11.28515625" style="1" customWidth="1"/>
    <col min="11016" max="11019" width="12.42578125" style="1" customWidth="1"/>
    <col min="11020" max="11020" width="16" style="1" customWidth="1"/>
    <col min="11021" max="11021" width="17" style="1" customWidth="1"/>
    <col min="11022" max="11022" width="10.7109375" style="1" customWidth="1"/>
    <col min="11023" max="11023" width="9.140625" style="1"/>
    <col min="11024" max="11024" width="9.28515625" style="1" bestFit="1" customWidth="1"/>
    <col min="11025" max="11267" width="9.140625" style="1"/>
    <col min="11268" max="11268" width="68.5703125" style="1" customWidth="1"/>
    <col min="11269" max="11269" width="11.42578125" style="1" customWidth="1"/>
    <col min="11270" max="11271" width="11.28515625" style="1" customWidth="1"/>
    <col min="11272" max="11275" width="12.42578125" style="1" customWidth="1"/>
    <col min="11276" max="11276" width="16" style="1" customWidth="1"/>
    <col min="11277" max="11277" width="17" style="1" customWidth="1"/>
    <col min="11278" max="11278" width="10.7109375" style="1" customWidth="1"/>
    <col min="11279" max="11279" width="9.140625" style="1"/>
    <col min="11280" max="11280" width="9.28515625" style="1" bestFit="1" customWidth="1"/>
    <col min="11281" max="11523" width="9.140625" style="1"/>
    <col min="11524" max="11524" width="68.5703125" style="1" customWidth="1"/>
    <col min="11525" max="11525" width="11.42578125" style="1" customWidth="1"/>
    <col min="11526" max="11527" width="11.28515625" style="1" customWidth="1"/>
    <col min="11528" max="11531" width="12.42578125" style="1" customWidth="1"/>
    <col min="11532" max="11532" width="16" style="1" customWidth="1"/>
    <col min="11533" max="11533" width="17" style="1" customWidth="1"/>
    <col min="11534" max="11534" width="10.7109375" style="1" customWidth="1"/>
    <col min="11535" max="11535" width="9.140625" style="1"/>
    <col min="11536" max="11536" width="9.28515625" style="1" bestFit="1" customWidth="1"/>
    <col min="11537" max="11779" width="9.140625" style="1"/>
    <col min="11780" max="11780" width="68.5703125" style="1" customWidth="1"/>
    <col min="11781" max="11781" width="11.42578125" style="1" customWidth="1"/>
    <col min="11782" max="11783" width="11.28515625" style="1" customWidth="1"/>
    <col min="11784" max="11787" width="12.42578125" style="1" customWidth="1"/>
    <col min="11788" max="11788" width="16" style="1" customWidth="1"/>
    <col min="11789" max="11789" width="17" style="1" customWidth="1"/>
    <col min="11790" max="11790" width="10.7109375" style="1" customWidth="1"/>
    <col min="11791" max="11791" width="9.140625" style="1"/>
    <col min="11792" max="11792" width="9.28515625" style="1" bestFit="1" customWidth="1"/>
    <col min="11793" max="12035" width="9.140625" style="1"/>
    <col min="12036" max="12036" width="68.5703125" style="1" customWidth="1"/>
    <col min="12037" max="12037" width="11.42578125" style="1" customWidth="1"/>
    <col min="12038" max="12039" width="11.28515625" style="1" customWidth="1"/>
    <col min="12040" max="12043" width="12.42578125" style="1" customWidth="1"/>
    <col min="12044" max="12044" width="16" style="1" customWidth="1"/>
    <col min="12045" max="12045" width="17" style="1" customWidth="1"/>
    <col min="12046" max="12046" width="10.7109375" style="1" customWidth="1"/>
    <col min="12047" max="12047" width="9.140625" style="1"/>
    <col min="12048" max="12048" width="9.28515625" style="1" bestFit="1" customWidth="1"/>
    <col min="12049" max="12291" width="9.140625" style="1"/>
    <col min="12292" max="12292" width="68.5703125" style="1" customWidth="1"/>
    <col min="12293" max="12293" width="11.42578125" style="1" customWidth="1"/>
    <col min="12294" max="12295" width="11.28515625" style="1" customWidth="1"/>
    <col min="12296" max="12299" width="12.42578125" style="1" customWidth="1"/>
    <col min="12300" max="12300" width="16" style="1" customWidth="1"/>
    <col min="12301" max="12301" width="17" style="1" customWidth="1"/>
    <col min="12302" max="12302" width="10.7109375" style="1" customWidth="1"/>
    <col min="12303" max="12303" width="9.140625" style="1"/>
    <col min="12304" max="12304" width="9.28515625" style="1" bestFit="1" customWidth="1"/>
    <col min="12305" max="12547" width="9.140625" style="1"/>
    <col min="12548" max="12548" width="68.5703125" style="1" customWidth="1"/>
    <col min="12549" max="12549" width="11.42578125" style="1" customWidth="1"/>
    <col min="12550" max="12551" width="11.28515625" style="1" customWidth="1"/>
    <col min="12552" max="12555" width="12.42578125" style="1" customWidth="1"/>
    <col min="12556" max="12556" width="16" style="1" customWidth="1"/>
    <col min="12557" max="12557" width="17" style="1" customWidth="1"/>
    <col min="12558" max="12558" width="10.7109375" style="1" customWidth="1"/>
    <col min="12559" max="12559" width="9.140625" style="1"/>
    <col min="12560" max="12560" width="9.28515625" style="1" bestFit="1" customWidth="1"/>
    <col min="12561" max="12803" width="9.140625" style="1"/>
    <col min="12804" max="12804" width="68.5703125" style="1" customWidth="1"/>
    <col min="12805" max="12805" width="11.42578125" style="1" customWidth="1"/>
    <col min="12806" max="12807" width="11.28515625" style="1" customWidth="1"/>
    <col min="12808" max="12811" width="12.42578125" style="1" customWidth="1"/>
    <col min="12812" max="12812" width="16" style="1" customWidth="1"/>
    <col min="12813" max="12813" width="17" style="1" customWidth="1"/>
    <col min="12814" max="12814" width="10.7109375" style="1" customWidth="1"/>
    <col min="12815" max="12815" width="9.140625" style="1"/>
    <col min="12816" max="12816" width="9.28515625" style="1" bestFit="1" customWidth="1"/>
    <col min="12817" max="13059" width="9.140625" style="1"/>
    <col min="13060" max="13060" width="68.5703125" style="1" customWidth="1"/>
    <col min="13061" max="13061" width="11.42578125" style="1" customWidth="1"/>
    <col min="13062" max="13063" width="11.28515625" style="1" customWidth="1"/>
    <col min="13064" max="13067" width="12.42578125" style="1" customWidth="1"/>
    <col min="13068" max="13068" width="16" style="1" customWidth="1"/>
    <col min="13069" max="13069" width="17" style="1" customWidth="1"/>
    <col min="13070" max="13070" width="10.7109375" style="1" customWidth="1"/>
    <col min="13071" max="13071" width="9.140625" style="1"/>
    <col min="13072" max="13072" width="9.28515625" style="1" bestFit="1" customWidth="1"/>
    <col min="13073" max="13315" width="9.140625" style="1"/>
    <col min="13316" max="13316" width="68.5703125" style="1" customWidth="1"/>
    <col min="13317" max="13317" width="11.42578125" style="1" customWidth="1"/>
    <col min="13318" max="13319" width="11.28515625" style="1" customWidth="1"/>
    <col min="13320" max="13323" width="12.42578125" style="1" customWidth="1"/>
    <col min="13324" max="13324" width="16" style="1" customWidth="1"/>
    <col min="13325" max="13325" width="17" style="1" customWidth="1"/>
    <col min="13326" max="13326" width="10.7109375" style="1" customWidth="1"/>
    <col min="13327" max="13327" width="9.140625" style="1"/>
    <col min="13328" max="13328" width="9.28515625" style="1" bestFit="1" customWidth="1"/>
    <col min="13329" max="13571" width="9.140625" style="1"/>
    <col min="13572" max="13572" width="68.5703125" style="1" customWidth="1"/>
    <col min="13573" max="13573" width="11.42578125" style="1" customWidth="1"/>
    <col min="13574" max="13575" width="11.28515625" style="1" customWidth="1"/>
    <col min="13576" max="13579" width="12.42578125" style="1" customWidth="1"/>
    <col min="13580" max="13580" width="16" style="1" customWidth="1"/>
    <col min="13581" max="13581" width="17" style="1" customWidth="1"/>
    <col min="13582" max="13582" width="10.7109375" style="1" customWidth="1"/>
    <col min="13583" max="13583" width="9.140625" style="1"/>
    <col min="13584" max="13584" width="9.28515625" style="1" bestFit="1" customWidth="1"/>
    <col min="13585" max="13827" width="9.140625" style="1"/>
    <col min="13828" max="13828" width="68.5703125" style="1" customWidth="1"/>
    <col min="13829" max="13829" width="11.42578125" style="1" customWidth="1"/>
    <col min="13830" max="13831" width="11.28515625" style="1" customWidth="1"/>
    <col min="13832" max="13835" width="12.42578125" style="1" customWidth="1"/>
    <col min="13836" max="13836" width="16" style="1" customWidth="1"/>
    <col min="13837" max="13837" width="17" style="1" customWidth="1"/>
    <col min="13838" max="13838" width="10.7109375" style="1" customWidth="1"/>
    <col min="13839" max="13839" width="9.140625" style="1"/>
    <col min="13840" max="13840" width="9.28515625" style="1" bestFit="1" customWidth="1"/>
    <col min="13841" max="14083" width="9.140625" style="1"/>
    <col min="14084" max="14084" width="68.5703125" style="1" customWidth="1"/>
    <col min="14085" max="14085" width="11.42578125" style="1" customWidth="1"/>
    <col min="14086" max="14087" width="11.28515625" style="1" customWidth="1"/>
    <col min="14088" max="14091" width="12.42578125" style="1" customWidth="1"/>
    <col min="14092" max="14092" width="16" style="1" customWidth="1"/>
    <col min="14093" max="14093" width="17" style="1" customWidth="1"/>
    <col min="14094" max="14094" width="10.7109375" style="1" customWidth="1"/>
    <col min="14095" max="14095" width="9.140625" style="1"/>
    <col min="14096" max="14096" width="9.28515625" style="1" bestFit="1" customWidth="1"/>
    <col min="14097" max="14339" width="9.140625" style="1"/>
    <col min="14340" max="14340" width="68.5703125" style="1" customWidth="1"/>
    <col min="14341" max="14341" width="11.42578125" style="1" customWidth="1"/>
    <col min="14342" max="14343" width="11.28515625" style="1" customWidth="1"/>
    <col min="14344" max="14347" width="12.42578125" style="1" customWidth="1"/>
    <col min="14348" max="14348" width="16" style="1" customWidth="1"/>
    <col min="14349" max="14349" width="17" style="1" customWidth="1"/>
    <col min="14350" max="14350" width="10.7109375" style="1" customWidth="1"/>
    <col min="14351" max="14351" width="9.140625" style="1"/>
    <col min="14352" max="14352" width="9.28515625" style="1" bestFit="1" customWidth="1"/>
    <col min="14353" max="14595" width="9.140625" style="1"/>
    <col min="14596" max="14596" width="68.5703125" style="1" customWidth="1"/>
    <col min="14597" max="14597" width="11.42578125" style="1" customWidth="1"/>
    <col min="14598" max="14599" width="11.28515625" style="1" customWidth="1"/>
    <col min="14600" max="14603" width="12.42578125" style="1" customWidth="1"/>
    <col min="14604" max="14604" width="16" style="1" customWidth="1"/>
    <col min="14605" max="14605" width="17" style="1" customWidth="1"/>
    <col min="14606" max="14606" width="10.7109375" style="1" customWidth="1"/>
    <col min="14607" max="14607" width="9.140625" style="1"/>
    <col min="14608" max="14608" width="9.28515625" style="1" bestFit="1" customWidth="1"/>
    <col min="14609" max="14851" width="9.140625" style="1"/>
    <col min="14852" max="14852" width="68.5703125" style="1" customWidth="1"/>
    <col min="14853" max="14853" width="11.42578125" style="1" customWidth="1"/>
    <col min="14854" max="14855" width="11.28515625" style="1" customWidth="1"/>
    <col min="14856" max="14859" width="12.42578125" style="1" customWidth="1"/>
    <col min="14860" max="14860" width="16" style="1" customWidth="1"/>
    <col min="14861" max="14861" width="17" style="1" customWidth="1"/>
    <col min="14862" max="14862" width="10.7109375" style="1" customWidth="1"/>
    <col min="14863" max="14863" width="9.140625" style="1"/>
    <col min="14864" max="14864" width="9.28515625" style="1" bestFit="1" customWidth="1"/>
    <col min="14865" max="15107" width="9.140625" style="1"/>
    <col min="15108" max="15108" width="68.5703125" style="1" customWidth="1"/>
    <col min="15109" max="15109" width="11.42578125" style="1" customWidth="1"/>
    <col min="15110" max="15111" width="11.28515625" style="1" customWidth="1"/>
    <col min="15112" max="15115" width="12.42578125" style="1" customWidth="1"/>
    <col min="15116" max="15116" width="16" style="1" customWidth="1"/>
    <col min="15117" max="15117" width="17" style="1" customWidth="1"/>
    <col min="15118" max="15118" width="10.7109375" style="1" customWidth="1"/>
    <col min="15119" max="15119" width="9.140625" style="1"/>
    <col min="15120" max="15120" width="9.28515625" style="1" bestFit="1" customWidth="1"/>
    <col min="15121" max="15363" width="9.140625" style="1"/>
    <col min="15364" max="15364" width="68.5703125" style="1" customWidth="1"/>
    <col min="15365" max="15365" width="11.42578125" style="1" customWidth="1"/>
    <col min="15366" max="15367" width="11.28515625" style="1" customWidth="1"/>
    <col min="15368" max="15371" width="12.42578125" style="1" customWidth="1"/>
    <col min="15372" max="15372" width="16" style="1" customWidth="1"/>
    <col min="15373" max="15373" width="17" style="1" customWidth="1"/>
    <col min="15374" max="15374" width="10.7109375" style="1" customWidth="1"/>
    <col min="15375" max="15375" width="9.140625" style="1"/>
    <col min="15376" max="15376" width="9.28515625" style="1" bestFit="1" customWidth="1"/>
    <col min="15377" max="15619" width="9.140625" style="1"/>
    <col min="15620" max="15620" width="68.5703125" style="1" customWidth="1"/>
    <col min="15621" max="15621" width="11.42578125" style="1" customWidth="1"/>
    <col min="15622" max="15623" width="11.28515625" style="1" customWidth="1"/>
    <col min="15624" max="15627" width="12.42578125" style="1" customWidth="1"/>
    <col min="15628" max="15628" width="16" style="1" customWidth="1"/>
    <col min="15629" max="15629" width="17" style="1" customWidth="1"/>
    <col min="15630" max="15630" width="10.7109375" style="1" customWidth="1"/>
    <col min="15631" max="15631" width="9.140625" style="1"/>
    <col min="15632" max="15632" width="9.28515625" style="1" bestFit="1" customWidth="1"/>
    <col min="15633" max="15875" width="9.140625" style="1"/>
    <col min="15876" max="15876" width="68.5703125" style="1" customWidth="1"/>
    <col min="15877" max="15877" width="11.42578125" style="1" customWidth="1"/>
    <col min="15878" max="15879" width="11.28515625" style="1" customWidth="1"/>
    <col min="15880" max="15883" width="12.42578125" style="1" customWidth="1"/>
    <col min="15884" max="15884" width="16" style="1" customWidth="1"/>
    <col min="15885" max="15885" width="17" style="1" customWidth="1"/>
    <col min="15886" max="15886" width="10.7109375" style="1" customWidth="1"/>
    <col min="15887" max="15887" width="9.140625" style="1"/>
    <col min="15888" max="15888" width="9.28515625" style="1" bestFit="1" customWidth="1"/>
    <col min="15889" max="16131" width="9.140625" style="1"/>
    <col min="16132" max="16132" width="68.5703125" style="1" customWidth="1"/>
    <col min="16133" max="16133" width="11.42578125" style="1" customWidth="1"/>
    <col min="16134" max="16135" width="11.28515625" style="1" customWidth="1"/>
    <col min="16136" max="16139" width="12.42578125" style="1" customWidth="1"/>
    <col min="16140" max="16140" width="16" style="1" customWidth="1"/>
    <col min="16141" max="16141" width="17" style="1" customWidth="1"/>
    <col min="16142" max="16142" width="10.7109375" style="1" customWidth="1"/>
    <col min="16143" max="16143" width="9.140625" style="1"/>
    <col min="16144" max="16144" width="9.28515625" style="1" bestFit="1" customWidth="1"/>
    <col min="16145" max="16384" width="9.140625" style="1"/>
  </cols>
  <sheetData>
    <row r="1" spans="1:17" ht="33.75" customHeight="1" x14ac:dyDescent="0.25">
      <c r="L1" s="2" t="s">
        <v>123</v>
      </c>
      <c r="M1" s="2"/>
    </row>
    <row r="2" spans="1:17" ht="33.7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33.75" customHeight="1" thickBo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 t="s">
        <v>1</v>
      </c>
      <c r="N3" s="8"/>
      <c r="O3" s="8"/>
      <c r="P3" s="8"/>
    </row>
    <row r="4" spans="1:17" ht="79.5" customHeight="1" thickBot="1" x14ac:dyDescent="0.3">
      <c r="A4" s="9" t="s">
        <v>2</v>
      </c>
      <c r="B4" s="10" t="s">
        <v>3</v>
      </c>
      <c r="C4" s="10" t="s">
        <v>4</v>
      </c>
      <c r="D4" s="10" t="s">
        <v>5</v>
      </c>
      <c r="E4" s="10" t="s">
        <v>122</v>
      </c>
      <c r="F4" s="10" t="s">
        <v>113</v>
      </c>
      <c r="G4" s="11" t="s">
        <v>6</v>
      </c>
      <c r="H4" s="11" t="s">
        <v>114</v>
      </c>
      <c r="I4" s="11" t="s">
        <v>115</v>
      </c>
      <c r="J4" s="11" t="s">
        <v>116</v>
      </c>
      <c r="K4" s="11" t="s">
        <v>7</v>
      </c>
      <c r="L4" s="11" t="s">
        <v>118</v>
      </c>
      <c r="M4" s="12" t="s">
        <v>8</v>
      </c>
    </row>
    <row r="5" spans="1:17" ht="33.75" customHeight="1" thickBot="1" x14ac:dyDescent="0.3">
      <c r="A5" s="13">
        <v>1</v>
      </c>
      <c r="B5" s="14">
        <v>2</v>
      </c>
      <c r="C5" s="14">
        <v>3</v>
      </c>
      <c r="D5" s="14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6">
        <v>13</v>
      </c>
    </row>
    <row r="6" spans="1:17" ht="33.75" customHeight="1" thickBot="1" x14ac:dyDescent="0.3">
      <c r="A6" s="17" t="s">
        <v>9</v>
      </c>
      <c r="B6" s="18"/>
      <c r="C6" s="18"/>
      <c r="D6" s="18"/>
      <c r="E6" s="19"/>
      <c r="F6" s="19"/>
      <c r="G6" s="19"/>
      <c r="H6" s="19"/>
      <c r="I6" s="19"/>
      <c r="J6" s="19"/>
      <c r="K6" s="19"/>
      <c r="L6" s="19"/>
      <c r="M6" s="20"/>
    </row>
    <row r="7" spans="1:17" ht="33.75" customHeight="1" x14ac:dyDescent="0.25">
      <c r="A7" s="21" t="s">
        <v>10</v>
      </c>
      <c r="B7" s="22"/>
      <c r="C7" s="22"/>
      <c r="D7" s="22"/>
      <c r="E7" s="23"/>
      <c r="F7" s="23"/>
      <c r="G7" s="23"/>
      <c r="H7" s="23"/>
      <c r="I7" s="23"/>
      <c r="J7" s="23"/>
      <c r="K7" s="23"/>
      <c r="L7" s="23"/>
      <c r="M7" s="24"/>
    </row>
    <row r="8" spans="1:17" ht="20.100000000000001" customHeight="1" x14ac:dyDescent="0.25">
      <c r="A8" s="25" t="s">
        <v>11</v>
      </c>
      <c r="B8" s="26">
        <v>8000</v>
      </c>
      <c r="C8" s="27">
        <v>2015</v>
      </c>
      <c r="D8" s="27"/>
      <c r="E8" s="28">
        <v>8000</v>
      </c>
      <c r="F8" s="29">
        <v>8000</v>
      </c>
      <c r="G8" s="30">
        <v>0</v>
      </c>
      <c r="H8" s="29">
        <f>SUM(F8:G8)</f>
        <v>8000</v>
      </c>
      <c r="I8" s="29">
        <v>7037</v>
      </c>
      <c r="J8" s="31">
        <f>I8/H8*100</f>
        <v>87.962500000000006</v>
      </c>
      <c r="K8" s="32">
        <v>0</v>
      </c>
      <c r="L8" s="32">
        <v>0</v>
      </c>
      <c r="M8" s="33">
        <v>0</v>
      </c>
    </row>
    <row r="9" spans="1:17" ht="20.100000000000001" customHeight="1" x14ac:dyDescent="0.25">
      <c r="A9" s="34" t="s">
        <v>12</v>
      </c>
      <c r="B9" s="35">
        <v>0</v>
      </c>
      <c r="C9" s="36" t="s">
        <v>13</v>
      </c>
      <c r="D9" s="36"/>
      <c r="E9" s="37"/>
      <c r="F9" s="38">
        <v>0</v>
      </c>
      <c r="G9" s="39">
        <v>0</v>
      </c>
      <c r="H9" s="38">
        <v>0</v>
      </c>
      <c r="I9" s="38"/>
      <c r="J9" s="40"/>
      <c r="K9" s="41"/>
      <c r="L9" s="41"/>
      <c r="M9" s="42"/>
    </row>
    <row r="10" spans="1:17" ht="20.100000000000001" customHeight="1" thickBot="1" x14ac:dyDescent="0.3">
      <c r="A10" s="43" t="s">
        <v>119</v>
      </c>
      <c r="B10" s="44">
        <v>156</v>
      </c>
      <c r="C10" s="45" t="s">
        <v>13</v>
      </c>
      <c r="D10" s="45"/>
      <c r="E10" s="46"/>
      <c r="F10" s="47"/>
      <c r="G10" s="48"/>
      <c r="H10" s="47"/>
      <c r="I10" s="47">
        <v>155</v>
      </c>
      <c r="J10" s="49"/>
      <c r="K10" s="50"/>
      <c r="L10" s="50"/>
      <c r="M10" s="51"/>
    </row>
    <row r="11" spans="1:17" ht="20.100000000000001" customHeight="1" thickBot="1" x14ac:dyDescent="0.3">
      <c r="A11" s="52" t="s">
        <v>14</v>
      </c>
      <c r="B11" s="53">
        <f>SUM(B8:B10)</f>
        <v>8156</v>
      </c>
      <c r="C11" s="18"/>
      <c r="D11" s="18"/>
      <c r="E11" s="19">
        <f>SUM(E8:E9)</f>
        <v>8000</v>
      </c>
      <c r="F11" s="54">
        <f>SUM(F8:F9)</f>
        <v>8000</v>
      </c>
      <c r="G11" s="19">
        <f>SUM(G8)</f>
        <v>0</v>
      </c>
      <c r="H11" s="54">
        <f>SUM(H8:H9)</f>
        <v>8000</v>
      </c>
      <c r="I11" s="54">
        <f>SUM(I8:I10)</f>
        <v>7192</v>
      </c>
      <c r="J11" s="55">
        <f t="shared" ref="J11" si="0">I11/H11*100</f>
        <v>89.9</v>
      </c>
      <c r="K11" s="19">
        <f>SUM(K8)</f>
        <v>0</v>
      </c>
      <c r="L11" s="19">
        <f>SUM(L8)</f>
        <v>0</v>
      </c>
      <c r="M11" s="56">
        <f>SUM(M8)</f>
        <v>0</v>
      </c>
    </row>
    <row r="12" spans="1:17" ht="20.100000000000001" customHeight="1" x14ac:dyDescent="0.25">
      <c r="A12" s="21" t="s">
        <v>15</v>
      </c>
      <c r="B12" s="57"/>
      <c r="C12" s="45"/>
      <c r="D12" s="57"/>
      <c r="E12" s="58"/>
      <c r="F12" s="58"/>
      <c r="G12" s="58"/>
      <c r="H12" s="58"/>
      <c r="I12" s="58"/>
      <c r="J12" s="58"/>
      <c r="K12" s="58"/>
      <c r="L12" s="58"/>
      <c r="M12" s="59"/>
      <c r="N12" s="60"/>
    </row>
    <row r="13" spans="1:17" ht="33.75" customHeight="1" x14ac:dyDescent="0.25">
      <c r="A13" s="61" t="s">
        <v>16</v>
      </c>
      <c r="B13" s="62">
        <f>SUM(B14:B15)</f>
        <v>313611</v>
      </c>
      <c r="C13" s="63" t="s">
        <v>17</v>
      </c>
      <c r="D13" s="62">
        <v>29945</v>
      </c>
      <c r="E13" s="64">
        <v>259209</v>
      </c>
      <c r="F13" s="64">
        <f>SUM(F14)</f>
        <v>224390</v>
      </c>
      <c r="G13" s="64">
        <f t="shared" ref="G13" si="1">SUM(G14)</f>
        <v>9276</v>
      </c>
      <c r="H13" s="64">
        <f>SUM(H14:H15)</f>
        <v>283666</v>
      </c>
      <c r="I13" s="64">
        <f>SUM(I14:I15)</f>
        <v>282296</v>
      </c>
      <c r="J13" s="65">
        <f>I13/H13*100</f>
        <v>99.517037642861666</v>
      </c>
      <c r="K13" s="66">
        <v>0</v>
      </c>
      <c r="L13" s="64">
        <v>244226</v>
      </c>
      <c r="M13" s="67">
        <v>234352</v>
      </c>
      <c r="N13" s="60"/>
      <c r="P13" s="60"/>
      <c r="Q13" s="60"/>
    </row>
    <row r="14" spans="1:17" ht="20.100000000000001" customHeight="1" x14ac:dyDescent="0.25">
      <c r="A14" s="68" t="s">
        <v>18</v>
      </c>
      <c r="B14" s="69">
        <v>263611</v>
      </c>
      <c r="C14" s="70"/>
      <c r="D14" s="71">
        <v>29945</v>
      </c>
      <c r="E14" s="71">
        <v>259209</v>
      </c>
      <c r="F14" s="72">
        <v>224390</v>
      </c>
      <c r="G14" s="72">
        <v>9276</v>
      </c>
      <c r="H14" s="72">
        <f>SUM(F14:G14)</f>
        <v>233666</v>
      </c>
      <c r="I14" s="72">
        <v>233666</v>
      </c>
      <c r="J14" s="73">
        <f t="shared" ref="J14:J19" si="2">I14/H14*100</f>
        <v>100</v>
      </c>
      <c r="K14" s="74"/>
      <c r="L14" s="75"/>
      <c r="M14" s="59"/>
      <c r="N14" s="60"/>
      <c r="P14" s="60"/>
      <c r="Q14" s="60"/>
    </row>
    <row r="15" spans="1:17" ht="33.75" customHeight="1" thickBot="1" x14ac:dyDescent="0.3">
      <c r="A15" s="76" t="s">
        <v>117</v>
      </c>
      <c r="B15" s="77">
        <v>50000</v>
      </c>
      <c r="C15" s="78"/>
      <c r="D15" s="79"/>
      <c r="E15" s="79"/>
      <c r="F15" s="80">
        <v>0</v>
      </c>
      <c r="G15" s="80">
        <v>50000</v>
      </c>
      <c r="H15" s="80">
        <f>SUM(F15:G15)</f>
        <v>50000</v>
      </c>
      <c r="I15" s="80">
        <v>48630</v>
      </c>
      <c r="J15" s="81">
        <f t="shared" si="2"/>
        <v>97.26</v>
      </c>
      <c r="K15" s="82"/>
      <c r="L15" s="83"/>
      <c r="M15" s="84"/>
      <c r="N15" s="60"/>
      <c r="P15" s="60"/>
      <c r="Q15" s="60"/>
    </row>
    <row r="16" spans="1:17" ht="20.100000000000001" customHeight="1" thickBot="1" x14ac:dyDescent="0.3">
      <c r="A16" s="85" t="s">
        <v>111</v>
      </c>
      <c r="B16" s="86">
        <v>326</v>
      </c>
      <c r="C16" s="87" t="s">
        <v>13</v>
      </c>
      <c r="D16" s="88"/>
      <c r="E16" s="88"/>
      <c r="F16" s="88">
        <v>326</v>
      </c>
      <c r="G16" s="88"/>
      <c r="H16" s="88">
        <f>SUM(F16:G16)</f>
        <v>326</v>
      </c>
      <c r="I16" s="88">
        <v>326</v>
      </c>
      <c r="J16" s="81">
        <f t="shared" si="2"/>
        <v>100</v>
      </c>
      <c r="K16" s="89"/>
      <c r="L16" s="90"/>
      <c r="M16" s="91"/>
      <c r="N16" s="60"/>
      <c r="P16" s="60"/>
      <c r="Q16" s="60"/>
    </row>
    <row r="17" spans="1:17" ht="20.100000000000001" customHeight="1" thickBot="1" x14ac:dyDescent="0.3">
      <c r="A17" s="68" t="s">
        <v>112</v>
      </c>
      <c r="B17" s="92">
        <v>20</v>
      </c>
      <c r="C17" s="87" t="s">
        <v>13</v>
      </c>
      <c r="D17" s="88"/>
      <c r="E17" s="88"/>
      <c r="F17" s="88">
        <v>20</v>
      </c>
      <c r="G17" s="88"/>
      <c r="H17" s="80">
        <f>SUM(F17:G17)</f>
        <v>20</v>
      </c>
      <c r="I17" s="72">
        <v>20</v>
      </c>
      <c r="J17" s="93">
        <f t="shared" si="2"/>
        <v>100</v>
      </c>
      <c r="K17" s="74"/>
      <c r="L17" s="75"/>
      <c r="M17" s="59"/>
      <c r="N17" s="60"/>
      <c r="P17" s="60"/>
      <c r="Q17" s="60"/>
    </row>
    <row r="18" spans="1:17" ht="20.100000000000001" customHeight="1" thickBot="1" x14ac:dyDescent="0.3">
      <c r="A18" s="94" t="s">
        <v>20</v>
      </c>
      <c r="B18" s="95">
        <f>SUM(B14,B16,B17)</f>
        <v>263957</v>
      </c>
      <c r="C18" s="95">
        <f t="shared" ref="C18:H18" si="3">SUM(C14,C16,C17)</f>
        <v>0</v>
      </c>
      <c r="D18" s="95">
        <f t="shared" si="3"/>
        <v>29945</v>
      </c>
      <c r="E18" s="95">
        <f>SUM(E13)</f>
        <v>259209</v>
      </c>
      <c r="F18" s="95">
        <f t="shared" si="3"/>
        <v>224736</v>
      </c>
      <c r="G18" s="95">
        <f t="shared" si="3"/>
        <v>9276</v>
      </c>
      <c r="H18" s="53">
        <f t="shared" si="3"/>
        <v>234012</v>
      </c>
      <c r="I18" s="96">
        <f>SUM(I17,I16,I14)</f>
        <v>234012</v>
      </c>
      <c r="J18" s="93">
        <f t="shared" si="2"/>
        <v>100</v>
      </c>
      <c r="K18" s="97">
        <f>SUM(K13)</f>
        <v>0</v>
      </c>
      <c r="L18" s="97">
        <f>SUM(L13)</f>
        <v>244226</v>
      </c>
      <c r="M18" s="98">
        <f>SUM(M13)</f>
        <v>234352</v>
      </c>
    </row>
    <row r="19" spans="1:17" ht="20.100000000000001" customHeight="1" thickBot="1" x14ac:dyDescent="0.3">
      <c r="A19" s="94" t="s">
        <v>21</v>
      </c>
      <c r="B19" s="95">
        <f t="shared" ref="B19:I19" si="4">SUM(B15)</f>
        <v>50000</v>
      </c>
      <c r="C19" s="95">
        <f t="shared" si="4"/>
        <v>0</v>
      </c>
      <c r="D19" s="95">
        <f t="shared" si="4"/>
        <v>0</v>
      </c>
      <c r="E19" s="95">
        <f>SUM(E18)</f>
        <v>259209</v>
      </c>
      <c r="F19" s="95">
        <f t="shared" si="4"/>
        <v>0</v>
      </c>
      <c r="G19" s="95">
        <f t="shared" si="4"/>
        <v>50000</v>
      </c>
      <c r="H19" s="53">
        <f t="shared" si="4"/>
        <v>50000</v>
      </c>
      <c r="I19" s="53">
        <f t="shared" si="4"/>
        <v>48630</v>
      </c>
      <c r="J19" s="99">
        <f t="shared" si="2"/>
        <v>97.26</v>
      </c>
      <c r="K19" s="100"/>
      <c r="L19" s="100"/>
      <c r="M19" s="101"/>
    </row>
    <row r="20" spans="1:17" ht="20.100000000000001" customHeight="1" x14ac:dyDescent="0.25">
      <c r="A20" s="102" t="s">
        <v>22</v>
      </c>
      <c r="B20" s="103"/>
      <c r="C20" s="104"/>
      <c r="D20" s="105"/>
      <c r="E20" s="106"/>
      <c r="F20" s="107"/>
      <c r="G20" s="107"/>
      <c r="H20" s="107"/>
      <c r="I20" s="107"/>
      <c r="J20" s="107"/>
      <c r="K20" s="107"/>
      <c r="L20" s="107"/>
      <c r="M20" s="108"/>
    </row>
    <row r="21" spans="1:17" ht="45.75" customHeight="1" x14ac:dyDescent="0.25">
      <c r="A21" s="109" t="s">
        <v>23</v>
      </c>
      <c r="B21" s="57">
        <f>1120151+126350+32400-15-23837</f>
        <v>1255049</v>
      </c>
      <c r="C21" s="45" t="s">
        <v>24</v>
      </c>
      <c r="D21" s="57">
        <v>718198</v>
      </c>
      <c r="E21" s="57">
        <f>SUM(E22)</f>
        <v>401953</v>
      </c>
      <c r="F21" s="57">
        <f>286395+125000-15-23837</f>
        <v>387543</v>
      </c>
      <c r="G21" s="57">
        <f>115558+33750</f>
        <v>149308</v>
      </c>
      <c r="H21" s="57">
        <f>SUM(F21:G21)</f>
        <v>536851</v>
      </c>
      <c r="I21" s="57">
        <f>SUM(I22:I23)</f>
        <v>402142</v>
      </c>
      <c r="J21" s="110">
        <f>I21/H21*100</f>
        <v>74.907562806067233</v>
      </c>
      <c r="K21" s="57">
        <f>118755+33750</f>
        <v>152505</v>
      </c>
      <c r="L21" s="45" t="s">
        <v>25</v>
      </c>
      <c r="M21" s="111" t="s">
        <v>26</v>
      </c>
      <c r="P21" s="60"/>
      <c r="Q21" s="60"/>
    </row>
    <row r="22" spans="1:17" ht="20.100000000000001" customHeight="1" x14ac:dyDescent="0.25">
      <c r="A22" s="68" t="s">
        <v>18</v>
      </c>
      <c r="B22" s="112">
        <f>(B21-B23)-107250-15-23837</f>
        <v>894297</v>
      </c>
      <c r="C22" s="113"/>
      <c r="D22" s="112">
        <f>D21-107250</f>
        <v>610948</v>
      </c>
      <c r="E22" s="114">
        <v>401953</v>
      </c>
      <c r="F22" s="58">
        <f>286395+125000-15-23837</f>
        <v>387543</v>
      </c>
      <c r="G22" s="58">
        <f>25558+1350</f>
        <v>26908</v>
      </c>
      <c r="H22" s="58">
        <f>SUM(F22:G22)</f>
        <v>414451</v>
      </c>
      <c r="I22" s="58">
        <v>331577</v>
      </c>
      <c r="J22" s="110">
        <f t="shared" ref="J22:J23" si="5">I22/H22*100</f>
        <v>80.003908785357012</v>
      </c>
      <c r="K22" s="58">
        <v>29354</v>
      </c>
      <c r="L22" s="46">
        <v>271911</v>
      </c>
      <c r="M22" s="111">
        <v>245128</v>
      </c>
      <c r="P22" s="60"/>
      <c r="Q22" s="60"/>
    </row>
    <row r="23" spans="1:17" ht="20.100000000000001" customHeight="1" thickBot="1" x14ac:dyDescent="0.3">
      <c r="A23" s="76" t="s">
        <v>19</v>
      </c>
      <c r="B23" s="115">
        <f>90000+32400+107250</f>
        <v>229650</v>
      </c>
      <c r="C23" s="116"/>
      <c r="D23" s="115">
        <v>107250</v>
      </c>
      <c r="E23" s="117"/>
      <c r="F23" s="118"/>
      <c r="G23" s="118">
        <f>90000+32400</f>
        <v>122400</v>
      </c>
      <c r="H23" s="118">
        <f>SUM(F23:G23)</f>
        <v>122400</v>
      </c>
      <c r="I23" s="118">
        <v>70565</v>
      </c>
      <c r="J23" s="49">
        <f t="shared" si="5"/>
        <v>57.651143790849666</v>
      </c>
      <c r="K23" s="118"/>
      <c r="L23" s="119"/>
      <c r="M23" s="120"/>
      <c r="P23" s="60"/>
      <c r="Q23" s="60"/>
    </row>
    <row r="24" spans="1:17" ht="20.100000000000001" customHeight="1" thickBot="1" x14ac:dyDescent="0.3">
      <c r="A24" s="68" t="s">
        <v>27</v>
      </c>
      <c r="B24" s="44">
        <v>0</v>
      </c>
      <c r="C24" s="45" t="s">
        <v>13</v>
      </c>
      <c r="D24" s="57"/>
      <c r="E24" s="58"/>
      <c r="F24" s="47">
        <v>0</v>
      </c>
      <c r="G24" s="47">
        <v>0</v>
      </c>
      <c r="H24" s="47">
        <f>SUM(F24:G24)</f>
        <v>0</v>
      </c>
      <c r="I24" s="47">
        <v>120</v>
      </c>
      <c r="J24" s="47"/>
      <c r="K24" s="58"/>
      <c r="L24" s="119"/>
      <c r="M24" s="120"/>
      <c r="P24" s="60"/>
      <c r="Q24" s="60"/>
    </row>
    <row r="25" spans="1:17" ht="20.100000000000001" customHeight="1" thickBot="1" x14ac:dyDescent="0.3">
      <c r="A25" s="94" t="s">
        <v>20</v>
      </c>
      <c r="B25" s="53">
        <f t="shared" ref="B25:H25" si="6">SUM(B22,B24)</f>
        <v>894297</v>
      </c>
      <c r="C25" s="53">
        <f t="shared" si="6"/>
        <v>0</v>
      </c>
      <c r="D25" s="53">
        <f t="shared" si="6"/>
        <v>610948</v>
      </c>
      <c r="E25" s="53">
        <f>SUM(E21)</f>
        <v>401953</v>
      </c>
      <c r="F25" s="53">
        <f t="shared" si="6"/>
        <v>387543</v>
      </c>
      <c r="G25" s="53">
        <f t="shared" si="6"/>
        <v>26908</v>
      </c>
      <c r="H25" s="53">
        <f t="shared" si="6"/>
        <v>414451</v>
      </c>
      <c r="I25" s="54">
        <f>SUM(I24,I22)</f>
        <v>331697</v>
      </c>
      <c r="J25" s="121">
        <f>I25/H25*100</f>
        <v>80.032862750964526</v>
      </c>
      <c r="K25" s="54">
        <f>SUM(K21)</f>
        <v>152505</v>
      </c>
      <c r="L25" s="54">
        <v>271911</v>
      </c>
      <c r="M25" s="98">
        <v>245128</v>
      </c>
    </row>
    <row r="26" spans="1:17" ht="20.100000000000001" customHeight="1" thickBot="1" x14ac:dyDescent="0.3">
      <c r="A26" s="52" t="s">
        <v>21</v>
      </c>
      <c r="B26" s="53">
        <f t="shared" ref="B26:I26" si="7">SUM(B23)</f>
        <v>229650</v>
      </c>
      <c r="C26" s="53">
        <f t="shared" si="7"/>
        <v>0</v>
      </c>
      <c r="D26" s="53">
        <f t="shared" si="7"/>
        <v>107250</v>
      </c>
      <c r="E26" s="53"/>
      <c r="F26" s="53">
        <f t="shared" si="7"/>
        <v>0</v>
      </c>
      <c r="G26" s="53">
        <f t="shared" si="7"/>
        <v>122400</v>
      </c>
      <c r="H26" s="53">
        <f t="shared" si="7"/>
        <v>122400</v>
      </c>
      <c r="I26" s="53">
        <f t="shared" si="7"/>
        <v>70565</v>
      </c>
      <c r="J26" s="121">
        <f>I26/H26*100</f>
        <v>57.651143790849666</v>
      </c>
      <c r="K26" s="54"/>
      <c r="L26" s="54"/>
      <c r="M26" s="98"/>
    </row>
    <row r="27" spans="1:17" ht="20.100000000000001" customHeight="1" x14ac:dyDescent="0.25">
      <c r="A27" s="21" t="s">
        <v>28</v>
      </c>
      <c r="B27" s="122"/>
      <c r="C27" s="123"/>
      <c r="D27" s="122"/>
      <c r="E27" s="92"/>
      <c r="F27" s="92"/>
      <c r="G27" s="92"/>
      <c r="H27" s="92"/>
      <c r="I27" s="92"/>
      <c r="J27" s="92"/>
      <c r="K27" s="92"/>
      <c r="L27" s="92"/>
      <c r="M27" s="59"/>
      <c r="N27" s="60"/>
    </row>
    <row r="28" spans="1:17" ht="20.100000000000001" customHeight="1" x14ac:dyDescent="0.25">
      <c r="A28" s="25" t="s">
        <v>29</v>
      </c>
      <c r="B28" s="124">
        <v>20733</v>
      </c>
      <c r="C28" s="125">
        <v>2015</v>
      </c>
      <c r="D28" s="126">
        <v>0</v>
      </c>
      <c r="E28" s="127">
        <v>20733</v>
      </c>
      <c r="F28" s="128">
        <f>16325+1127</f>
        <v>17452</v>
      </c>
      <c r="G28" s="128">
        <f>4408-1127</f>
        <v>3281</v>
      </c>
      <c r="H28" s="128">
        <f>SUM(F28:G28)</f>
        <v>20733</v>
      </c>
      <c r="I28" s="129"/>
      <c r="J28" s="128"/>
      <c r="K28" s="128">
        <v>0</v>
      </c>
      <c r="L28" s="127">
        <v>0</v>
      </c>
      <c r="M28" s="130">
        <v>0</v>
      </c>
      <c r="N28" s="60"/>
    </row>
    <row r="29" spans="1:17" ht="20.100000000000001" customHeight="1" x14ac:dyDescent="0.25">
      <c r="A29" s="34" t="s">
        <v>30</v>
      </c>
      <c r="B29" s="131">
        <v>20000</v>
      </c>
      <c r="C29" s="132" t="s">
        <v>13</v>
      </c>
      <c r="D29" s="133"/>
      <c r="E29" s="134"/>
      <c r="F29" s="135">
        <v>20000</v>
      </c>
      <c r="G29" s="135"/>
      <c r="H29" s="136">
        <f>SUM(F29:G29)</f>
        <v>20000</v>
      </c>
      <c r="I29" s="137">
        <v>5000</v>
      </c>
      <c r="J29" s="138">
        <f>I29/H29*100</f>
        <v>25</v>
      </c>
      <c r="K29" s="135"/>
      <c r="L29" s="134"/>
      <c r="M29" s="139"/>
      <c r="N29" s="60"/>
    </row>
    <row r="30" spans="1:17" ht="20.100000000000001" customHeight="1" thickBot="1" x14ac:dyDescent="0.3">
      <c r="A30" s="140" t="s">
        <v>106</v>
      </c>
      <c r="B30" s="141">
        <v>228600</v>
      </c>
      <c r="C30" s="142" t="s">
        <v>105</v>
      </c>
      <c r="D30" s="143"/>
      <c r="E30" s="144"/>
      <c r="F30" s="145">
        <v>180000</v>
      </c>
      <c r="G30" s="145">
        <v>48600</v>
      </c>
      <c r="H30" s="146">
        <f>SUM(F30:G30)</f>
        <v>228600</v>
      </c>
      <c r="I30" s="147"/>
      <c r="J30" s="148"/>
      <c r="K30" s="145"/>
      <c r="L30" s="144"/>
      <c r="M30" s="149"/>
      <c r="N30" s="60"/>
    </row>
    <row r="31" spans="1:17" ht="20.100000000000001" customHeight="1" thickBot="1" x14ac:dyDescent="0.3">
      <c r="A31" s="52" t="s">
        <v>14</v>
      </c>
      <c r="B31" s="150">
        <f>SUM(B28:B30)</f>
        <v>269333</v>
      </c>
      <c r="C31" s="150">
        <f t="shared" ref="C31:M31" si="8">SUM(C28:C30)</f>
        <v>2015</v>
      </c>
      <c r="D31" s="150">
        <f t="shared" si="8"/>
        <v>0</v>
      </c>
      <c r="E31" s="150">
        <f>SUM(E28:E30)</f>
        <v>20733</v>
      </c>
      <c r="F31" s="150">
        <f t="shared" si="8"/>
        <v>217452</v>
      </c>
      <c r="G31" s="150">
        <f t="shared" si="8"/>
        <v>51881</v>
      </c>
      <c r="H31" s="150">
        <f t="shared" si="8"/>
        <v>269333</v>
      </c>
      <c r="I31" s="150">
        <f>SUM(I28:I30)</f>
        <v>5000</v>
      </c>
      <c r="J31" s="151">
        <f>I31/H31*100</f>
        <v>1.8564379411360656</v>
      </c>
      <c r="K31" s="150">
        <f t="shared" si="8"/>
        <v>0</v>
      </c>
      <c r="L31" s="150">
        <f t="shared" si="8"/>
        <v>0</v>
      </c>
      <c r="M31" s="150">
        <f t="shared" si="8"/>
        <v>0</v>
      </c>
      <c r="N31" s="60"/>
    </row>
    <row r="32" spans="1:17" ht="20.100000000000001" customHeight="1" x14ac:dyDescent="0.25">
      <c r="A32" s="21" t="s">
        <v>31</v>
      </c>
      <c r="B32" s="152"/>
      <c r="C32" s="153"/>
      <c r="D32" s="152"/>
      <c r="E32" s="154"/>
      <c r="F32" s="154"/>
      <c r="G32" s="154"/>
      <c r="H32" s="154"/>
      <c r="I32" s="154"/>
      <c r="J32" s="154"/>
      <c r="K32" s="154"/>
      <c r="L32" s="154"/>
      <c r="M32" s="155"/>
      <c r="N32" s="60"/>
    </row>
    <row r="33" spans="1:16" ht="33.75" customHeight="1" thickBot="1" x14ac:dyDescent="0.3">
      <c r="A33" s="43" t="s">
        <v>32</v>
      </c>
      <c r="B33" s="122">
        <f>258963+50</f>
        <v>259013</v>
      </c>
      <c r="C33" s="123">
        <v>2015</v>
      </c>
      <c r="D33" s="122"/>
      <c r="E33" s="92">
        <v>258963</v>
      </c>
      <c r="F33" s="92">
        <f>203908+39</f>
        <v>203947</v>
      </c>
      <c r="G33" s="92">
        <f>55055+11</f>
        <v>55066</v>
      </c>
      <c r="H33" s="92">
        <f>SUM(F33:G33)</f>
        <v>259013</v>
      </c>
      <c r="I33" s="92">
        <v>259013</v>
      </c>
      <c r="J33" s="81">
        <f>I33/H33*100</f>
        <v>100</v>
      </c>
      <c r="K33" s="156">
        <v>0</v>
      </c>
      <c r="L33" s="92">
        <v>258933</v>
      </c>
      <c r="M33" s="157">
        <v>258933</v>
      </c>
      <c r="N33" s="60"/>
    </row>
    <row r="34" spans="1:16" ht="20.100000000000001" customHeight="1" thickBot="1" x14ac:dyDescent="0.3">
      <c r="A34" s="52" t="s">
        <v>14</v>
      </c>
      <c r="B34" s="158">
        <f>SUM(B33)</f>
        <v>259013</v>
      </c>
      <c r="C34" s="159"/>
      <c r="D34" s="158">
        <f>SUM(D33)</f>
        <v>0</v>
      </c>
      <c r="E34" s="158">
        <f>SUM(E33)</f>
        <v>258963</v>
      </c>
      <c r="F34" s="158">
        <f t="shared" ref="F34:M34" si="9">SUM(F33)</f>
        <v>203947</v>
      </c>
      <c r="G34" s="158">
        <f t="shared" si="9"/>
        <v>55066</v>
      </c>
      <c r="H34" s="158">
        <f t="shared" si="9"/>
        <v>259013</v>
      </c>
      <c r="I34" s="158">
        <f>SUM(I33)</f>
        <v>259013</v>
      </c>
      <c r="J34" s="81">
        <f>I34/H34*100</f>
        <v>100</v>
      </c>
      <c r="K34" s="158">
        <f t="shared" si="9"/>
        <v>0</v>
      </c>
      <c r="L34" s="158">
        <f t="shared" si="9"/>
        <v>258933</v>
      </c>
      <c r="M34" s="160">
        <f t="shared" si="9"/>
        <v>258933</v>
      </c>
      <c r="N34" s="60"/>
    </row>
    <row r="35" spans="1:16" ht="20.100000000000001" customHeight="1" x14ac:dyDescent="0.25">
      <c r="A35" s="21" t="s">
        <v>33</v>
      </c>
      <c r="B35" s="152"/>
      <c r="C35" s="153"/>
      <c r="D35" s="152"/>
      <c r="E35" s="154"/>
      <c r="F35" s="154"/>
      <c r="G35" s="154"/>
      <c r="H35" s="154"/>
      <c r="I35" s="154"/>
      <c r="J35" s="154"/>
      <c r="K35" s="154"/>
      <c r="L35" s="154"/>
      <c r="M35" s="160"/>
      <c r="N35" s="60"/>
    </row>
    <row r="36" spans="1:16" ht="20.100000000000001" customHeight="1" thickBot="1" x14ac:dyDescent="0.3">
      <c r="A36" s="43" t="s">
        <v>34</v>
      </c>
      <c r="B36" s="122">
        <v>15000</v>
      </c>
      <c r="C36" s="123" t="s">
        <v>35</v>
      </c>
      <c r="D36" s="162">
        <v>0</v>
      </c>
      <c r="E36" s="156">
        <v>750</v>
      </c>
      <c r="F36" s="92">
        <v>750</v>
      </c>
      <c r="G36" s="156">
        <v>0</v>
      </c>
      <c r="H36" s="92">
        <v>750</v>
      </c>
      <c r="I36" s="92"/>
      <c r="J36" s="92"/>
      <c r="K36" s="156">
        <v>0</v>
      </c>
      <c r="L36" s="156">
        <v>0</v>
      </c>
      <c r="M36" s="163">
        <v>0</v>
      </c>
      <c r="N36" s="60"/>
    </row>
    <row r="37" spans="1:16" ht="20.100000000000001" customHeight="1" thickBot="1" x14ac:dyDescent="0.3">
      <c r="A37" s="52" t="s">
        <v>14</v>
      </c>
      <c r="B37" s="158">
        <f>SUM(B36)</f>
        <v>15000</v>
      </c>
      <c r="C37" s="159"/>
      <c r="D37" s="158">
        <f>SUM(D36)</f>
        <v>0</v>
      </c>
      <c r="E37" s="158">
        <f>SUM(E36)</f>
        <v>750</v>
      </c>
      <c r="F37" s="158">
        <f t="shared" ref="F37:M37" si="10">SUM(F36)</f>
        <v>750</v>
      </c>
      <c r="G37" s="158">
        <f t="shared" si="10"/>
        <v>0</v>
      </c>
      <c r="H37" s="158">
        <f t="shared" si="10"/>
        <v>750</v>
      </c>
      <c r="I37" s="158"/>
      <c r="J37" s="158"/>
      <c r="K37" s="158">
        <f t="shared" si="10"/>
        <v>0</v>
      </c>
      <c r="L37" s="158">
        <f t="shared" si="10"/>
        <v>0</v>
      </c>
      <c r="M37" s="164">
        <f t="shared" si="10"/>
        <v>0</v>
      </c>
      <c r="N37" s="60"/>
    </row>
    <row r="38" spans="1:16" ht="20.100000000000001" customHeight="1" x14ac:dyDescent="0.25">
      <c r="A38" s="21" t="s">
        <v>36</v>
      </c>
      <c r="B38" s="122"/>
      <c r="C38" s="123"/>
      <c r="D38" s="122"/>
      <c r="E38" s="92"/>
      <c r="F38" s="92"/>
      <c r="G38" s="92"/>
      <c r="H38" s="92"/>
      <c r="I38" s="92"/>
      <c r="J38" s="92"/>
      <c r="K38" s="92"/>
      <c r="L38" s="92"/>
      <c r="M38" s="165"/>
      <c r="N38" s="60"/>
    </row>
    <row r="39" spans="1:16" ht="20.100000000000001" customHeight="1" thickBot="1" x14ac:dyDescent="0.3">
      <c r="A39" s="140" t="s">
        <v>37</v>
      </c>
      <c r="B39" s="141">
        <v>0</v>
      </c>
      <c r="C39" s="142">
        <v>2015</v>
      </c>
      <c r="D39" s="143">
        <v>0</v>
      </c>
      <c r="E39" s="144">
        <v>1999</v>
      </c>
      <c r="F39" s="145">
        <v>0</v>
      </c>
      <c r="G39" s="145">
        <v>0</v>
      </c>
      <c r="H39" s="145">
        <f>SUM(F39:G39)</f>
        <v>0</v>
      </c>
      <c r="I39" s="145"/>
      <c r="J39" s="145"/>
      <c r="K39" s="145">
        <v>0</v>
      </c>
      <c r="L39" s="144">
        <v>0</v>
      </c>
      <c r="M39" s="149">
        <v>0</v>
      </c>
      <c r="N39" s="60"/>
    </row>
    <row r="40" spans="1:16" ht="20.100000000000001" customHeight="1" thickBot="1" x14ac:dyDescent="0.3">
      <c r="A40" s="140" t="s">
        <v>38</v>
      </c>
      <c r="B40" s="141">
        <v>0</v>
      </c>
      <c r="C40" s="166">
        <v>2015</v>
      </c>
      <c r="D40" s="143">
        <v>0</v>
      </c>
      <c r="E40" s="144">
        <f>SUM(E39)</f>
        <v>1999</v>
      </c>
      <c r="F40" s="145">
        <v>0</v>
      </c>
      <c r="G40" s="145">
        <v>0</v>
      </c>
      <c r="H40" s="145">
        <f>SUM(F40:G40)</f>
        <v>0</v>
      </c>
      <c r="I40" s="145"/>
      <c r="J40" s="145"/>
      <c r="K40" s="145">
        <v>0</v>
      </c>
      <c r="L40" s="144">
        <v>0</v>
      </c>
      <c r="M40" s="149">
        <v>0</v>
      </c>
      <c r="N40" s="60"/>
    </row>
    <row r="41" spans="1:16" ht="60" customHeight="1" x14ac:dyDescent="0.25">
      <c r="A41" s="25" t="s">
        <v>39</v>
      </c>
      <c r="B41" s="26">
        <f>1390661+50400</f>
        <v>1441061</v>
      </c>
      <c r="C41" s="167" t="s">
        <v>40</v>
      </c>
      <c r="D41" s="26">
        <v>7119</v>
      </c>
      <c r="E41" s="29">
        <f>SUM(E42)</f>
        <v>1383542</v>
      </c>
      <c r="F41" s="29">
        <f>1089403+39449</f>
        <v>1128852</v>
      </c>
      <c r="G41" s="29">
        <f>294139+10951</f>
        <v>305090</v>
      </c>
      <c r="H41" s="29">
        <f>SUM(F41:G41)</f>
        <v>1433942</v>
      </c>
      <c r="I41" s="29">
        <f>SUM(I42:I43)</f>
        <v>1315266</v>
      </c>
      <c r="J41" s="168">
        <f>I41/H41*100</f>
        <v>91.723793570451249</v>
      </c>
      <c r="K41" s="29">
        <f>SUM(K42:K43)</f>
        <v>186170</v>
      </c>
      <c r="L41" s="169" t="s">
        <v>41</v>
      </c>
      <c r="M41" s="170" t="s">
        <v>42</v>
      </c>
      <c r="N41" s="60"/>
      <c r="P41" s="60"/>
    </row>
    <row r="42" spans="1:16" ht="20.100000000000001" customHeight="1" x14ac:dyDescent="0.25">
      <c r="A42" s="68" t="s">
        <v>18</v>
      </c>
      <c r="B42" s="57">
        <f>B41-B43</f>
        <v>1146657</v>
      </c>
      <c r="C42" s="171"/>
      <c r="D42" s="57">
        <v>7119</v>
      </c>
      <c r="E42" s="58">
        <v>1383542</v>
      </c>
      <c r="F42" s="58">
        <v>1128852</v>
      </c>
      <c r="G42" s="58">
        <f>G41-G43</f>
        <v>10686</v>
      </c>
      <c r="H42" s="58">
        <f>SUM(F42:G42)</f>
        <v>1139538</v>
      </c>
      <c r="I42" s="58">
        <v>1139510</v>
      </c>
      <c r="J42" s="110">
        <f t="shared" ref="J42:J43" si="11">I42/H42*100</f>
        <v>99.997542863862378</v>
      </c>
      <c r="K42" s="58">
        <v>10414</v>
      </c>
      <c r="L42" s="46">
        <v>1111877</v>
      </c>
      <c r="M42" s="335"/>
      <c r="N42" s="60"/>
      <c r="P42" s="60"/>
    </row>
    <row r="43" spans="1:16" ht="20.100000000000001" customHeight="1" thickBot="1" x14ac:dyDescent="0.3">
      <c r="A43" s="76" t="s">
        <v>19</v>
      </c>
      <c r="B43" s="172">
        <v>294404</v>
      </c>
      <c r="C43" s="173"/>
      <c r="D43" s="172"/>
      <c r="E43" s="118"/>
      <c r="F43" s="118"/>
      <c r="G43" s="118">
        <v>294404</v>
      </c>
      <c r="H43" s="118">
        <f>SUM(G43)</f>
        <v>294404</v>
      </c>
      <c r="I43" s="118">
        <v>175756</v>
      </c>
      <c r="J43" s="31">
        <f t="shared" si="11"/>
        <v>59.698917134278062</v>
      </c>
      <c r="K43" s="118">
        <v>175756</v>
      </c>
      <c r="L43" s="119"/>
      <c r="M43" s="120"/>
      <c r="N43" s="60"/>
      <c r="P43" s="60"/>
    </row>
    <row r="44" spans="1:16" ht="20.100000000000001" customHeight="1" thickBot="1" x14ac:dyDescent="0.3">
      <c r="A44" s="174" t="s">
        <v>43</v>
      </c>
      <c r="B44" s="175">
        <v>506</v>
      </c>
      <c r="C44" s="176" t="s">
        <v>13</v>
      </c>
      <c r="D44" s="175"/>
      <c r="E44" s="177"/>
      <c r="F44" s="177">
        <v>399</v>
      </c>
      <c r="G44" s="177">
        <v>107</v>
      </c>
      <c r="H44" s="177">
        <f>SUM(F44:G44)</f>
        <v>506</v>
      </c>
      <c r="I44" s="177">
        <v>892</v>
      </c>
      <c r="J44" s="178">
        <f>I44/H44*100</f>
        <v>176.28458498023716</v>
      </c>
      <c r="K44" s="177"/>
      <c r="L44" s="179"/>
      <c r="M44" s="180"/>
      <c r="N44" s="60"/>
      <c r="P44" s="60"/>
    </row>
    <row r="45" spans="1:16" ht="20.100000000000001" customHeight="1" thickBot="1" x14ac:dyDescent="0.3">
      <c r="A45" s="174" t="s">
        <v>44</v>
      </c>
      <c r="B45" s="175">
        <v>10000</v>
      </c>
      <c r="C45" s="176" t="s">
        <v>13</v>
      </c>
      <c r="D45" s="175"/>
      <c r="E45" s="177"/>
      <c r="F45" s="177">
        <v>7874</v>
      </c>
      <c r="G45" s="177">
        <v>2126</v>
      </c>
      <c r="H45" s="177">
        <f>SUM(F45:G45)</f>
        <v>10000</v>
      </c>
      <c r="I45" s="177">
        <v>3000</v>
      </c>
      <c r="J45" s="178">
        <f>I45/H45*100</f>
        <v>30</v>
      </c>
      <c r="K45" s="177"/>
      <c r="L45" s="179">
        <v>6300</v>
      </c>
      <c r="M45" s="180"/>
      <c r="N45" s="60"/>
      <c r="P45" s="60"/>
    </row>
    <row r="46" spans="1:16" ht="33.75" customHeight="1" thickBot="1" x14ac:dyDescent="0.3">
      <c r="A46" s="43" t="s">
        <v>104</v>
      </c>
      <c r="B46" s="57">
        <v>9398</v>
      </c>
      <c r="C46" s="171" t="s">
        <v>105</v>
      </c>
      <c r="D46" s="57"/>
      <c r="E46" s="58"/>
      <c r="F46" s="58">
        <v>3154</v>
      </c>
      <c r="G46" s="58">
        <v>851</v>
      </c>
      <c r="H46" s="58">
        <f>SUM(F46:G46)</f>
        <v>4005</v>
      </c>
      <c r="I46" s="114">
        <v>4005</v>
      </c>
      <c r="J46" s="49">
        <f>I46/H46*100</f>
        <v>100</v>
      </c>
      <c r="K46" s="58"/>
      <c r="L46" s="46"/>
      <c r="M46" s="111"/>
      <c r="N46" s="60"/>
      <c r="P46" s="60"/>
    </row>
    <row r="47" spans="1:16" ht="20.100000000000001" customHeight="1" thickBot="1" x14ac:dyDescent="0.3">
      <c r="A47" s="94" t="s">
        <v>20</v>
      </c>
      <c r="B47" s="158">
        <f>SUM(B45,B44,B42,B46)</f>
        <v>1166561</v>
      </c>
      <c r="C47" s="158">
        <f t="shared" ref="C47:D47" si="12">SUM(C45,C44,C42)</f>
        <v>0</v>
      </c>
      <c r="D47" s="158">
        <f t="shared" si="12"/>
        <v>7119</v>
      </c>
      <c r="E47" s="158">
        <f>SUM(E41,E40,E39)</f>
        <v>1387540</v>
      </c>
      <c r="F47" s="158">
        <f>SUM(F45,F44,F42,F46)</f>
        <v>1140279</v>
      </c>
      <c r="G47" s="158">
        <f t="shared" ref="G47:H47" si="13">SUM(G45,G44,G42,G46)</f>
        <v>13770</v>
      </c>
      <c r="H47" s="158">
        <f t="shared" si="13"/>
        <v>1154049</v>
      </c>
      <c r="I47" s="158">
        <f>SUM(I46,I45,I44,I42)</f>
        <v>1147407</v>
      </c>
      <c r="J47" s="49">
        <f t="shared" ref="J47:J48" si="14">I47/H47*100</f>
        <v>99.424461179724602</v>
      </c>
      <c r="K47" s="158">
        <f>SUM(K41)</f>
        <v>186170</v>
      </c>
      <c r="L47" s="181">
        <v>1131602</v>
      </c>
      <c r="M47" s="182">
        <v>565801</v>
      </c>
      <c r="N47" s="60"/>
      <c r="P47" s="60">
        <f>SUM(N47:O47)</f>
        <v>0</v>
      </c>
    </row>
    <row r="48" spans="1:16" ht="20.100000000000001" customHeight="1" thickBot="1" x14ac:dyDescent="0.3">
      <c r="A48" s="52" t="s">
        <v>21</v>
      </c>
      <c r="B48" s="183">
        <f>SUM(B43)</f>
        <v>294404</v>
      </c>
      <c r="C48" s="183">
        <f t="shared" ref="C48:K48" si="15">SUM(C43)</f>
        <v>0</v>
      </c>
      <c r="D48" s="183">
        <f t="shared" si="15"/>
        <v>0</v>
      </c>
      <c r="E48" s="183"/>
      <c r="F48" s="183">
        <f t="shared" si="15"/>
        <v>0</v>
      </c>
      <c r="G48" s="183">
        <f t="shared" si="15"/>
        <v>294404</v>
      </c>
      <c r="H48" s="183">
        <f t="shared" si="15"/>
        <v>294404</v>
      </c>
      <c r="I48" s="183">
        <f t="shared" si="15"/>
        <v>175756</v>
      </c>
      <c r="J48" s="184">
        <f t="shared" si="14"/>
        <v>59.698917134278062</v>
      </c>
      <c r="K48" s="183">
        <f t="shared" si="15"/>
        <v>175756</v>
      </c>
      <c r="L48" s="185"/>
      <c r="M48" s="186"/>
      <c r="N48" s="60"/>
      <c r="P48" s="60"/>
    </row>
    <row r="49" spans="1:16" ht="20.100000000000001" customHeight="1" x14ac:dyDescent="0.25">
      <c r="A49" s="187" t="s">
        <v>45</v>
      </c>
      <c r="B49" s="188"/>
      <c r="C49" s="189"/>
      <c r="D49" s="188"/>
      <c r="E49" s="190"/>
      <c r="F49" s="190"/>
      <c r="G49" s="190"/>
      <c r="H49" s="190"/>
      <c r="I49" s="190"/>
      <c r="J49" s="190"/>
      <c r="K49" s="190"/>
      <c r="L49" s="190"/>
      <c r="M49" s="191"/>
      <c r="N49" s="60"/>
    </row>
    <row r="50" spans="1:16" ht="48" customHeight="1" x14ac:dyDescent="0.25">
      <c r="A50" s="192" t="s">
        <v>46</v>
      </c>
      <c r="B50" s="193">
        <v>118787</v>
      </c>
      <c r="C50" s="194" t="s">
        <v>47</v>
      </c>
      <c r="D50" s="193">
        <v>118287</v>
      </c>
      <c r="E50" s="128">
        <v>500</v>
      </c>
      <c r="F50" s="128">
        <v>394</v>
      </c>
      <c r="G50" s="128">
        <v>106</v>
      </c>
      <c r="H50" s="128">
        <f>SUM(F50:G50)</f>
        <v>500</v>
      </c>
      <c r="I50" s="128">
        <f>SUM(I51:I52)</f>
        <v>500</v>
      </c>
      <c r="J50" s="195">
        <f>I50/H50*100</f>
        <v>100</v>
      </c>
      <c r="K50" s="128">
        <v>0</v>
      </c>
      <c r="L50" s="128" t="s">
        <v>48</v>
      </c>
      <c r="M50" s="196" t="s">
        <v>48</v>
      </c>
      <c r="N50" s="60"/>
      <c r="P50" s="197"/>
    </row>
    <row r="51" spans="1:16" ht="20.100000000000001" customHeight="1" x14ac:dyDescent="0.25">
      <c r="A51" s="198" t="s">
        <v>49</v>
      </c>
      <c r="B51" s="199">
        <v>500</v>
      </c>
      <c r="C51" s="200"/>
      <c r="D51" s="199">
        <v>500</v>
      </c>
      <c r="E51" s="201"/>
      <c r="F51" s="201"/>
      <c r="G51" s="201"/>
      <c r="H51" s="201"/>
      <c r="I51" s="201"/>
      <c r="J51" s="201"/>
      <c r="K51" s="201"/>
      <c r="L51" s="201"/>
      <c r="M51" s="202"/>
      <c r="N51" s="60"/>
      <c r="P51" s="197"/>
    </row>
    <row r="52" spans="1:16" ht="20.100000000000001" customHeight="1" x14ac:dyDescent="0.25">
      <c r="A52" s="203" t="s">
        <v>50</v>
      </c>
      <c r="B52" s="204">
        <v>118278</v>
      </c>
      <c r="C52" s="205"/>
      <c r="D52" s="204">
        <v>117778</v>
      </c>
      <c r="E52" s="206">
        <v>500</v>
      </c>
      <c r="F52" s="206">
        <v>394</v>
      </c>
      <c r="G52" s="206">
        <v>106</v>
      </c>
      <c r="H52" s="206">
        <v>500</v>
      </c>
      <c r="I52" s="206">
        <v>500</v>
      </c>
      <c r="J52" s="207">
        <f>I52/H52*100</f>
        <v>100</v>
      </c>
      <c r="K52" s="206"/>
      <c r="L52" s="206"/>
      <c r="M52" s="208"/>
      <c r="N52" s="60"/>
      <c r="P52" s="197"/>
    </row>
    <row r="53" spans="1:16" ht="20.100000000000001" customHeight="1" thickBot="1" x14ac:dyDescent="0.3">
      <c r="A53" s="209" t="s">
        <v>51</v>
      </c>
      <c r="B53" s="162">
        <v>661</v>
      </c>
      <c r="C53" s="210" t="s">
        <v>13</v>
      </c>
      <c r="D53" s="162"/>
      <c r="E53" s="156"/>
      <c r="F53" s="156">
        <v>520</v>
      </c>
      <c r="G53" s="156">
        <v>141</v>
      </c>
      <c r="H53" s="156">
        <f>SUM(F53:G53)</f>
        <v>661</v>
      </c>
      <c r="I53" s="156">
        <v>661</v>
      </c>
      <c r="J53" s="211">
        <f>I53/H53*100</f>
        <v>100</v>
      </c>
      <c r="K53" s="156"/>
      <c r="L53" s="156"/>
      <c r="M53" s="212"/>
      <c r="N53" s="60"/>
      <c r="P53" s="197"/>
    </row>
    <row r="54" spans="1:16" ht="20.100000000000001" customHeight="1" thickBot="1" x14ac:dyDescent="0.3">
      <c r="A54" s="94" t="s">
        <v>20</v>
      </c>
      <c r="B54" s="158">
        <f>SUM(B50+B53)</f>
        <v>119448</v>
      </c>
      <c r="C54" s="158"/>
      <c r="D54" s="158">
        <f>SUM(D50+D53)</f>
        <v>118287</v>
      </c>
      <c r="E54" s="158">
        <f>SUM(E50)</f>
        <v>500</v>
      </c>
      <c r="F54" s="158">
        <f>SUM(F50+F53)</f>
        <v>914</v>
      </c>
      <c r="G54" s="158">
        <f>SUM(G50+G53)</f>
        <v>247</v>
      </c>
      <c r="H54" s="158">
        <f>SUM(H50+H53)</f>
        <v>1161</v>
      </c>
      <c r="I54" s="158">
        <f>SUM(I52:I53)</f>
        <v>1161</v>
      </c>
      <c r="J54" s="213">
        <f>I54/H54*100</f>
        <v>100</v>
      </c>
      <c r="K54" s="214">
        <v>0</v>
      </c>
      <c r="L54" s="214">
        <v>0</v>
      </c>
      <c r="M54" s="186">
        <v>0</v>
      </c>
      <c r="N54" s="215"/>
      <c r="O54" s="216"/>
    </row>
    <row r="55" spans="1:16" ht="20.100000000000001" customHeight="1" thickBot="1" x14ac:dyDescent="0.3">
      <c r="A55" s="52" t="s">
        <v>21</v>
      </c>
      <c r="B55" s="183">
        <f t="shared" ref="B55:D55" si="16">SUM(B51)</f>
        <v>500</v>
      </c>
      <c r="C55" s="183">
        <f t="shared" si="16"/>
        <v>0</v>
      </c>
      <c r="D55" s="183">
        <f t="shared" si="16"/>
        <v>500</v>
      </c>
      <c r="E55" s="183"/>
      <c r="F55" s="183"/>
      <c r="G55" s="183"/>
      <c r="H55" s="183"/>
      <c r="I55" s="185"/>
      <c r="J55" s="217"/>
      <c r="K55" s="214"/>
      <c r="L55" s="214"/>
      <c r="M55" s="186"/>
      <c r="N55" s="215"/>
      <c r="O55" s="216"/>
    </row>
    <row r="56" spans="1:16" ht="20.100000000000001" customHeight="1" x14ac:dyDescent="0.25">
      <c r="A56" s="218" t="s">
        <v>52</v>
      </c>
      <c r="B56" s="183"/>
      <c r="C56" s="219"/>
      <c r="D56" s="220"/>
      <c r="E56" s="214"/>
      <c r="F56" s="214"/>
      <c r="G56" s="214"/>
      <c r="H56" s="214"/>
      <c r="I56" s="214"/>
      <c r="J56" s="214"/>
      <c r="K56" s="214"/>
      <c r="L56" s="214"/>
      <c r="M56" s="186"/>
      <c r="N56" s="60"/>
    </row>
    <row r="57" spans="1:16" ht="33.75" customHeight="1" thickBot="1" x14ac:dyDescent="0.3">
      <c r="A57" s="43" t="s">
        <v>53</v>
      </c>
      <c r="B57" s="122">
        <v>4466</v>
      </c>
      <c r="C57" s="123">
        <v>2015</v>
      </c>
      <c r="D57" s="162">
        <v>0</v>
      </c>
      <c r="E57" s="156">
        <v>4466</v>
      </c>
      <c r="F57" s="156">
        <v>3516</v>
      </c>
      <c r="G57" s="156">
        <v>950</v>
      </c>
      <c r="H57" s="156">
        <f>SUM(F57:G57)</f>
        <v>4466</v>
      </c>
      <c r="I57" s="333">
        <v>9413</v>
      </c>
      <c r="J57" s="221">
        <f>I57/H57*100</f>
        <v>210.77026421854006</v>
      </c>
      <c r="K57" s="156"/>
      <c r="L57" s="156"/>
      <c r="M57" s="212"/>
      <c r="N57" s="60"/>
    </row>
    <row r="58" spans="1:16" ht="20.100000000000001" customHeight="1" thickBot="1" x14ac:dyDescent="0.3">
      <c r="A58" s="52" t="s">
        <v>14</v>
      </c>
      <c r="B58" s="183">
        <f>SUM(B57)</f>
        <v>4466</v>
      </c>
      <c r="C58" s="219"/>
      <c r="D58" s="220"/>
      <c r="E58" s="214">
        <f>SUM(E57)</f>
        <v>4466</v>
      </c>
      <c r="F58" s="214">
        <f t="shared" ref="F58:M58" si="17">SUM(F57)</f>
        <v>3516</v>
      </c>
      <c r="G58" s="214">
        <f t="shared" si="17"/>
        <v>950</v>
      </c>
      <c r="H58" s="214">
        <f t="shared" si="17"/>
        <v>4466</v>
      </c>
      <c r="I58" s="214">
        <f>SUM(I57)</f>
        <v>9413</v>
      </c>
      <c r="J58" s="213">
        <f>I58/H58*100</f>
        <v>210.77026421854006</v>
      </c>
      <c r="K58" s="214">
        <f t="shared" si="17"/>
        <v>0</v>
      </c>
      <c r="L58" s="214">
        <f t="shared" si="17"/>
        <v>0</v>
      </c>
      <c r="M58" s="186">
        <f t="shared" si="17"/>
        <v>0</v>
      </c>
      <c r="N58" s="60"/>
    </row>
    <row r="59" spans="1:16" ht="33.75" customHeight="1" x14ac:dyDescent="0.25">
      <c r="A59" s="218" t="s">
        <v>54</v>
      </c>
      <c r="B59" s="222"/>
      <c r="C59" s="223"/>
      <c r="D59" s="222"/>
      <c r="E59" s="224"/>
      <c r="F59" s="224"/>
      <c r="G59" s="224"/>
      <c r="H59" s="224"/>
      <c r="I59" s="224"/>
      <c r="J59" s="224"/>
      <c r="K59" s="224"/>
      <c r="L59" s="224"/>
      <c r="M59" s="165"/>
      <c r="N59" s="60"/>
    </row>
    <row r="60" spans="1:16" ht="20.100000000000001" customHeight="1" thickBot="1" x14ac:dyDescent="0.3">
      <c r="A60" s="43" t="s">
        <v>55</v>
      </c>
      <c r="B60" s="122">
        <f>151418+9</f>
        <v>151427</v>
      </c>
      <c r="C60" s="123" t="s">
        <v>56</v>
      </c>
      <c r="D60" s="122">
        <v>1582</v>
      </c>
      <c r="E60" s="92">
        <v>149836</v>
      </c>
      <c r="F60" s="92">
        <f>117981+7</f>
        <v>117988</v>
      </c>
      <c r="G60" s="92">
        <f>31855+2</f>
        <v>31857</v>
      </c>
      <c r="H60" s="92">
        <f>SUM(F60:G60)</f>
        <v>149845</v>
      </c>
      <c r="I60" s="92">
        <v>149845</v>
      </c>
      <c r="J60" s="81">
        <f>I60/H60*100</f>
        <v>100</v>
      </c>
      <c r="K60" s="156">
        <v>0</v>
      </c>
      <c r="L60" s="92">
        <v>149836</v>
      </c>
      <c r="M60" s="59">
        <v>149836</v>
      </c>
      <c r="N60" s="60"/>
    </row>
    <row r="61" spans="1:16" ht="20.100000000000001" customHeight="1" thickBot="1" x14ac:dyDescent="0.3">
      <c r="A61" s="52" t="s">
        <v>14</v>
      </c>
      <c r="B61" s="158">
        <f>SUM(B60:B60)</f>
        <v>151427</v>
      </c>
      <c r="C61" s="159"/>
      <c r="D61" s="158">
        <f>SUM(D60:D60)</f>
        <v>1582</v>
      </c>
      <c r="E61" s="181">
        <f>SUM(E60)</f>
        <v>149836</v>
      </c>
      <c r="F61" s="181">
        <f>SUM(F60)</f>
        <v>117988</v>
      </c>
      <c r="G61" s="181">
        <f>SUM(G60)</f>
        <v>31857</v>
      </c>
      <c r="H61" s="181">
        <f>SUM(H60)</f>
        <v>149845</v>
      </c>
      <c r="I61" s="181">
        <f>SUM(I60)</f>
        <v>149845</v>
      </c>
      <c r="J61" s="225">
        <f>I61/H61*100</f>
        <v>100</v>
      </c>
      <c r="K61" s="181">
        <f>SUM(K60)</f>
        <v>0</v>
      </c>
      <c r="L61" s="181">
        <f>SUM(L60:L60)</f>
        <v>149836</v>
      </c>
      <c r="M61" s="164">
        <f>SUM(M60)</f>
        <v>149836</v>
      </c>
      <c r="N61" s="60"/>
    </row>
    <row r="62" spans="1:16" ht="20.100000000000001" customHeight="1" x14ac:dyDescent="0.25">
      <c r="A62" s="226" t="s">
        <v>57</v>
      </c>
      <c r="B62" s="227"/>
      <c r="C62" s="228"/>
      <c r="D62" s="227"/>
      <c r="E62" s="229"/>
      <c r="F62" s="229"/>
      <c r="G62" s="229"/>
      <c r="H62" s="229"/>
      <c r="I62" s="229"/>
      <c r="J62" s="229"/>
      <c r="K62" s="229"/>
      <c r="L62" s="229"/>
      <c r="M62" s="230"/>
      <c r="N62" s="60"/>
    </row>
    <row r="63" spans="1:16" ht="20.100000000000001" customHeight="1" x14ac:dyDescent="0.25">
      <c r="A63" s="34" t="s">
        <v>58</v>
      </c>
      <c r="B63" s="131">
        <v>20000</v>
      </c>
      <c r="C63" s="132" t="s">
        <v>59</v>
      </c>
      <c r="D63" s="131">
        <v>1491</v>
      </c>
      <c r="E63" s="231">
        <v>18509</v>
      </c>
      <c r="F63" s="231">
        <f>B63-D63</f>
        <v>18509</v>
      </c>
      <c r="G63" s="135">
        <v>0</v>
      </c>
      <c r="H63" s="231">
        <f>SUM(F63:G63)</f>
        <v>18509</v>
      </c>
      <c r="I63" s="231"/>
      <c r="J63" s="231"/>
      <c r="K63" s="135">
        <v>0</v>
      </c>
      <c r="L63" s="135">
        <v>0</v>
      </c>
      <c r="M63" s="232">
        <v>0</v>
      </c>
      <c r="N63" s="60"/>
    </row>
    <row r="64" spans="1:16" ht="20.100000000000001" customHeight="1" thickBot="1" x14ac:dyDescent="0.3">
      <c r="A64" s="43" t="s">
        <v>60</v>
      </c>
      <c r="B64" s="122">
        <v>200</v>
      </c>
      <c r="C64" s="123" t="s">
        <v>13</v>
      </c>
      <c r="D64" s="122"/>
      <c r="E64" s="92"/>
      <c r="F64" s="92">
        <v>200</v>
      </c>
      <c r="G64" s="156">
        <v>0</v>
      </c>
      <c r="H64" s="231">
        <f>SUM(F64:G64)</f>
        <v>200</v>
      </c>
      <c r="I64" s="69">
        <v>200</v>
      </c>
      <c r="J64" s="148">
        <f>I64/H64*100</f>
        <v>100</v>
      </c>
      <c r="K64" s="156"/>
      <c r="L64" s="156"/>
      <c r="M64" s="84"/>
      <c r="N64" s="60"/>
    </row>
    <row r="65" spans="1:14" ht="20.100000000000001" customHeight="1" thickBot="1" x14ac:dyDescent="0.3">
      <c r="A65" s="52" t="s">
        <v>14</v>
      </c>
      <c r="B65" s="158">
        <f>SUM(B63:B64)</f>
        <v>20200</v>
      </c>
      <c r="C65" s="159"/>
      <c r="D65" s="158">
        <f t="shared" ref="D65:M65" si="18">SUM(D63:D63)</f>
        <v>1491</v>
      </c>
      <c r="E65" s="181">
        <f>SUM(E63)</f>
        <v>18509</v>
      </c>
      <c r="F65" s="181">
        <f>SUM(F63:F64)</f>
        <v>18709</v>
      </c>
      <c r="G65" s="181">
        <f>SUM(G63:G64)</f>
        <v>0</v>
      </c>
      <c r="H65" s="181">
        <f>SUM(H63:H64)</f>
        <v>18709</v>
      </c>
      <c r="I65" s="181">
        <f>SUM(I64)</f>
        <v>200</v>
      </c>
      <c r="J65" s="225">
        <f>I65/H65*100</f>
        <v>1.0690042225666792</v>
      </c>
      <c r="K65" s="181">
        <f t="shared" si="18"/>
        <v>0</v>
      </c>
      <c r="L65" s="181">
        <f t="shared" si="18"/>
        <v>0</v>
      </c>
      <c r="M65" s="164">
        <f t="shared" si="18"/>
        <v>0</v>
      </c>
      <c r="N65" s="60"/>
    </row>
    <row r="66" spans="1:14" ht="20.100000000000001" customHeight="1" x14ac:dyDescent="0.25">
      <c r="A66" s="218" t="s">
        <v>61</v>
      </c>
      <c r="B66" s="183"/>
      <c r="C66" s="219"/>
      <c r="D66" s="183"/>
      <c r="E66" s="185"/>
      <c r="F66" s="185"/>
      <c r="G66" s="185"/>
      <c r="H66" s="185"/>
      <c r="I66" s="185"/>
      <c r="J66" s="185"/>
      <c r="K66" s="185"/>
      <c r="L66" s="185"/>
      <c r="M66" s="160"/>
      <c r="N66" s="60"/>
    </row>
    <row r="67" spans="1:14" ht="20.100000000000001" customHeight="1" thickBot="1" x14ac:dyDescent="0.3">
      <c r="A67" s="34" t="s">
        <v>62</v>
      </c>
      <c r="B67" s="131">
        <v>1161</v>
      </c>
      <c r="C67" s="132" t="s">
        <v>13</v>
      </c>
      <c r="D67" s="131"/>
      <c r="E67" s="231"/>
      <c r="F67" s="233">
        <v>914</v>
      </c>
      <c r="G67" s="233">
        <v>247</v>
      </c>
      <c r="H67" s="233">
        <f>SUM(F67:G67)</f>
        <v>1161</v>
      </c>
      <c r="I67" s="233">
        <v>1161</v>
      </c>
      <c r="J67" s="234">
        <f>I67/H67*100</f>
        <v>100</v>
      </c>
      <c r="K67" s="231"/>
      <c r="L67" s="231">
        <v>1161</v>
      </c>
      <c r="M67" s="235"/>
      <c r="N67" s="60"/>
    </row>
    <row r="68" spans="1:14" ht="20.100000000000001" customHeight="1" thickBot="1" x14ac:dyDescent="0.3">
      <c r="A68" s="52" t="s">
        <v>14</v>
      </c>
      <c r="B68" s="158">
        <f>SUM(B67:B67)</f>
        <v>1161</v>
      </c>
      <c r="C68" s="159"/>
      <c r="D68" s="158">
        <f t="shared" ref="D68:M68" si="19">SUM(D67:D67)</f>
        <v>0</v>
      </c>
      <c r="E68" s="181"/>
      <c r="F68" s="236">
        <f t="shared" si="19"/>
        <v>914</v>
      </c>
      <c r="G68" s="236">
        <f t="shared" si="19"/>
        <v>247</v>
      </c>
      <c r="H68" s="236">
        <f t="shared" si="19"/>
        <v>1161</v>
      </c>
      <c r="I68" s="236">
        <f>SUM(I67)</f>
        <v>1161</v>
      </c>
      <c r="J68" s="234">
        <f>I68/H68*100</f>
        <v>100</v>
      </c>
      <c r="K68" s="181">
        <f t="shared" si="19"/>
        <v>0</v>
      </c>
      <c r="L68" s="181">
        <f t="shared" si="19"/>
        <v>1161</v>
      </c>
      <c r="M68" s="164">
        <f t="shared" si="19"/>
        <v>0</v>
      </c>
      <c r="N68" s="60"/>
    </row>
    <row r="69" spans="1:14" ht="20.100000000000001" customHeight="1" x14ac:dyDescent="0.25">
      <c r="A69" s="237" t="s">
        <v>63</v>
      </c>
      <c r="B69" s="131"/>
      <c r="C69" s="132"/>
      <c r="D69" s="131"/>
      <c r="E69" s="231"/>
      <c r="F69" s="233"/>
      <c r="G69" s="233"/>
      <c r="H69" s="233"/>
      <c r="I69" s="233"/>
      <c r="J69" s="238"/>
      <c r="K69" s="231"/>
      <c r="L69" s="231"/>
      <c r="M69" s="235"/>
      <c r="N69" s="60"/>
    </row>
    <row r="70" spans="1:14" ht="20.100000000000001" customHeight="1" x14ac:dyDescent="0.25">
      <c r="A70" s="34" t="s">
        <v>64</v>
      </c>
      <c r="B70" s="131">
        <v>254</v>
      </c>
      <c r="C70" s="132" t="s">
        <v>13</v>
      </c>
      <c r="D70" s="131"/>
      <c r="E70" s="231"/>
      <c r="F70" s="233">
        <v>200</v>
      </c>
      <c r="G70" s="233">
        <v>54</v>
      </c>
      <c r="H70" s="239">
        <f t="shared" ref="H70:H83" si="20">SUM(F70:G70)</f>
        <v>254</v>
      </c>
      <c r="I70" s="233">
        <v>254</v>
      </c>
      <c r="J70" s="240">
        <f>I70/H70*100</f>
        <v>100</v>
      </c>
      <c r="K70" s="231"/>
      <c r="L70" s="231">
        <v>224</v>
      </c>
      <c r="M70" s="235"/>
      <c r="N70" s="60"/>
    </row>
    <row r="71" spans="1:14" ht="20.100000000000001" customHeight="1" x14ac:dyDescent="0.25">
      <c r="A71" s="34" t="s">
        <v>65</v>
      </c>
      <c r="B71" s="131">
        <v>3048</v>
      </c>
      <c r="C71" s="132" t="s">
        <v>13</v>
      </c>
      <c r="D71" s="131"/>
      <c r="E71" s="231"/>
      <c r="F71" s="233">
        <v>2400</v>
      </c>
      <c r="G71" s="233">
        <v>648</v>
      </c>
      <c r="H71" s="239">
        <f>SUM(F71:G71)</f>
        <v>3048</v>
      </c>
      <c r="I71" s="233">
        <v>3048</v>
      </c>
      <c r="J71" s="240">
        <f t="shared" ref="J71:J85" si="21">I71/H71*100</f>
        <v>100</v>
      </c>
      <c r="K71" s="231"/>
      <c r="L71" s="231">
        <v>2682</v>
      </c>
      <c r="M71" s="235"/>
      <c r="N71" s="60"/>
    </row>
    <row r="72" spans="1:14" ht="20.100000000000001" customHeight="1" x14ac:dyDescent="0.25">
      <c r="A72" s="34" t="s">
        <v>66</v>
      </c>
      <c r="B72" s="131">
        <v>793</v>
      </c>
      <c r="C72" s="132" t="s">
        <v>13</v>
      </c>
      <c r="D72" s="131"/>
      <c r="E72" s="231"/>
      <c r="F72" s="233">
        <v>624</v>
      </c>
      <c r="G72" s="233">
        <v>169</v>
      </c>
      <c r="H72" s="239">
        <f>SUM(F72:G72)</f>
        <v>793</v>
      </c>
      <c r="I72" s="233">
        <v>793</v>
      </c>
      <c r="J72" s="240">
        <f t="shared" si="21"/>
        <v>100</v>
      </c>
      <c r="K72" s="231"/>
      <c r="L72" s="231">
        <v>698</v>
      </c>
      <c r="M72" s="235"/>
      <c r="N72" s="60"/>
    </row>
    <row r="73" spans="1:14" ht="20.100000000000001" customHeight="1" x14ac:dyDescent="0.25">
      <c r="A73" s="43" t="s">
        <v>121</v>
      </c>
      <c r="B73" s="122">
        <v>126</v>
      </c>
      <c r="C73" s="132" t="s">
        <v>13</v>
      </c>
      <c r="D73" s="122"/>
      <c r="E73" s="92"/>
      <c r="F73" s="69"/>
      <c r="G73" s="69"/>
      <c r="H73" s="241"/>
      <c r="I73" s="239">
        <v>126</v>
      </c>
      <c r="J73" s="242"/>
      <c r="K73" s="92"/>
      <c r="L73" s="92"/>
      <c r="M73" s="157"/>
      <c r="N73" s="60"/>
    </row>
    <row r="74" spans="1:14" ht="20.100000000000001" customHeight="1" x14ac:dyDescent="0.25">
      <c r="A74" s="34" t="s">
        <v>67</v>
      </c>
      <c r="B74" s="131">
        <v>508</v>
      </c>
      <c r="C74" s="123" t="s">
        <v>13</v>
      </c>
      <c r="D74" s="131"/>
      <c r="E74" s="231"/>
      <c r="F74" s="233">
        <v>400</v>
      </c>
      <c r="G74" s="233">
        <v>108</v>
      </c>
      <c r="H74" s="241">
        <f t="shared" si="20"/>
        <v>508</v>
      </c>
      <c r="I74" s="238">
        <v>507</v>
      </c>
      <c r="J74" s="240">
        <f t="shared" si="21"/>
        <v>99.803149606299215</v>
      </c>
      <c r="K74" s="231"/>
      <c r="L74" s="231">
        <v>508</v>
      </c>
      <c r="M74" s="235"/>
      <c r="N74" s="60"/>
    </row>
    <row r="75" spans="1:14" ht="20.100000000000001" customHeight="1" x14ac:dyDescent="0.25">
      <c r="A75" s="34" t="s">
        <v>68</v>
      </c>
      <c r="B75" s="131">
        <v>521</v>
      </c>
      <c r="C75" s="132" t="s">
        <v>13</v>
      </c>
      <c r="D75" s="131"/>
      <c r="E75" s="231"/>
      <c r="F75" s="233">
        <v>410</v>
      </c>
      <c r="G75" s="233">
        <v>111</v>
      </c>
      <c r="H75" s="239">
        <f t="shared" si="20"/>
        <v>521</v>
      </c>
      <c r="I75" s="233">
        <v>521</v>
      </c>
      <c r="J75" s="240">
        <f t="shared" si="21"/>
        <v>100</v>
      </c>
      <c r="K75" s="231"/>
      <c r="L75" s="231">
        <v>521</v>
      </c>
      <c r="M75" s="235"/>
      <c r="N75" s="60"/>
    </row>
    <row r="76" spans="1:14" ht="20.100000000000001" customHeight="1" x14ac:dyDescent="0.25">
      <c r="A76" s="34" t="s">
        <v>69</v>
      </c>
      <c r="B76" s="131">
        <v>1187</v>
      </c>
      <c r="C76" s="132" t="s">
        <v>13</v>
      </c>
      <c r="D76" s="131"/>
      <c r="E76" s="231"/>
      <c r="F76" s="233">
        <v>935</v>
      </c>
      <c r="G76" s="233">
        <v>252</v>
      </c>
      <c r="H76" s="239">
        <f t="shared" si="20"/>
        <v>1187</v>
      </c>
      <c r="I76" s="233">
        <v>1187</v>
      </c>
      <c r="J76" s="240">
        <f t="shared" si="21"/>
        <v>100</v>
      </c>
      <c r="K76" s="231"/>
      <c r="L76" s="231">
        <v>1064</v>
      </c>
      <c r="M76" s="235"/>
      <c r="N76" s="60"/>
    </row>
    <row r="77" spans="1:14" ht="20.100000000000001" customHeight="1" x14ac:dyDescent="0.25">
      <c r="A77" s="34" t="s">
        <v>70</v>
      </c>
      <c r="B77" s="131">
        <v>1607</v>
      </c>
      <c r="C77" s="132" t="s">
        <v>13</v>
      </c>
      <c r="D77" s="131"/>
      <c r="E77" s="231"/>
      <c r="F77" s="233">
        <v>1607</v>
      </c>
      <c r="G77" s="233">
        <v>0</v>
      </c>
      <c r="H77" s="69">
        <f t="shared" si="20"/>
        <v>1607</v>
      </c>
      <c r="I77" s="69">
        <v>1607</v>
      </c>
      <c r="J77" s="240">
        <f t="shared" si="21"/>
        <v>100</v>
      </c>
      <c r="K77" s="231"/>
      <c r="L77" s="231">
        <v>1440</v>
      </c>
      <c r="M77" s="235"/>
      <c r="N77" s="60"/>
    </row>
    <row r="78" spans="1:14" ht="20.100000000000001" customHeight="1" x14ac:dyDescent="0.25">
      <c r="A78" s="34" t="s">
        <v>71</v>
      </c>
      <c r="B78" s="131">
        <v>1050</v>
      </c>
      <c r="C78" s="132" t="s">
        <v>13</v>
      </c>
      <c r="D78" s="131"/>
      <c r="E78" s="231"/>
      <c r="F78" s="233">
        <v>1050</v>
      </c>
      <c r="G78" s="233">
        <v>0</v>
      </c>
      <c r="H78" s="233">
        <f t="shared" si="20"/>
        <v>1050</v>
      </c>
      <c r="I78" s="233">
        <v>1050</v>
      </c>
      <c r="J78" s="240">
        <f t="shared" si="21"/>
        <v>100</v>
      </c>
      <c r="K78" s="231"/>
      <c r="L78" s="233">
        <v>941</v>
      </c>
      <c r="M78" s="235"/>
      <c r="N78" s="60"/>
    </row>
    <row r="79" spans="1:14" ht="20.100000000000001" customHeight="1" x14ac:dyDescent="0.25">
      <c r="A79" s="34" t="s">
        <v>72</v>
      </c>
      <c r="B79" s="131">
        <v>86</v>
      </c>
      <c r="C79" s="132" t="s">
        <v>13</v>
      </c>
      <c r="D79" s="131"/>
      <c r="E79" s="231"/>
      <c r="F79" s="233">
        <v>68</v>
      </c>
      <c r="G79" s="233">
        <v>18</v>
      </c>
      <c r="H79" s="233">
        <f t="shared" si="20"/>
        <v>86</v>
      </c>
      <c r="I79" s="233">
        <v>86</v>
      </c>
      <c r="J79" s="240">
        <f t="shared" si="21"/>
        <v>100</v>
      </c>
      <c r="K79" s="231"/>
      <c r="L79" s="233">
        <v>78</v>
      </c>
      <c r="M79" s="235"/>
      <c r="N79" s="60"/>
    </row>
    <row r="80" spans="1:14" ht="20.100000000000001" customHeight="1" x14ac:dyDescent="0.25">
      <c r="A80" s="34" t="s">
        <v>73</v>
      </c>
      <c r="B80" s="131">
        <v>296</v>
      </c>
      <c r="C80" s="132" t="s">
        <v>13</v>
      </c>
      <c r="D80" s="131"/>
      <c r="E80" s="231"/>
      <c r="F80" s="233">
        <v>233</v>
      </c>
      <c r="G80" s="233">
        <v>63</v>
      </c>
      <c r="H80" s="233">
        <f t="shared" si="20"/>
        <v>296</v>
      </c>
      <c r="I80" s="233">
        <v>296</v>
      </c>
      <c r="J80" s="240">
        <f t="shared" si="21"/>
        <v>100</v>
      </c>
      <c r="K80" s="231"/>
      <c r="L80" s="233">
        <v>265</v>
      </c>
      <c r="M80" s="235"/>
      <c r="N80" s="60"/>
    </row>
    <row r="81" spans="1:17" ht="20.100000000000001" customHeight="1" x14ac:dyDescent="0.25">
      <c r="A81" s="34" t="s">
        <v>74</v>
      </c>
      <c r="B81" s="131">
        <v>60</v>
      </c>
      <c r="C81" s="132" t="s">
        <v>13</v>
      </c>
      <c r="D81" s="131"/>
      <c r="E81" s="231"/>
      <c r="F81" s="233">
        <v>47</v>
      </c>
      <c r="G81" s="233">
        <v>13</v>
      </c>
      <c r="H81" s="233">
        <f t="shared" si="20"/>
        <v>60</v>
      </c>
      <c r="I81" s="233"/>
      <c r="J81" s="240">
        <f t="shared" si="21"/>
        <v>0</v>
      </c>
      <c r="K81" s="231"/>
      <c r="L81" s="233">
        <v>54</v>
      </c>
      <c r="M81" s="235"/>
      <c r="N81" s="60"/>
    </row>
    <row r="82" spans="1:17" ht="20.100000000000001" customHeight="1" x14ac:dyDescent="0.25">
      <c r="A82" s="34" t="s">
        <v>75</v>
      </c>
      <c r="B82" s="131">
        <v>100</v>
      </c>
      <c r="C82" s="132" t="s">
        <v>13</v>
      </c>
      <c r="D82" s="131"/>
      <c r="E82" s="231"/>
      <c r="F82" s="233">
        <v>79</v>
      </c>
      <c r="G82" s="233">
        <v>21</v>
      </c>
      <c r="H82" s="233">
        <f t="shared" si="20"/>
        <v>100</v>
      </c>
      <c r="I82" s="233"/>
      <c r="J82" s="240">
        <f t="shared" si="21"/>
        <v>0</v>
      </c>
      <c r="K82" s="231"/>
      <c r="L82" s="233">
        <v>90</v>
      </c>
      <c r="M82" s="235"/>
      <c r="N82" s="60"/>
    </row>
    <row r="83" spans="1:17" ht="20.100000000000001" customHeight="1" x14ac:dyDescent="0.25">
      <c r="A83" s="34" t="s">
        <v>120</v>
      </c>
      <c r="B83" s="131">
        <v>559</v>
      </c>
      <c r="C83" s="132" t="s">
        <v>13</v>
      </c>
      <c r="D83" s="131"/>
      <c r="E83" s="231"/>
      <c r="F83" s="233">
        <v>440</v>
      </c>
      <c r="G83" s="233">
        <v>119</v>
      </c>
      <c r="H83" s="233">
        <f t="shared" si="20"/>
        <v>559</v>
      </c>
      <c r="I83" s="233">
        <v>559</v>
      </c>
      <c r="J83" s="243">
        <f t="shared" si="21"/>
        <v>100</v>
      </c>
      <c r="K83" s="231"/>
      <c r="L83" s="231">
        <v>501</v>
      </c>
      <c r="M83" s="235"/>
      <c r="N83" s="60"/>
      <c r="O83" s="60"/>
    </row>
    <row r="84" spans="1:17" ht="20.100000000000001" customHeight="1" thickBot="1" x14ac:dyDescent="0.3">
      <c r="A84" s="43"/>
      <c r="B84" s="122"/>
      <c r="C84" s="123"/>
      <c r="D84" s="122"/>
      <c r="E84" s="92"/>
      <c r="F84" s="69"/>
      <c r="G84" s="69"/>
      <c r="H84" s="69"/>
      <c r="I84" s="69"/>
      <c r="J84" s="244"/>
      <c r="K84" s="92"/>
      <c r="L84" s="92"/>
      <c r="M84" s="157"/>
      <c r="N84" s="60"/>
      <c r="O84" s="60"/>
    </row>
    <row r="85" spans="1:17" ht="20.100000000000001" customHeight="1" thickBot="1" x14ac:dyDescent="0.3">
      <c r="A85" s="52" t="s">
        <v>14</v>
      </c>
      <c r="B85" s="158">
        <f>SUM(B70:B83)</f>
        <v>10195</v>
      </c>
      <c r="C85" s="159"/>
      <c r="D85" s="158">
        <f>SUM(D83:D83)</f>
        <v>0</v>
      </c>
      <c r="E85" s="181"/>
      <c r="F85" s="181">
        <f>SUM(F70:F83)</f>
        <v>8493</v>
      </c>
      <c r="G85" s="181">
        <f>SUM(G70:G83)</f>
        <v>1576</v>
      </c>
      <c r="H85" s="181">
        <f>SUM(H70:H83)</f>
        <v>10069</v>
      </c>
      <c r="I85" s="236">
        <f>SUM(I70:I83)</f>
        <v>10034</v>
      </c>
      <c r="J85" s="234">
        <f t="shared" si="21"/>
        <v>99.652398450690242</v>
      </c>
      <c r="K85" s="181">
        <f>SUM(K83:K83)</f>
        <v>0</v>
      </c>
      <c r="L85" s="181">
        <f>SUM(L70:L83)</f>
        <v>9066</v>
      </c>
      <c r="M85" s="164">
        <f>SUM(M83:M83)</f>
        <v>0</v>
      </c>
      <c r="N85" s="60"/>
      <c r="O85" s="60"/>
    </row>
    <row r="86" spans="1:17" ht="33.75" customHeight="1" x14ac:dyDescent="0.25">
      <c r="A86" s="226" t="s">
        <v>76</v>
      </c>
      <c r="B86" s="227"/>
      <c r="C86" s="228"/>
      <c r="D86" s="227"/>
      <c r="E86" s="229"/>
      <c r="F86" s="229"/>
      <c r="G86" s="229"/>
      <c r="H86" s="229"/>
      <c r="I86" s="229"/>
      <c r="J86" s="245"/>
      <c r="K86" s="229"/>
      <c r="L86" s="229"/>
      <c r="M86" s="246"/>
      <c r="N86" s="60"/>
    </row>
    <row r="87" spans="1:17" ht="20.100000000000001" customHeight="1" thickBot="1" x14ac:dyDescent="0.3">
      <c r="A87" s="140" t="s">
        <v>77</v>
      </c>
      <c r="B87" s="141">
        <v>1016</v>
      </c>
      <c r="C87" s="142" t="s">
        <v>13</v>
      </c>
      <c r="D87" s="141"/>
      <c r="E87" s="247"/>
      <c r="F87" s="247">
        <v>800</v>
      </c>
      <c r="G87" s="247">
        <v>216</v>
      </c>
      <c r="H87" s="247">
        <f>SUM(F87:G87)</f>
        <v>1016</v>
      </c>
      <c r="I87" s="247">
        <v>1016</v>
      </c>
      <c r="J87" s="248">
        <f>I87/H87*100</f>
        <v>100</v>
      </c>
      <c r="K87" s="247"/>
      <c r="L87" s="247"/>
      <c r="M87" s="249"/>
      <c r="N87" s="60"/>
    </row>
    <row r="88" spans="1:17" ht="20.100000000000001" customHeight="1" thickBot="1" x14ac:dyDescent="0.3">
      <c r="A88" s="52" t="s">
        <v>14</v>
      </c>
      <c r="B88" s="158">
        <f>SUM(B87)</f>
        <v>1016</v>
      </c>
      <c r="C88" s="159"/>
      <c r="D88" s="158"/>
      <c r="E88" s="181"/>
      <c r="F88" s="181">
        <f>SUM(F87)</f>
        <v>800</v>
      </c>
      <c r="G88" s="181">
        <f>SUM(G87)</f>
        <v>216</v>
      </c>
      <c r="H88" s="181">
        <f>SUM(H87)</f>
        <v>1016</v>
      </c>
      <c r="I88" s="181">
        <f>SUM(I87)</f>
        <v>1016</v>
      </c>
      <c r="J88" s="248">
        <f>I88/H88*100</f>
        <v>100</v>
      </c>
      <c r="K88" s="181">
        <f>SUM(K87)</f>
        <v>0</v>
      </c>
      <c r="L88" s="181">
        <f>SUM(L87)</f>
        <v>0</v>
      </c>
      <c r="M88" s="164"/>
      <c r="N88" s="60"/>
    </row>
    <row r="89" spans="1:17" ht="20.100000000000001" customHeight="1" x14ac:dyDescent="0.25">
      <c r="A89" s="226" t="s">
        <v>78</v>
      </c>
      <c r="B89" s="227"/>
      <c r="C89" s="228"/>
      <c r="D89" s="227"/>
      <c r="E89" s="229"/>
      <c r="F89" s="229"/>
      <c r="G89" s="229"/>
      <c r="H89" s="229"/>
      <c r="I89" s="229"/>
      <c r="J89" s="229"/>
      <c r="K89" s="229"/>
      <c r="L89" s="229"/>
      <c r="M89" s="246"/>
      <c r="N89" s="60"/>
    </row>
    <row r="90" spans="1:17" ht="20.100000000000001" customHeight="1" thickBot="1" x14ac:dyDescent="0.3">
      <c r="A90" s="140" t="s">
        <v>79</v>
      </c>
      <c r="B90" s="141">
        <v>10124</v>
      </c>
      <c r="C90" s="142" t="s">
        <v>13</v>
      </c>
      <c r="D90" s="141"/>
      <c r="E90" s="247"/>
      <c r="F90" s="247">
        <v>7990</v>
      </c>
      <c r="G90" s="247">
        <v>2134</v>
      </c>
      <c r="H90" s="247">
        <f>SUM(F90:G90)</f>
        <v>10124</v>
      </c>
      <c r="I90" s="77">
        <v>10124</v>
      </c>
      <c r="J90" s="250">
        <f>I90/H90*100</f>
        <v>100</v>
      </c>
      <c r="K90" s="251"/>
      <c r="L90" s="251">
        <v>7990</v>
      </c>
      <c r="M90" s="252"/>
      <c r="N90" s="60"/>
    </row>
    <row r="91" spans="1:17" ht="20.100000000000001" customHeight="1" thickBot="1" x14ac:dyDescent="0.3">
      <c r="A91" s="52" t="s">
        <v>14</v>
      </c>
      <c r="B91" s="158">
        <f>SUM(B90)</f>
        <v>10124</v>
      </c>
      <c r="C91" s="158">
        <f t="shared" ref="C91:L91" si="22">SUM(C90)</f>
        <v>0</v>
      </c>
      <c r="D91" s="158">
        <f t="shared" si="22"/>
        <v>0</v>
      </c>
      <c r="E91" s="158"/>
      <c r="F91" s="158">
        <f t="shared" si="22"/>
        <v>7990</v>
      </c>
      <c r="G91" s="158">
        <f t="shared" si="22"/>
        <v>2134</v>
      </c>
      <c r="H91" s="158">
        <f t="shared" si="22"/>
        <v>10124</v>
      </c>
      <c r="I91" s="158">
        <f>SUM(I90)</f>
        <v>10124</v>
      </c>
      <c r="J91" s="250">
        <f>I91/H91*100</f>
        <v>100</v>
      </c>
      <c r="K91" s="158">
        <f t="shared" si="22"/>
        <v>0</v>
      </c>
      <c r="L91" s="158">
        <f t="shared" si="22"/>
        <v>7990</v>
      </c>
      <c r="M91" s="164"/>
      <c r="N91" s="60"/>
    </row>
    <row r="92" spans="1:17" ht="20.100000000000001" customHeight="1" thickBot="1" x14ac:dyDescent="0.3">
      <c r="A92" s="253" t="s">
        <v>80</v>
      </c>
      <c r="B92" s="254">
        <f>SUM(B65,B61,B58,B50,B45,B44,B41,B40,B39,B37,B34,B31,B24,B21,B13,B11,B68,B85,B88,B91,B46)</f>
        <v>3898503</v>
      </c>
      <c r="C92" s="254">
        <f t="shared" ref="C92:G92" si="23">SUM(C65,C61,C58,C50,C45,C44,C41,C40,C39,C37,C34,C31,C24,C21,C13,C11,C68,C85,C88,C91,C46)</f>
        <v>6045</v>
      </c>
      <c r="D92" s="254">
        <f t="shared" si="23"/>
        <v>876622</v>
      </c>
      <c r="E92" s="254">
        <f t="shared" si="23"/>
        <v>2510459</v>
      </c>
      <c r="F92" s="254">
        <f t="shared" si="23"/>
        <v>2341165</v>
      </c>
      <c r="G92" s="254">
        <f t="shared" si="23"/>
        <v>610791</v>
      </c>
      <c r="H92" s="254">
        <f>H91+H88+H85+H68+H65+H61+H58+H54+H46+H45+H44+H41+H37+H34+H31+H21+H17+H16+H13+H11</f>
        <v>3002963</v>
      </c>
      <c r="I92" s="254">
        <f>I91+I88+I85+I68+I65+I61+I58+I54+I46+I45+I44+I41+I37+I34+I31+I21+I17+I16+I13+I11+I24</f>
        <v>2462226</v>
      </c>
      <c r="J92" s="255">
        <f t="shared" ref="J92:J94" si="24">I92/H92*100</f>
        <v>81.993218031657406</v>
      </c>
      <c r="K92" s="256">
        <f>SUM(K65,K61,K58,K54,K47,K37,K34,K31,K25,K18,K11,K68,K85,K88)</f>
        <v>338675</v>
      </c>
      <c r="L92" s="256">
        <f>SUM(L65,L61,L58,L54,L47,L37,L34,L31,L25,L18,L11,L68,L85,L88)</f>
        <v>2066735</v>
      </c>
      <c r="M92" s="256">
        <f>SUM(M65,M61,M58,M54,M47,M37,M34,M31,M25,M18,M11,M68,M85,M88)</f>
        <v>1454050</v>
      </c>
      <c r="N92" s="60"/>
      <c r="P92" s="197"/>
      <c r="Q92" s="60"/>
    </row>
    <row r="93" spans="1:17" ht="20.100000000000001" customHeight="1" thickBot="1" x14ac:dyDescent="0.3">
      <c r="A93" s="253" t="s">
        <v>81</v>
      </c>
      <c r="B93" s="254">
        <f t="shared" ref="B93" si="25">B92-B94</f>
        <v>3323949</v>
      </c>
      <c r="C93" s="254">
        <f t="shared" ref="C93:H93" si="26">C92-C94</f>
        <v>6045</v>
      </c>
      <c r="D93" s="254">
        <f t="shared" si="26"/>
        <v>768872</v>
      </c>
      <c r="E93" s="254">
        <f t="shared" si="26"/>
        <v>2510459</v>
      </c>
      <c r="F93" s="254">
        <f t="shared" si="26"/>
        <v>2341165</v>
      </c>
      <c r="G93" s="254">
        <f t="shared" si="26"/>
        <v>143987</v>
      </c>
      <c r="H93" s="254">
        <f t="shared" si="26"/>
        <v>2536159</v>
      </c>
      <c r="I93" s="254">
        <f t="shared" ref="I93" si="27">I92-I94</f>
        <v>2167275</v>
      </c>
      <c r="J93" s="255">
        <f t="shared" si="24"/>
        <v>85.455012875770009</v>
      </c>
      <c r="K93" s="236"/>
      <c r="L93" s="236"/>
      <c r="M93" s="257"/>
      <c r="N93" s="60"/>
      <c r="Q93" s="60"/>
    </row>
    <row r="94" spans="1:17" ht="20.100000000000001" customHeight="1" thickBot="1" x14ac:dyDescent="0.3">
      <c r="A94" s="253" t="s">
        <v>82</v>
      </c>
      <c r="B94" s="254">
        <f t="shared" ref="B94:G94" si="28">SUM(B55+B48+B26+B19)</f>
        <v>574554</v>
      </c>
      <c r="C94" s="254">
        <f t="shared" si="28"/>
        <v>0</v>
      </c>
      <c r="D94" s="254">
        <f t="shared" si="28"/>
        <v>107750</v>
      </c>
      <c r="E94" s="254"/>
      <c r="F94" s="254">
        <f t="shared" si="28"/>
        <v>0</v>
      </c>
      <c r="G94" s="254">
        <f t="shared" si="28"/>
        <v>466804</v>
      </c>
      <c r="H94" s="254">
        <f>SUM(H55+H48+H26+H19)</f>
        <v>466804</v>
      </c>
      <c r="I94" s="254">
        <f>SUM(I48+I26+I19)</f>
        <v>294951</v>
      </c>
      <c r="J94" s="255">
        <f t="shared" si="24"/>
        <v>63.185191215156678</v>
      </c>
      <c r="K94" s="258"/>
      <c r="L94" s="236"/>
      <c r="M94" s="257"/>
      <c r="N94" s="60"/>
      <c r="P94" s="60"/>
      <c r="Q94" s="60"/>
    </row>
    <row r="95" spans="1:17" ht="20.100000000000001" customHeight="1" thickBot="1" x14ac:dyDescent="0.3">
      <c r="A95" s="17" t="s">
        <v>83</v>
      </c>
      <c r="B95" s="158"/>
      <c r="C95" s="259"/>
      <c r="D95" s="158"/>
      <c r="E95" s="181"/>
      <c r="F95" s="260"/>
      <c r="G95" s="260"/>
      <c r="H95" s="260"/>
      <c r="I95" s="260"/>
      <c r="J95" s="260"/>
      <c r="K95" s="260"/>
      <c r="L95" s="181"/>
      <c r="M95" s="164"/>
      <c r="N95" s="60"/>
      <c r="P95" s="60"/>
      <c r="Q95" s="60"/>
    </row>
    <row r="96" spans="1:17" ht="20.100000000000001" customHeight="1" x14ac:dyDescent="0.25">
      <c r="A96" s="261" t="s">
        <v>84</v>
      </c>
      <c r="B96" s="152"/>
      <c r="C96" s="262"/>
      <c r="D96" s="152"/>
      <c r="E96" s="154"/>
      <c r="F96" s="263"/>
      <c r="G96" s="263"/>
      <c r="H96" s="263"/>
      <c r="I96" s="263"/>
      <c r="J96" s="263"/>
      <c r="K96" s="263"/>
      <c r="L96" s="154"/>
      <c r="M96" s="155"/>
      <c r="N96" s="60"/>
      <c r="P96" s="60"/>
      <c r="Q96" s="60"/>
    </row>
    <row r="97" spans="1:17" ht="20.100000000000001" customHeight="1" thickBot="1" x14ac:dyDescent="0.3">
      <c r="A97" s="264" t="s">
        <v>85</v>
      </c>
      <c r="B97" s="150">
        <v>1061</v>
      </c>
      <c r="C97" s="265">
        <v>2015</v>
      </c>
      <c r="D97" s="266">
        <v>0</v>
      </c>
      <c r="E97" s="267">
        <v>1061</v>
      </c>
      <c r="F97" s="267">
        <v>835</v>
      </c>
      <c r="G97" s="267">
        <v>226</v>
      </c>
      <c r="H97" s="267">
        <f>SUM(F97:G97)</f>
        <v>1061</v>
      </c>
      <c r="I97" s="268">
        <v>826</v>
      </c>
      <c r="J97" s="269">
        <f>I97/H97*100</f>
        <v>77.851083883129121</v>
      </c>
      <c r="K97" s="267">
        <v>0</v>
      </c>
      <c r="L97" s="267">
        <v>0</v>
      </c>
      <c r="M97" s="270">
        <v>0</v>
      </c>
      <c r="N97" s="60"/>
      <c r="P97" s="60"/>
      <c r="Q97" s="60"/>
    </row>
    <row r="98" spans="1:17" ht="20.100000000000001" customHeight="1" x14ac:dyDescent="0.25">
      <c r="A98" s="261" t="s">
        <v>86</v>
      </c>
      <c r="B98" s="152"/>
      <c r="C98" s="262"/>
      <c r="D98" s="152"/>
      <c r="E98" s="154"/>
      <c r="F98" s="263"/>
      <c r="G98" s="263"/>
      <c r="H98" s="263"/>
      <c r="I98" s="271"/>
      <c r="J98" s="272"/>
      <c r="K98" s="263"/>
      <c r="L98" s="154"/>
      <c r="M98" s="155"/>
      <c r="N98" s="60"/>
      <c r="P98" s="60"/>
      <c r="Q98" s="60"/>
    </row>
    <row r="99" spans="1:17" ht="20.100000000000001" customHeight="1" thickBot="1" x14ac:dyDescent="0.3">
      <c r="A99" s="264" t="s">
        <v>87</v>
      </c>
      <c r="B99" s="150">
        <f>127+104</f>
        <v>231</v>
      </c>
      <c r="C99" s="265">
        <v>2015</v>
      </c>
      <c r="D99" s="273">
        <v>0</v>
      </c>
      <c r="E99" s="274">
        <v>127</v>
      </c>
      <c r="F99" s="267">
        <f>100+103</f>
        <v>203</v>
      </c>
      <c r="G99" s="267">
        <f>27+1</f>
        <v>28</v>
      </c>
      <c r="H99" s="267">
        <f>SUM(F99:G99)</f>
        <v>231</v>
      </c>
      <c r="I99" s="268">
        <v>144</v>
      </c>
      <c r="J99" s="269">
        <f t="shared" ref="J99" si="29">I99/H99*100</f>
        <v>62.337662337662337</v>
      </c>
      <c r="K99" s="274">
        <v>0</v>
      </c>
      <c r="L99" s="274">
        <v>0</v>
      </c>
      <c r="M99" s="275">
        <v>0</v>
      </c>
      <c r="N99" s="60"/>
      <c r="P99" s="60"/>
      <c r="Q99" s="60"/>
    </row>
    <row r="100" spans="1:17" ht="20.100000000000001" customHeight="1" x14ac:dyDescent="0.25">
      <c r="A100" s="218" t="s">
        <v>52</v>
      </c>
      <c r="B100" s="152"/>
      <c r="C100" s="262"/>
      <c r="D100" s="276"/>
      <c r="E100" s="277"/>
      <c r="F100" s="263"/>
      <c r="G100" s="263"/>
      <c r="H100" s="263"/>
      <c r="I100" s="271"/>
      <c r="J100" s="263"/>
      <c r="K100" s="277"/>
      <c r="L100" s="277"/>
      <c r="M100" s="278"/>
      <c r="N100" s="60"/>
      <c r="P100" s="60"/>
      <c r="Q100" s="60"/>
    </row>
    <row r="101" spans="1:17" s="281" customFormat="1" ht="20.100000000000001" customHeight="1" thickBot="1" x14ac:dyDescent="0.3">
      <c r="A101" s="279" t="s">
        <v>88</v>
      </c>
      <c r="B101" s="150">
        <v>4948</v>
      </c>
      <c r="C101" s="265">
        <v>2015</v>
      </c>
      <c r="D101" s="273">
        <v>0</v>
      </c>
      <c r="E101" s="267">
        <v>4948</v>
      </c>
      <c r="F101" s="267">
        <v>3896</v>
      </c>
      <c r="G101" s="267">
        <v>1052</v>
      </c>
      <c r="H101" s="267">
        <f>SUM(F101:G101)</f>
        <v>4948</v>
      </c>
      <c r="I101" s="268"/>
      <c r="J101" s="267"/>
      <c r="K101" s="274">
        <v>0</v>
      </c>
      <c r="L101" s="274"/>
      <c r="M101" s="275"/>
      <c r="N101" s="280"/>
      <c r="P101" s="280"/>
      <c r="Q101" s="280"/>
    </row>
    <row r="102" spans="1:17" ht="20.100000000000001" customHeight="1" x14ac:dyDescent="0.25">
      <c r="A102" s="21" t="s">
        <v>36</v>
      </c>
      <c r="B102" s="152"/>
      <c r="C102" s="262"/>
      <c r="D102" s="276"/>
      <c r="E102" s="277"/>
      <c r="F102" s="263"/>
      <c r="G102" s="263"/>
      <c r="H102" s="263"/>
      <c r="I102" s="271"/>
      <c r="J102" s="263"/>
      <c r="K102" s="277"/>
      <c r="L102" s="277"/>
      <c r="M102" s="278"/>
      <c r="N102" s="60"/>
      <c r="P102" s="60"/>
      <c r="Q102" s="60"/>
    </row>
    <row r="103" spans="1:17" ht="33.75" customHeight="1" thickBot="1" x14ac:dyDescent="0.3">
      <c r="A103" s="264" t="s">
        <v>89</v>
      </c>
      <c r="B103" s="150">
        <f>522+88</f>
        <v>610</v>
      </c>
      <c r="C103" s="265">
        <v>2015</v>
      </c>
      <c r="D103" s="273">
        <v>0</v>
      </c>
      <c r="E103" s="274">
        <v>522</v>
      </c>
      <c r="F103" s="267">
        <f>411+88</f>
        <v>499</v>
      </c>
      <c r="G103" s="267">
        <v>111</v>
      </c>
      <c r="H103" s="267">
        <f>SUM(F103:G103)</f>
        <v>610</v>
      </c>
      <c r="I103" s="268">
        <v>640</v>
      </c>
      <c r="J103" s="269">
        <f>I103/H103*100</f>
        <v>104.91803278688525</v>
      </c>
      <c r="K103" s="274">
        <v>0</v>
      </c>
      <c r="L103" s="274">
        <v>0</v>
      </c>
      <c r="M103" s="275">
        <v>0</v>
      </c>
      <c r="N103" s="60"/>
      <c r="O103" s="197"/>
      <c r="P103" s="60"/>
      <c r="Q103" s="60"/>
    </row>
    <row r="104" spans="1:17" ht="20.100000000000001" customHeight="1" x14ac:dyDescent="0.25">
      <c r="A104" s="218" t="s">
        <v>61</v>
      </c>
      <c r="B104" s="183"/>
      <c r="C104" s="282"/>
      <c r="D104" s="283"/>
      <c r="E104" s="284"/>
      <c r="F104" s="214"/>
      <c r="G104" s="214"/>
      <c r="H104" s="214"/>
      <c r="I104" s="285"/>
      <c r="J104" s="214"/>
      <c r="K104" s="284"/>
      <c r="L104" s="284"/>
      <c r="M104" s="286"/>
      <c r="N104" s="60"/>
      <c r="P104" s="60"/>
      <c r="Q104" s="60"/>
    </row>
    <row r="105" spans="1:17" ht="20.100000000000001" customHeight="1" thickBot="1" x14ac:dyDescent="0.3">
      <c r="A105" s="279" t="s">
        <v>88</v>
      </c>
      <c r="B105" s="150">
        <f>471+19+15</f>
        <v>505</v>
      </c>
      <c r="C105" s="265">
        <v>2015</v>
      </c>
      <c r="D105" s="273"/>
      <c r="E105" s="274"/>
      <c r="F105" s="267">
        <f>371+15+15</f>
        <v>401</v>
      </c>
      <c r="G105" s="267">
        <f>100+4</f>
        <v>104</v>
      </c>
      <c r="H105" s="267">
        <f>SUM(F105:G105)</f>
        <v>505</v>
      </c>
      <c r="I105" s="268">
        <v>493</v>
      </c>
      <c r="J105" s="269">
        <f>I105/H105*100</f>
        <v>97.623762376237622</v>
      </c>
      <c r="K105" s="274"/>
      <c r="L105" s="274">
        <v>471</v>
      </c>
      <c r="M105" s="275"/>
      <c r="N105" s="60"/>
      <c r="O105" s="197"/>
      <c r="P105" s="60"/>
      <c r="Q105" s="60"/>
    </row>
    <row r="106" spans="1:17" ht="20.100000000000001" customHeight="1" x14ac:dyDescent="0.25">
      <c r="A106" s="218" t="s">
        <v>63</v>
      </c>
      <c r="B106" s="183"/>
      <c r="C106" s="282"/>
      <c r="D106" s="283"/>
      <c r="E106" s="284"/>
      <c r="F106" s="214"/>
      <c r="G106" s="214"/>
      <c r="H106" s="214"/>
      <c r="I106" s="285"/>
      <c r="J106" s="214"/>
      <c r="K106" s="284"/>
      <c r="L106" s="284"/>
      <c r="M106" s="286"/>
      <c r="N106" s="60"/>
      <c r="P106" s="60"/>
      <c r="Q106" s="60"/>
    </row>
    <row r="107" spans="1:17" ht="33.75" customHeight="1" x14ac:dyDescent="0.25">
      <c r="A107" s="161" t="s">
        <v>126</v>
      </c>
      <c r="B107" s="122">
        <v>775</v>
      </c>
      <c r="C107" s="287">
        <v>2015</v>
      </c>
      <c r="D107" s="288"/>
      <c r="E107" s="289"/>
      <c r="F107" s="156">
        <v>610</v>
      </c>
      <c r="G107" s="156">
        <v>165</v>
      </c>
      <c r="H107" s="193">
        <f>SUM(F107:G107)</f>
        <v>775</v>
      </c>
      <c r="I107" s="290">
        <v>922</v>
      </c>
      <c r="J107" s="291">
        <f>I107/H107*100</f>
        <v>118.96774193548387</v>
      </c>
      <c r="K107" s="289"/>
      <c r="L107" s="289">
        <v>682</v>
      </c>
      <c r="M107" s="278"/>
      <c r="N107" s="60"/>
      <c r="P107" s="60"/>
      <c r="Q107" s="60"/>
    </row>
    <row r="108" spans="1:17" ht="20.100000000000001" customHeight="1" x14ac:dyDescent="0.25">
      <c r="A108" s="334" t="s">
        <v>125</v>
      </c>
      <c r="B108" s="131">
        <v>501</v>
      </c>
      <c r="C108" s="292">
        <v>2015</v>
      </c>
      <c r="D108" s="133"/>
      <c r="E108" s="134"/>
      <c r="F108" s="135">
        <v>394</v>
      </c>
      <c r="G108" s="135">
        <v>107</v>
      </c>
      <c r="H108" s="193">
        <f>SUM(F108:G108)</f>
        <v>501</v>
      </c>
      <c r="I108" s="129">
        <v>297</v>
      </c>
      <c r="J108" s="291">
        <f t="shared" ref="J108:J110" si="30">I108/H108*100</f>
        <v>59.281437125748504</v>
      </c>
      <c r="K108" s="134"/>
      <c r="L108" s="134">
        <v>501</v>
      </c>
      <c r="M108" s="293"/>
      <c r="N108" s="60"/>
      <c r="P108" s="60"/>
      <c r="Q108" s="60"/>
    </row>
    <row r="109" spans="1:17" ht="20.100000000000001" customHeight="1" thickBot="1" x14ac:dyDescent="0.3">
      <c r="A109" s="279" t="s">
        <v>124</v>
      </c>
      <c r="B109" s="141">
        <v>665</v>
      </c>
      <c r="C109" s="294">
        <v>2015</v>
      </c>
      <c r="D109" s="143"/>
      <c r="E109" s="144"/>
      <c r="F109" s="145">
        <v>524</v>
      </c>
      <c r="G109" s="145">
        <v>141</v>
      </c>
      <c r="H109" s="145">
        <f>SUM(F109:G109)</f>
        <v>665</v>
      </c>
      <c r="I109" s="295">
        <v>663</v>
      </c>
      <c r="J109" s="211">
        <f t="shared" si="30"/>
        <v>99.699248120300751</v>
      </c>
      <c r="K109" s="144"/>
      <c r="L109" s="144">
        <v>596</v>
      </c>
      <c r="M109" s="275"/>
      <c r="N109" s="60"/>
      <c r="P109" s="60"/>
      <c r="Q109" s="60"/>
    </row>
    <row r="110" spans="1:17" ht="20.100000000000001" customHeight="1" thickBot="1" x14ac:dyDescent="0.3">
      <c r="A110" s="296" t="s">
        <v>90</v>
      </c>
      <c r="B110" s="150">
        <f>SUM(B107:B109)</f>
        <v>1941</v>
      </c>
      <c r="C110" s="265"/>
      <c r="D110" s="273"/>
      <c r="E110" s="274"/>
      <c r="F110" s="267">
        <f>SUM(F107:F109)</f>
        <v>1528</v>
      </c>
      <c r="G110" s="267">
        <f>SUM(G107:G109)</f>
        <v>413</v>
      </c>
      <c r="H110" s="267">
        <f>SUM(H107:H109)</f>
        <v>1941</v>
      </c>
      <c r="I110" s="268">
        <f>SUM(I107:I109)</f>
        <v>1882</v>
      </c>
      <c r="J110" s="291">
        <f t="shared" si="30"/>
        <v>96.960329726944877</v>
      </c>
      <c r="K110" s="274"/>
      <c r="L110" s="274">
        <f>SUM(L107:L109)</f>
        <v>1779</v>
      </c>
      <c r="M110" s="275"/>
      <c r="N110" s="60"/>
      <c r="O110" s="60"/>
      <c r="P110" s="60"/>
      <c r="Q110" s="60"/>
    </row>
    <row r="111" spans="1:17" ht="33.75" customHeight="1" x14ac:dyDescent="0.25">
      <c r="A111" s="297" t="s">
        <v>107</v>
      </c>
      <c r="B111" s="227"/>
      <c r="C111" s="298"/>
      <c r="D111" s="299"/>
      <c r="E111" s="300"/>
      <c r="F111" s="301"/>
      <c r="G111" s="301"/>
      <c r="H111" s="301"/>
      <c r="I111" s="302"/>
      <c r="J111" s="301"/>
      <c r="K111" s="300"/>
      <c r="L111" s="300"/>
      <c r="M111" s="303"/>
      <c r="N111" s="60"/>
      <c r="O111" s="60"/>
      <c r="P111" s="60"/>
      <c r="Q111" s="60"/>
    </row>
    <row r="112" spans="1:17" ht="20.100000000000001" customHeight="1" thickBot="1" x14ac:dyDescent="0.3">
      <c r="A112" s="279" t="s">
        <v>110</v>
      </c>
      <c r="B112" s="150">
        <v>9</v>
      </c>
      <c r="C112" s="265" t="s">
        <v>13</v>
      </c>
      <c r="D112" s="273"/>
      <c r="E112" s="274"/>
      <c r="F112" s="267">
        <v>7</v>
      </c>
      <c r="G112" s="267">
        <v>2</v>
      </c>
      <c r="H112" s="267">
        <f>SUM(F112:G112)</f>
        <v>9</v>
      </c>
      <c r="I112" s="268">
        <v>8</v>
      </c>
      <c r="J112" s="269">
        <f>I112/H112*100</f>
        <v>88.888888888888886</v>
      </c>
      <c r="K112" s="274"/>
      <c r="L112" s="274"/>
      <c r="M112" s="275"/>
      <c r="N112" s="60"/>
      <c r="O112" s="60"/>
      <c r="P112" s="60"/>
      <c r="Q112" s="60"/>
    </row>
    <row r="113" spans="1:17" ht="33.75" customHeight="1" x14ac:dyDescent="0.25">
      <c r="A113" s="297" t="s">
        <v>108</v>
      </c>
      <c r="B113" s="227"/>
      <c r="C113" s="298"/>
      <c r="D113" s="299"/>
      <c r="E113" s="300"/>
      <c r="F113" s="301"/>
      <c r="G113" s="301"/>
      <c r="H113" s="301"/>
      <c r="I113" s="302"/>
      <c r="J113" s="304"/>
      <c r="K113" s="300"/>
      <c r="L113" s="300"/>
      <c r="M113" s="303"/>
      <c r="N113" s="60"/>
      <c r="O113" s="60"/>
      <c r="P113" s="60"/>
      <c r="Q113" s="60"/>
    </row>
    <row r="114" spans="1:17" ht="20.100000000000001" customHeight="1" thickBot="1" x14ac:dyDescent="0.3">
      <c r="A114" s="279" t="s">
        <v>110</v>
      </c>
      <c r="B114" s="150">
        <v>10</v>
      </c>
      <c r="C114" s="265" t="s">
        <v>13</v>
      </c>
      <c r="D114" s="273"/>
      <c r="E114" s="274"/>
      <c r="F114" s="267">
        <v>8</v>
      </c>
      <c r="G114" s="267">
        <v>2</v>
      </c>
      <c r="H114" s="267">
        <f>SUM(F114:G114)</f>
        <v>10</v>
      </c>
      <c r="I114" s="268">
        <v>10</v>
      </c>
      <c r="J114" s="269">
        <f t="shared" ref="J114:J116" si="31">I114/H114*100</f>
        <v>100</v>
      </c>
      <c r="K114" s="274"/>
      <c r="L114" s="274"/>
      <c r="M114" s="275"/>
      <c r="N114" s="60"/>
      <c r="O114" s="60"/>
      <c r="P114" s="60"/>
      <c r="Q114" s="60"/>
    </row>
    <row r="115" spans="1:17" ht="33.75" customHeight="1" x14ac:dyDescent="0.25">
      <c r="A115" s="305" t="s">
        <v>109</v>
      </c>
      <c r="B115" s="227"/>
      <c r="C115" s="298"/>
      <c r="D115" s="299"/>
      <c r="E115" s="300"/>
      <c r="F115" s="301"/>
      <c r="G115" s="301"/>
      <c r="H115" s="301"/>
      <c r="I115" s="302"/>
      <c r="J115" s="304"/>
      <c r="K115" s="300"/>
      <c r="L115" s="300"/>
      <c r="M115" s="303"/>
      <c r="N115" s="60"/>
      <c r="O115" s="60"/>
      <c r="P115" s="60"/>
      <c r="Q115" s="60"/>
    </row>
    <row r="116" spans="1:17" ht="20.100000000000001" customHeight="1" thickBot="1" x14ac:dyDescent="0.3">
      <c r="A116" s="279" t="s">
        <v>110</v>
      </c>
      <c r="B116" s="150">
        <v>3</v>
      </c>
      <c r="C116" s="265" t="s">
        <v>13</v>
      </c>
      <c r="D116" s="273"/>
      <c r="E116" s="274"/>
      <c r="F116" s="267">
        <v>2</v>
      </c>
      <c r="G116" s="267">
        <v>1</v>
      </c>
      <c r="H116" s="267">
        <f>SUM(F116:G116)</f>
        <v>3</v>
      </c>
      <c r="I116" s="268">
        <v>3</v>
      </c>
      <c r="J116" s="269">
        <f t="shared" si="31"/>
        <v>100</v>
      </c>
      <c r="K116" s="274"/>
      <c r="L116" s="274"/>
      <c r="M116" s="275"/>
      <c r="N116" s="60"/>
      <c r="O116" s="60"/>
      <c r="P116" s="60"/>
      <c r="Q116" s="60"/>
    </row>
    <row r="117" spans="1:17" ht="20.100000000000001" customHeight="1" thickBot="1" x14ac:dyDescent="0.3">
      <c r="A117" s="253" t="s">
        <v>91</v>
      </c>
      <c r="B117" s="254">
        <f>SUM(B110,B105,B103,B101,B99,B97,B112,B114,B116)</f>
        <v>9318</v>
      </c>
      <c r="C117" s="254"/>
      <c r="D117" s="254">
        <f t="shared" ref="D117:G117" si="32">SUM(D110,D105,D103,D101,D99,D97,D112,D114,D116)</f>
        <v>0</v>
      </c>
      <c r="E117" s="254">
        <f>SUM(E96:E103)</f>
        <v>6658</v>
      </c>
      <c r="F117" s="254">
        <f t="shared" si="32"/>
        <v>7379</v>
      </c>
      <c r="G117" s="254">
        <f t="shared" si="32"/>
        <v>1939</v>
      </c>
      <c r="H117" s="254">
        <f>SUM(H110,H105,H103,H101,H99,H97,H112,H114,H116)</f>
        <v>9318</v>
      </c>
      <c r="I117" s="254">
        <f>SUM(I110,I105,I103,I101,I99,I97,I112,I114,I116)</f>
        <v>4006</v>
      </c>
      <c r="J117" s="254"/>
      <c r="K117" s="256">
        <f t="shared" ref="K117:M117" si="33">SUM(K110,K105,K103,K101,K99,K97)</f>
        <v>0</v>
      </c>
      <c r="L117" s="256">
        <f t="shared" si="33"/>
        <v>2250</v>
      </c>
      <c r="M117" s="256">
        <f t="shared" si="33"/>
        <v>0</v>
      </c>
      <c r="N117" s="60"/>
      <c r="P117" s="60"/>
      <c r="Q117" s="60"/>
    </row>
    <row r="118" spans="1:17" ht="20.100000000000001" customHeight="1" thickBot="1" x14ac:dyDescent="0.3">
      <c r="A118" s="253" t="s">
        <v>92</v>
      </c>
      <c r="B118" s="254">
        <f>SUM(B117,B92)</f>
        <v>3907821</v>
      </c>
      <c r="C118" s="254"/>
      <c r="D118" s="254">
        <f t="shared" ref="D118:M118" si="34">SUM(D117,D92)</f>
        <v>876622</v>
      </c>
      <c r="E118" s="254">
        <f t="shared" si="34"/>
        <v>2517117</v>
      </c>
      <c r="F118" s="254">
        <f t="shared" si="34"/>
        <v>2348544</v>
      </c>
      <c r="G118" s="254">
        <f t="shared" si="34"/>
        <v>612730</v>
      </c>
      <c r="H118" s="254">
        <f t="shared" si="34"/>
        <v>3012281</v>
      </c>
      <c r="I118" s="254">
        <f t="shared" ref="I118" si="35">SUM(I117,I92)</f>
        <v>2466232</v>
      </c>
      <c r="J118" s="254"/>
      <c r="K118" s="256">
        <f t="shared" si="34"/>
        <v>338675</v>
      </c>
      <c r="L118" s="256">
        <f t="shared" si="34"/>
        <v>2068985</v>
      </c>
      <c r="M118" s="257">
        <f t="shared" si="34"/>
        <v>1454050</v>
      </c>
      <c r="N118" s="60"/>
      <c r="P118" s="60"/>
      <c r="Q118" s="60"/>
    </row>
    <row r="119" spans="1:17" ht="20.100000000000001" customHeight="1" thickBot="1" x14ac:dyDescent="0.3">
      <c r="A119" s="253" t="s">
        <v>81</v>
      </c>
      <c r="B119" s="254">
        <f t="shared" ref="B119:H119" si="36">SUM(B117,B93)</f>
        <v>3333267</v>
      </c>
      <c r="C119" s="254"/>
      <c r="D119" s="254">
        <f t="shared" si="36"/>
        <v>768872</v>
      </c>
      <c r="E119" s="254">
        <f t="shared" si="36"/>
        <v>2517117</v>
      </c>
      <c r="F119" s="254">
        <f t="shared" si="36"/>
        <v>2348544</v>
      </c>
      <c r="G119" s="254">
        <f t="shared" si="36"/>
        <v>145926</v>
      </c>
      <c r="H119" s="254">
        <f t="shared" si="36"/>
        <v>2545477</v>
      </c>
      <c r="I119" s="254">
        <f t="shared" ref="I119" si="37">SUM(I117,I93)</f>
        <v>2171281</v>
      </c>
      <c r="J119" s="254"/>
      <c r="K119" s="256"/>
      <c r="L119" s="256"/>
      <c r="M119" s="257"/>
      <c r="N119" s="60"/>
      <c r="P119" s="60"/>
      <c r="Q119" s="60"/>
    </row>
    <row r="120" spans="1:17" ht="20.100000000000001" customHeight="1" thickBot="1" x14ac:dyDescent="0.3">
      <c r="A120" s="253" t="s">
        <v>82</v>
      </c>
      <c r="B120" s="254">
        <f>SUM(B94)</f>
        <v>574554</v>
      </c>
      <c r="C120" s="254">
        <f t="shared" ref="C120:M120" si="38">SUM(C94)</f>
        <v>0</v>
      </c>
      <c r="D120" s="254">
        <f t="shared" si="38"/>
        <v>107750</v>
      </c>
      <c r="E120" s="254"/>
      <c r="F120" s="254">
        <f t="shared" si="38"/>
        <v>0</v>
      </c>
      <c r="G120" s="254">
        <f t="shared" si="38"/>
        <v>466804</v>
      </c>
      <c r="H120" s="254">
        <f t="shared" si="38"/>
        <v>466804</v>
      </c>
      <c r="I120" s="254">
        <f t="shared" ref="I120" si="39">SUM(I94)</f>
        <v>294951</v>
      </c>
      <c r="J120" s="254"/>
      <c r="K120" s="256">
        <f t="shared" si="38"/>
        <v>0</v>
      </c>
      <c r="L120" s="256">
        <f t="shared" si="38"/>
        <v>0</v>
      </c>
      <c r="M120" s="257">
        <f t="shared" si="38"/>
        <v>0</v>
      </c>
      <c r="N120" s="60"/>
      <c r="P120" s="60"/>
      <c r="Q120" s="60"/>
    </row>
    <row r="121" spans="1:17" ht="20.100000000000001" customHeight="1" x14ac:dyDescent="0.25">
      <c r="A121" s="261" t="s">
        <v>93</v>
      </c>
      <c r="B121" s="152"/>
      <c r="C121" s="262"/>
      <c r="D121" s="276"/>
      <c r="E121" s="277"/>
      <c r="F121" s="263"/>
      <c r="G121" s="263"/>
      <c r="H121" s="263"/>
      <c r="I121" s="263"/>
      <c r="J121" s="263"/>
      <c r="K121" s="277"/>
      <c r="L121" s="277"/>
      <c r="M121" s="278"/>
      <c r="N121" s="60"/>
      <c r="P121" s="60"/>
      <c r="Q121" s="60"/>
    </row>
    <row r="122" spans="1:17" ht="20.100000000000001" customHeight="1" x14ac:dyDescent="0.25">
      <c r="A122" s="261" t="s">
        <v>94</v>
      </c>
      <c r="B122" s="152"/>
      <c r="C122" s="262"/>
      <c r="D122" s="276"/>
      <c r="E122" s="277"/>
      <c r="F122" s="154"/>
      <c r="G122" s="154"/>
      <c r="H122" s="154"/>
      <c r="I122" s="154"/>
      <c r="J122" s="154"/>
      <c r="K122" s="277"/>
      <c r="L122" s="277"/>
      <c r="M122" s="278"/>
      <c r="N122" s="60"/>
    </row>
    <row r="123" spans="1:17" ht="33.75" customHeight="1" x14ac:dyDescent="0.25">
      <c r="A123" s="21" t="s">
        <v>76</v>
      </c>
      <c r="B123" s="122"/>
      <c r="C123" s="123"/>
      <c r="D123" s="288"/>
      <c r="E123" s="289"/>
      <c r="F123" s="92"/>
      <c r="G123" s="92"/>
      <c r="H123" s="92"/>
      <c r="I123" s="92"/>
      <c r="J123" s="92"/>
      <c r="K123" s="289"/>
      <c r="L123" s="289"/>
      <c r="M123" s="306"/>
      <c r="N123" s="60"/>
    </row>
    <row r="124" spans="1:17" s="281" customFormat="1" ht="33.75" customHeight="1" x14ac:dyDescent="0.25">
      <c r="A124" s="307" t="s">
        <v>95</v>
      </c>
      <c r="B124" s="122">
        <v>2540</v>
      </c>
      <c r="C124" s="123">
        <v>2015</v>
      </c>
      <c r="D124" s="162">
        <v>0</v>
      </c>
      <c r="E124" s="156">
        <v>2540</v>
      </c>
      <c r="F124" s="156">
        <v>2000</v>
      </c>
      <c r="G124" s="156">
        <v>540</v>
      </c>
      <c r="H124" s="156">
        <f>SUM(F124:G124)</f>
        <v>2540</v>
      </c>
      <c r="I124" s="156">
        <v>838</v>
      </c>
      <c r="J124" s="263"/>
      <c r="K124" s="263">
        <v>0</v>
      </c>
      <c r="L124" s="277">
        <v>0</v>
      </c>
      <c r="M124" s="308">
        <v>0</v>
      </c>
      <c r="N124" s="280"/>
    </row>
    <row r="125" spans="1:17" s="281" customFormat="1" ht="20.100000000000001" customHeight="1" thickBot="1" x14ac:dyDescent="0.3">
      <c r="A125" s="307" t="s">
        <v>96</v>
      </c>
      <c r="B125" s="122">
        <v>635</v>
      </c>
      <c r="C125" s="123">
        <v>2015</v>
      </c>
      <c r="D125" s="162">
        <v>0</v>
      </c>
      <c r="E125" s="156">
        <v>635</v>
      </c>
      <c r="F125" s="156">
        <v>500</v>
      </c>
      <c r="G125" s="156">
        <v>135</v>
      </c>
      <c r="H125" s="156">
        <f>SUM(F125:G125)</f>
        <v>635</v>
      </c>
      <c r="I125" s="156">
        <v>63</v>
      </c>
      <c r="J125" s="263"/>
      <c r="K125" s="263">
        <v>0</v>
      </c>
      <c r="L125" s="277">
        <v>0</v>
      </c>
      <c r="M125" s="308">
        <v>0</v>
      </c>
      <c r="N125" s="280"/>
    </row>
    <row r="126" spans="1:17" ht="20.100000000000001" customHeight="1" thickBot="1" x14ac:dyDescent="0.3">
      <c r="A126" s="309" t="s">
        <v>97</v>
      </c>
      <c r="B126" s="158">
        <f>SUM(B124:B125)</f>
        <v>3175</v>
      </c>
      <c r="C126" s="259"/>
      <c r="D126" s="158"/>
      <c r="E126" s="158">
        <f>SUM(E124:E125)</f>
        <v>3175</v>
      </c>
      <c r="F126" s="310">
        <f>SUM(F124:F125)</f>
        <v>2500</v>
      </c>
      <c r="G126" s="310">
        <f>SUM(G124:G125)</f>
        <v>675</v>
      </c>
      <c r="H126" s="310">
        <f>SUM(H124:H125)</f>
        <v>3175</v>
      </c>
      <c r="I126" s="260">
        <f>SUM(I124:I125)</f>
        <v>901</v>
      </c>
      <c r="J126" s="260"/>
      <c r="K126" s="260">
        <v>0</v>
      </c>
      <c r="L126" s="260">
        <v>0</v>
      </c>
      <c r="M126" s="182">
        <v>0</v>
      </c>
      <c r="N126" s="60"/>
    </row>
    <row r="127" spans="1:17" ht="20.100000000000001" customHeight="1" x14ac:dyDescent="0.25">
      <c r="A127" s="311" t="s">
        <v>98</v>
      </c>
      <c r="B127" s="312"/>
      <c r="C127" s="313"/>
      <c r="D127" s="312"/>
      <c r="E127" s="314"/>
      <c r="F127" s="314"/>
      <c r="G127" s="314"/>
      <c r="H127" s="314"/>
      <c r="I127" s="314"/>
      <c r="J127" s="314"/>
      <c r="K127" s="314"/>
      <c r="L127" s="314"/>
      <c r="M127" s="67"/>
    </row>
    <row r="128" spans="1:17" s="281" customFormat="1" ht="20.100000000000001" customHeight="1" thickBot="1" x14ac:dyDescent="0.3">
      <c r="A128" s="307" t="s">
        <v>99</v>
      </c>
      <c r="B128" s="315">
        <v>559</v>
      </c>
      <c r="C128" s="316">
        <v>2015</v>
      </c>
      <c r="D128" s="315">
        <v>0</v>
      </c>
      <c r="E128" s="315">
        <v>559</v>
      </c>
      <c r="F128" s="315">
        <v>440</v>
      </c>
      <c r="G128" s="315">
        <v>119</v>
      </c>
      <c r="H128" s="315">
        <f>SUM(F128:G128)</f>
        <v>559</v>
      </c>
      <c r="I128" s="315"/>
      <c r="J128" s="315"/>
      <c r="K128" s="315">
        <v>0</v>
      </c>
      <c r="L128" s="315">
        <v>0</v>
      </c>
      <c r="M128" s="317">
        <v>0</v>
      </c>
    </row>
    <row r="129" spans="1:13" ht="20.100000000000001" customHeight="1" x14ac:dyDescent="0.25">
      <c r="A129" s="318" t="s">
        <v>100</v>
      </c>
      <c r="B129" s="183"/>
      <c r="C129" s="219"/>
      <c r="D129" s="283"/>
      <c r="E129" s="284"/>
      <c r="F129" s="284"/>
      <c r="G129" s="284"/>
      <c r="H129" s="284"/>
      <c r="I129" s="284"/>
      <c r="J129" s="284"/>
      <c r="K129" s="284"/>
      <c r="L129" s="214"/>
      <c r="M129" s="319"/>
    </row>
    <row r="130" spans="1:13" ht="20.100000000000001" customHeight="1" thickBot="1" x14ac:dyDescent="0.3">
      <c r="A130" s="307" t="s">
        <v>99</v>
      </c>
      <c r="B130" s="150">
        <f>381+107</f>
        <v>488</v>
      </c>
      <c r="C130" s="320">
        <v>2015</v>
      </c>
      <c r="D130" s="273">
        <v>0</v>
      </c>
      <c r="E130" s="274">
        <v>381</v>
      </c>
      <c r="F130" s="274">
        <f>300+84</f>
        <v>384</v>
      </c>
      <c r="G130" s="274">
        <f>81+23</f>
        <v>104</v>
      </c>
      <c r="H130" s="274">
        <f>SUM(F130:G130)</f>
        <v>488</v>
      </c>
      <c r="I130" s="274">
        <v>142</v>
      </c>
      <c r="J130" s="274"/>
      <c r="K130" s="274">
        <v>0</v>
      </c>
      <c r="L130" s="267">
        <v>0</v>
      </c>
      <c r="M130" s="321">
        <v>0</v>
      </c>
    </row>
    <row r="131" spans="1:13" ht="20.100000000000001" customHeight="1" x14ac:dyDescent="0.25">
      <c r="A131" s="318" t="s">
        <v>101</v>
      </c>
      <c r="B131" s="183"/>
      <c r="C131" s="219"/>
      <c r="D131" s="283"/>
      <c r="E131" s="284"/>
      <c r="F131" s="284"/>
      <c r="G131" s="284"/>
      <c r="H131" s="284"/>
      <c r="I131" s="284"/>
      <c r="J131" s="284"/>
      <c r="K131" s="284"/>
      <c r="L131" s="214"/>
      <c r="M131" s="319"/>
    </row>
    <row r="132" spans="1:13" ht="20.100000000000001" customHeight="1" thickBot="1" x14ac:dyDescent="0.3">
      <c r="A132" s="307" t="s">
        <v>99</v>
      </c>
      <c r="B132" s="150">
        <f>95+242+168</f>
        <v>505</v>
      </c>
      <c r="C132" s="320">
        <v>2015</v>
      </c>
      <c r="D132" s="273">
        <v>0</v>
      </c>
      <c r="E132" s="274">
        <v>95</v>
      </c>
      <c r="F132" s="274">
        <f>75+190+132</f>
        <v>397</v>
      </c>
      <c r="G132" s="274">
        <f>20+52+36</f>
        <v>108</v>
      </c>
      <c r="H132" s="274">
        <f>SUM(F132:G132)</f>
        <v>505</v>
      </c>
      <c r="I132" s="274">
        <v>504</v>
      </c>
      <c r="J132" s="274"/>
      <c r="K132" s="274">
        <v>0</v>
      </c>
      <c r="L132" s="267">
        <v>0</v>
      </c>
      <c r="M132" s="321">
        <v>0</v>
      </c>
    </row>
    <row r="133" spans="1:13" ht="20.100000000000001" customHeight="1" thickBot="1" x14ac:dyDescent="0.3">
      <c r="A133" s="253" t="s">
        <v>102</v>
      </c>
      <c r="B133" s="322">
        <f>SUM(B132,B130,B128,B126)</f>
        <v>4727</v>
      </c>
      <c r="C133" s="323"/>
      <c r="D133" s="322">
        <f>SUM(D129)</f>
        <v>0</v>
      </c>
      <c r="E133" s="322">
        <f>SUM(E126:E132)</f>
        <v>4210</v>
      </c>
      <c r="F133" s="322">
        <f t="shared" ref="F133:M133" si="40">SUM(F132,F130,F128,F126)</f>
        <v>3721</v>
      </c>
      <c r="G133" s="322">
        <f t="shared" si="40"/>
        <v>1006</v>
      </c>
      <c r="H133" s="322">
        <f t="shared" si="40"/>
        <v>4727</v>
      </c>
      <c r="I133" s="322">
        <f t="shared" si="40"/>
        <v>1547</v>
      </c>
      <c r="J133" s="322"/>
      <c r="K133" s="324">
        <f t="shared" si="40"/>
        <v>0</v>
      </c>
      <c r="L133" s="324">
        <f t="shared" si="40"/>
        <v>0</v>
      </c>
      <c r="M133" s="324">
        <f t="shared" si="40"/>
        <v>0</v>
      </c>
    </row>
    <row r="134" spans="1:13" ht="20.100000000000001" customHeight="1" thickBot="1" x14ac:dyDescent="0.3">
      <c r="A134" s="325" t="s">
        <v>103</v>
      </c>
      <c r="B134" s="326">
        <f>SUM(B133,B118)</f>
        <v>3912548</v>
      </c>
      <c r="C134" s="326">
        <f t="shared" ref="C134:M134" si="41">SUM(C133,C118)</f>
        <v>0</v>
      </c>
      <c r="D134" s="326">
        <f t="shared" si="41"/>
        <v>876622</v>
      </c>
      <c r="E134" s="326">
        <f t="shared" si="41"/>
        <v>2521327</v>
      </c>
      <c r="F134" s="326">
        <f t="shared" si="41"/>
        <v>2352265</v>
      </c>
      <c r="G134" s="326">
        <f t="shared" si="41"/>
        <v>613736</v>
      </c>
      <c r="H134" s="326">
        <f t="shared" si="41"/>
        <v>3017008</v>
      </c>
      <c r="I134" s="326">
        <f t="shared" ref="I134" si="42">SUM(I133,I118)</f>
        <v>2467779</v>
      </c>
      <c r="J134" s="326"/>
      <c r="K134" s="327">
        <f t="shared" si="41"/>
        <v>338675</v>
      </c>
      <c r="L134" s="327">
        <f t="shared" si="41"/>
        <v>2068985</v>
      </c>
      <c r="M134" s="327">
        <f t="shared" si="41"/>
        <v>1454050</v>
      </c>
    </row>
    <row r="135" spans="1:13" ht="20.100000000000001" customHeight="1" thickBot="1" x14ac:dyDescent="0.3">
      <c r="A135" s="328" t="s">
        <v>81</v>
      </c>
      <c r="B135" s="329">
        <f>SUM(B133,B119)</f>
        <v>3337994</v>
      </c>
      <c r="C135" s="329">
        <f t="shared" ref="C135:M135" si="43">SUM(C133,C119)</f>
        <v>0</v>
      </c>
      <c r="D135" s="329">
        <f t="shared" si="43"/>
        <v>768872</v>
      </c>
      <c r="E135" s="329">
        <f t="shared" si="43"/>
        <v>2521327</v>
      </c>
      <c r="F135" s="329">
        <f t="shared" si="43"/>
        <v>2352265</v>
      </c>
      <c r="G135" s="329">
        <f t="shared" si="43"/>
        <v>146932</v>
      </c>
      <c r="H135" s="329">
        <f t="shared" si="43"/>
        <v>2550204</v>
      </c>
      <c r="I135" s="329">
        <f t="shared" ref="I135" si="44">SUM(I133,I119)</f>
        <v>2172828</v>
      </c>
      <c r="J135" s="329"/>
      <c r="K135" s="330">
        <f t="shared" si="43"/>
        <v>0</v>
      </c>
      <c r="L135" s="330">
        <f t="shared" si="43"/>
        <v>0</v>
      </c>
      <c r="M135" s="330">
        <f t="shared" si="43"/>
        <v>0</v>
      </c>
    </row>
    <row r="136" spans="1:13" ht="20.100000000000001" customHeight="1" thickBot="1" x14ac:dyDescent="0.3">
      <c r="A136" s="328" t="s">
        <v>82</v>
      </c>
      <c r="B136" s="329">
        <f>SUM(B94)</f>
        <v>574554</v>
      </c>
      <c r="C136" s="329">
        <f t="shared" ref="C136:M136" si="45">SUM(C94)</f>
        <v>0</v>
      </c>
      <c r="D136" s="329">
        <f t="shared" si="45"/>
        <v>107750</v>
      </c>
      <c r="E136" s="329"/>
      <c r="F136" s="329">
        <f t="shared" si="45"/>
        <v>0</v>
      </c>
      <c r="G136" s="329">
        <f t="shared" si="45"/>
        <v>466804</v>
      </c>
      <c r="H136" s="329">
        <f t="shared" si="45"/>
        <v>466804</v>
      </c>
      <c r="I136" s="329">
        <f t="shared" ref="I136" si="46">SUM(I94)</f>
        <v>294951</v>
      </c>
      <c r="J136" s="329"/>
      <c r="K136" s="330">
        <f t="shared" si="45"/>
        <v>0</v>
      </c>
      <c r="L136" s="330">
        <f t="shared" si="45"/>
        <v>0</v>
      </c>
      <c r="M136" s="330">
        <f t="shared" si="45"/>
        <v>0</v>
      </c>
    </row>
    <row r="137" spans="1:13" ht="33.75" customHeight="1" x14ac:dyDescent="0.25">
      <c r="A137" s="331"/>
      <c r="B137" s="332"/>
      <c r="C137" s="332"/>
      <c r="D137" s="332"/>
      <c r="E137" s="332"/>
      <c r="F137" s="332"/>
      <c r="G137" s="332"/>
      <c r="H137" s="332"/>
      <c r="I137" s="332"/>
      <c r="J137" s="332"/>
      <c r="K137" s="332"/>
      <c r="L137" s="332"/>
      <c r="M137" s="332"/>
    </row>
    <row r="139" spans="1:13" ht="33.75" customHeight="1" x14ac:dyDescent="0.25">
      <c r="D139" s="60"/>
      <c r="E139" s="60"/>
      <c r="H139" s="60"/>
      <c r="I139" s="60"/>
      <c r="J139" s="60"/>
    </row>
    <row r="141" spans="1:13" ht="33.75" customHeight="1" x14ac:dyDescent="0.25">
      <c r="D141" s="197"/>
      <c r="E141" s="197"/>
      <c r="F141" s="60"/>
      <c r="G141" s="60"/>
      <c r="H141" s="60"/>
      <c r="I141" s="60"/>
      <c r="J141" s="60"/>
      <c r="K141" s="60"/>
    </row>
  </sheetData>
  <mergeCells count="3">
    <mergeCell ref="L1:M1"/>
    <mergeCell ref="A2:M2"/>
    <mergeCell ref="A137:M137"/>
  </mergeCells>
  <pageMargins left="0.70866141732283472" right="0.70866141732283472" top="0.74803149606299213" bottom="0.74803149606299213" header="0.31496062992125984" footer="0.31496062992125984"/>
  <pageSetup paperSize="8" scale="92" fitToHeight="4" orientation="landscape" r:id="rId1"/>
  <rowBreaks count="2" manualBreakCount="2">
    <brk id="31" max="12" man="1"/>
    <brk id="10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9mell_zárszám_2015</vt:lpstr>
      <vt:lpstr>'9mell_zárszám_2015'!Nyomtatási_terület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2016-05-11T07:06:07Z</dcterms:modified>
</cp:coreProperties>
</file>