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95" activeTab="0"/>
  </bookViews>
  <sheets>
    <sheet name="címrendes bevétel" sheetId="1" r:id="rId1"/>
    <sheet name="címrendes kiadás" sheetId="2" r:id="rId2"/>
    <sheet name="Önkorm.bevétel" sheetId="3" r:id="rId3"/>
    <sheet name="Hivatal bevétel" sheetId="4" r:id="rId4"/>
    <sheet name="Önkorm.kiadás" sheetId="5" r:id="rId5"/>
    <sheet name="Hivatal kiad." sheetId="6" r:id="rId6"/>
    <sheet name="hitel 3.sz." sheetId="7" r:id="rId7"/>
    <sheet name="4.sz.mell. (2)" sheetId="8" r:id="rId8"/>
    <sheet name="5.mell. (2)" sheetId="9" r:id="rId9"/>
    <sheet name="kötelező-nem kötelező" sheetId="10" r:id="rId10"/>
    <sheet name="6.mell.(2)" sheetId="11" r:id="rId11"/>
    <sheet name="7.mell (2)" sheetId="12" r:id="rId12"/>
    <sheet name="9.m.II.f." sheetId="13" r:id="rId13"/>
    <sheet name="10.mell " sheetId="14" r:id="rId14"/>
    <sheet name="10.mell  összehasonlító" sheetId="15" r:id="rId15"/>
    <sheet name="11a melléklet" sheetId="16" r:id="rId16"/>
    <sheet name="11b melléklet" sheetId="17" r:id="rId17"/>
    <sheet name="12.mell." sheetId="18" r:id="rId18"/>
    <sheet name="13.mell." sheetId="19" r:id="rId19"/>
  </sheets>
  <externalReferences>
    <externalReference r:id="rId22"/>
    <externalReference r:id="rId23"/>
  </externalReferences>
  <definedNames>
    <definedName name="_xlnm.Print_Titles" localSheetId="15">'11a melléklet'!$6:$6</definedName>
    <definedName name="_xlnm.Print_Titles" localSheetId="0">'címrendes bevétel'!$5:$10</definedName>
    <definedName name="_xlnm.Print_Area" localSheetId="15">'11a melléklet'!$A$1:$E$92</definedName>
    <definedName name="_xlnm.Print_Area" localSheetId="16">'11b melléklet'!$A$1:$C$11</definedName>
    <definedName name="_xlnm.Print_Area" localSheetId="7">'4.sz.mell. (2)'!$A$1:$W$41</definedName>
    <definedName name="_xlnm.Print_Area" localSheetId="8">'5.mell. (2)'!$A$1:$P$64</definedName>
    <definedName name="_xlnm.Print_Area" localSheetId="10">'6.mell.(2)'!$A$1:$G$62</definedName>
    <definedName name="_xlnm.Print_Area" localSheetId="11">'7.mell (2)'!$A$1:$S$35</definedName>
    <definedName name="_xlnm.Print_Area" localSheetId="0">'címrendes bevétel'!$A$1:$V$158</definedName>
    <definedName name="_xlnm.Print_Area" localSheetId="1">'címrendes kiadás'!$A$1:$V$107</definedName>
    <definedName name="_xlnm.Print_Area" localSheetId="6">'hitel 3.sz.'!$A$1:$P$31</definedName>
    <definedName name="_xlnm.Print_Area" localSheetId="3">'Hivatal bevétel'!$A$1:$K$18</definedName>
    <definedName name="_xlnm.Print_Area" localSheetId="5">'Hivatal kiad.'!$A$1:$K$24</definedName>
    <definedName name="_xlnm.Print_Area" localSheetId="9">'kötelező-nem kötelező'!$A$1:$Y$66</definedName>
    <definedName name="_xlnm.Print_Area" localSheetId="2">'Önkorm.bevétel'!$A$1:$K$35</definedName>
    <definedName name="_xlnm.Print_Area" localSheetId="4">'Önkorm.kiadás'!$A$1:$K$66</definedName>
  </definedNames>
  <calcPr fullCalcOnLoad="1"/>
</workbook>
</file>

<file path=xl/sharedStrings.xml><?xml version="1.0" encoding="utf-8"?>
<sst xmlns="http://schemas.openxmlformats.org/spreadsheetml/2006/main" count="1681" uniqueCount="712">
  <si>
    <t>Az önkormányzat rendeletében foglalt       kedvezmény, mentesség</t>
  </si>
  <si>
    <t>Igazgatás kiadásai</t>
  </si>
  <si>
    <t>OTP Nyrt. Városrehabilitáció hitel</t>
  </si>
  <si>
    <t>Oktatási intézmények bevételei</t>
  </si>
  <si>
    <t>Tessedik Sámuel Múzeum , Városi Könyvtár</t>
  </si>
  <si>
    <t>Hivatal 2013.</t>
  </si>
  <si>
    <t>Önkormányzat 2013.</t>
  </si>
  <si>
    <t>Mindösszesen 2013.</t>
  </si>
  <si>
    <t>Múezum 2013.</t>
  </si>
  <si>
    <t>Könyvtár 2013.</t>
  </si>
  <si>
    <t>Normatív támogats</t>
  </si>
  <si>
    <t>Hivatal 2014.</t>
  </si>
  <si>
    <t>Múzeum 2014.</t>
  </si>
  <si>
    <t>Könyvtár 2014.</t>
  </si>
  <si>
    <t>Óvoda 2014.</t>
  </si>
  <si>
    <t>Óvoda 2013.</t>
  </si>
  <si>
    <t>Önkormányzat 2014.</t>
  </si>
  <si>
    <t>Bölcsőde 2014</t>
  </si>
  <si>
    <t xml:space="preserve">A </t>
  </si>
  <si>
    <t>Építményadó 31/2004. (XII. 17.)</t>
  </si>
  <si>
    <t>65. évét betöltött egyedülálló</t>
  </si>
  <si>
    <t>Helyi iparűzési adó 13/1991. (XII. 16.)</t>
  </si>
  <si>
    <t>2,5 mFt adóalapot meg nem haladó vállalkozások</t>
  </si>
  <si>
    <t xml:space="preserve">Lakások és helyiségek bérletére szolgáló 1/2004.(I.23.) rendelet </t>
  </si>
  <si>
    <t>lakbér kedvezmény</t>
  </si>
  <si>
    <t>Támogatás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</si>
  <si>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</si>
  <si>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</si>
  <si>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</si>
  <si>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</si>
  <si>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</si>
  <si>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</si>
  <si>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</si>
  <si>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</si>
  <si>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</si>
  <si>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</si>
  <si>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</si>
  <si>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</si>
  <si>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</si>
  <si>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1.Saját bevétel</t>
  </si>
  <si>
    <t>2.Átvett pénzeszk.</t>
  </si>
  <si>
    <t>3.Támogatás</t>
  </si>
  <si>
    <t>4.Hitel,kötvény</t>
  </si>
  <si>
    <t>Pénzforg.nélküli bevétel</t>
  </si>
  <si>
    <t>5.Előző havi záró</t>
  </si>
  <si>
    <t>6.Bevételek összesen</t>
  </si>
  <si>
    <t>Kiadások</t>
  </si>
  <si>
    <t>7.Működési kiadás dologi nélk.</t>
  </si>
  <si>
    <t>8.Dologi kiadások</t>
  </si>
  <si>
    <t>9.Adósságszolgálat</t>
  </si>
  <si>
    <t>10.Felujitások</t>
  </si>
  <si>
    <t>11. Beruházások</t>
  </si>
  <si>
    <t>12. Felhalm.pe.átadás</t>
  </si>
  <si>
    <t>12.Tartalék</t>
  </si>
  <si>
    <t>13.Kiadások összesen</t>
  </si>
  <si>
    <t>14.Egyenleg</t>
  </si>
  <si>
    <t>2014. Évi előirányzat-felhasználási ütemterv</t>
  </si>
  <si>
    <t xml:space="preserve">Finanszírozási bevételek </t>
  </si>
  <si>
    <t>Müködési és felhalmozási célú bevételek és kiadások alakulása 2014 - 2016. évben</t>
  </si>
  <si>
    <t>2014. évi      adóbevétel kiesés és támogatás</t>
  </si>
  <si>
    <t>adatok eFt-ban</t>
  </si>
  <si>
    <t>Cím sz.</t>
  </si>
  <si>
    <t>Alcim sz.</t>
  </si>
  <si>
    <t>Jogcim csop. sz.</t>
  </si>
  <si>
    <t>Előir. csop. sz.</t>
  </si>
  <si>
    <t>Kiem ei.sz</t>
  </si>
  <si>
    <t>Előir. sz.</t>
  </si>
  <si>
    <t>Cím neve</t>
  </si>
  <si>
    <t>Alcim neve</t>
  </si>
  <si>
    <t>Jogcim csop.</t>
  </si>
  <si>
    <t>Ei. Csop</t>
  </si>
  <si>
    <t>Kiem.ei. név</t>
  </si>
  <si>
    <t>Előir.név</t>
  </si>
  <si>
    <t>Változás</t>
  </si>
  <si>
    <t>1.</t>
  </si>
  <si>
    <t>Önkormányzat</t>
  </si>
  <si>
    <t>I.</t>
  </si>
  <si>
    <t>Működési bevételek</t>
  </si>
  <si>
    <t>Intézm.működési bevétel</t>
  </si>
  <si>
    <t>2.</t>
  </si>
  <si>
    <t>Önkorm.sajátos műk.bevételei</t>
  </si>
  <si>
    <t xml:space="preserve"> 2.2.</t>
  </si>
  <si>
    <t>Helyi adók</t>
  </si>
  <si>
    <t xml:space="preserve"> 2.2.1.</t>
  </si>
  <si>
    <t xml:space="preserve">Épitményadó </t>
  </si>
  <si>
    <t xml:space="preserve"> 2.2.2.</t>
  </si>
  <si>
    <t>Idegenforgalmi adó</t>
  </si>
  <si>
    <t xml:space="preserve"> 2.2.3.</t>
  </si>
  <si>
    <t>Iparűzési adó</t>
  </si>
  <si>
    <t>Összesen:</t>
  </si>
  <si>
    <t xml:space="preserve"> 2.3.</t>
  </si>
  <si>
    <t>Átengedett központi adók</t>
  </si>
  <si>
    <t xml:space="preserve"> 2.3.1.</t>
  </si>
  <si>
    <t>Gépjárműadó</t>
  </si>
  <si>
    <t xml:space="preserve"> 2.4.</t>
  </si>
  <si>
    <t>Birságok,pótlékok és egyéb bevételek</t>
  </si>
  <si>
    <t xml:space="preserve"> 2.4.1.</t>
  </si>
  <si>
    <t>Birság, pótlék</t>
  </si>
  <si>
    <t xml:space="preserve"> 2.4.2.</t>
  </si>
  <si>
    <t>Környezetvédelmi birság</t>
  </si>
  <si>
    <t xml:space="preserve"> 2.4.3.</t>
  </si>
  <si>
    <t>Egyéb sajátos bevétel</t>
  </si>
  <si>
    <t xml:space="preserve"> 2.4.4.</t>
  </si>
  <si>
    <t>Talajterhelési dij</t>
  </si>
  <si>
    <t>Önk.sajátos bevételei összesen</t>
  </si>
  <si>
    <t>Működési bevételek összesen</t>
  </si>
  <si>
    <t>II.</t>
  </si>
  <si>
    <t>Támogatások</t>
  </si>
  <si>
    <t>Önkormányzatok kv.támogatása</t>
  </si>
  <si>
    <t xml:space="preserve"> 1.1.</t>
  </si>
  <si>
    <t xml:space="preserve"> 1.1.1.</t>
  </si>
  <si>
    <t xml:space="preserve"> 1.1.2.</t>
  </si>
  <si>
    <t xml:space="preserve"> </t>
  </si>
  <si>
    <t xml:space="preserve"> 1.2.</t>
  </si>
  <si>
    <t>Központositott előirányzatok</t>
  </si>
  <si>
    <t xml:space="preserve"> 1.2.1.</t>
  </si>
  <si>
    <t>Lak.közműfejlesztés</t>
  </si>
  <si>
    <t xml:space="preserve"> 1.2.2.</t>
  </si>
  <si>
    <t xml:space="preserve"> 1.2.3.</t>
  </si>
  <si>
    <t xml:space="preserve"> 1.5.</t>
  </si>
  <si>
    <t xml:space="preserve"> 1.6.</t>
  </si>
  <si>
    <t>Támogatások összesen</t>
  </si>
  <si>
    <t>III.</t>
  </si>
  <si>
    <t>Felhalmozási és tőkejellegű bevételek</t>
  </si>
  <si>
    <t>Tárgyi eszk.immateriális javak értékes.</t>
  </si>
  <si>
    <t>Önkorm.sajátos felhalm.és tőkejell.bev.</t>
  </si>
  <si>
    <t>3.</t>
  </si>
  <si>
    <t>Pénzügyi befektetések bevételei</t>
  </si>
  <si>
    <t>Felhalm. és tőkejellegű bevételek összesen</t>
  </si>
  <si>
    <t>IV.</t>
  </si>
  <si>
    <t>Támogatás értékű bevétel</t>
  </si>
  <si>
    <t>Támogatás értékű működési célú pe.átvétel</t>
  </si>
  <si>
    <t>Támogatás értékű felhalmozási célú pe.átvétel</t>
  </si>
  <si>
    <t>Támogatás értékű bevétel összesen</t>
  </si>
  <si>
    <t>V.</t>
  </si>
  <si>
    <t>Véglegesen átvett pénzeszközök</t>
  </si>
  <si>
    <t>Műk.célú pe. átvétel</t>
  </si>
  <si>
    <t>Felhalmozási célú pe.átvétel</t>
  </si>
  <si>
    <t>Véglegesen átvett pénzeszközök összesen:</t>
  </si>
  <si>
    <t>VI.</t>
  </si>
  <si>
    <t>Kölcsönök visszatér.értékpap.értékesit.bevét.</t>
  </si>
  <si>
    <t>Kölcsönök visszatérülése</t>
  </si>
  <si>
    <t>Értékpapir értékesités bevétele</t>
  </si>
  <si>
    <t>Kölcs.visszatér.értékpap.érték.bev.összesen:</t>
  </si>
  <si>
    <t>Önkormányzat összesen</t>
  </si>
  <si>
    <t xml:space="preserve">Polgármeseri Hivatal </t>
  </si>
  <si>
    <t>Intézményi működési bevétel</t>
  </si>
  <si>
    <t>Összesen</t>
  </si>
  <si>
    <t>Működési célú pe. átvétel</t>
  </si>
  <si>
    <t>Felhalmozási célú pe. átvétel</t>
  </si>
  <si>
    <t>Polgármesteri Hivatal összesen</t>
  </si>
  <si>
    <t>4.</t>
  </si>
  <si>
    <t>Tárgyévi költségvetési bevételek jogcimcsoportonként</t>
  </si>
  <si>
    <t xml:space="preserve">Működési bevételek </t>
  </si>
  <si>
    <t>Önkormányzat sajátos műk.bevétele</t>
  </si>
  <si>
    <t>Támogatás értékű bevételek</t>
  </si>
  <si>
    <t>Támogatás értékű bevételek összesen</t>
  </si>
  <si>
    <t>Működési célú pe.átvétel</t>
  </si>
  <si>
    <t>Véglegesen átvett pénzeszközök összesen</t>
  </si>
  <si>
    <t>Tárgyévi költségvetési bevételek mindösszesen</t>
  </si>
  <si>
    <t>Tárgyévi finanszirozási bevételek jogcímcsoportonként</t>
  </si>
  <si>
    <t xml:space="preserve">Önkormányzat </t>
  </si>
  <si>
    <t>VII.</t>
  </si>
  <si>
    <t xml:space="preserve">Hitelek </t>
  </si>
  <si>
    <t>Működési célú hitelek</t>
  </si>
  <si>
    <t>Felhalmozási célú hitelek</t>
  </si>
  <si>
    <t>Kötvénykibocsátás</t>
  </si>
  <si>
    <t>Hitelek összesen</t>
  </si>
  <si>
    <t>VIII.</t>
  </si>
  <si>
    <t>Pénzforgalom nélküli bevételek</t>
  </si>
  <si>
    <t>Polgármesteri Hivatal</t>
  </si>
  <si>
    <t>Pénzforgalom nélküli bevételek összesen</t>
  </si>
  <si>
    <t>Finanszírozási bevételek összesen</t>
  </si>
  <si>
    <t>Bevételek mindösszesen</t>
  </si>
  <si>
    <t>Működési kiadások</t>
  </si>
  <si>
    <t>Személyi juttatás</t>
  </si>
  <si>
    <t xml:space="preserve"> 1.3.</t>
  </si>
  <si>
    <t>Dologi kiadások</t>
  </si>
  <si>
    <t>Tám.ért.működési célú pe.átadás</t>
  </si>
  <si>
    <t>Működési célú pe.átadás</t>
  </si>
  <si>
    <t xml:space="preserve"> 1.7.</t>
  </si>
  <si>
    <t>Társ.szoc.pol.juttatás</t>
  </si>
  <si>
    <t xml:space="preserve"> 1.8.</t>
  </si>
  <si>
    <t>Kamatfizetési kötelezettség</t>
  </si>
  <si>
    <t xml:space="preserve"> 1.9.</t>
  </si>
  <si>
    <t>Működési tartalék</t>
  </si>
  <si>
    <t xml:space="preserve"> 1.4.</t>
  </si>
  <si>
    <t>Működési kiadások összesen</t>
  </si>
  <si>
    <t>Működési célú tartalék</t>
  </si>
  <si>
    <t>Működési kiadások mindösszesen</t>
  </si>
  <si>
    <t>Felhalmozási kiadások</t>
  </si>
  <si>
    <t xml:space="preserve"> 2.1.</t>
  </si>
  <si>
    <t>Fejlesztési kiadások</t>
  </si>
  <si>
    <t>Tám.ért. felhalm. célú pe.átad.</t>
  </si>
  <si>
    <t>Felhalm.célú pe.átadás</t>
  </si>
  <si>
    <t xml:space="preserve"> 2.5.</t>
  </si>
  <si>
    <t>Pénzügyi befektetések kiadásai</t>
  </si>
  <si>
    <t xml:space="preserve"> 2.6.</t>
  </si>
  <si>
    <t>Fejlesztési célú tartalék</t>
  </si>
  <si>
    <t>Informatikai fejlesztés</t>
  </si>
  <si>
    <t xml:space="preserve"> 2.</t>
  </si>
  <si>
    <t xml:space="preserve">Felhalm.célú pe.átadás </t>
  </si>
  <si>
    <t>Felhalm. kiadások mindösszesen</t>
  </si>
  <si>
    <t xml:space="preserve"> 1.</t>
  </si>
  <si>
    <t>Finanszirozási kiadások</t>
  </si>
  <si>
    <t xml:space="preserve"> 3.1.</t>
  </si>
  <si>
    <t>Felhalmozási hitel törlesztése</t>
  </si>
  <si>
    <t xml:space="preserve"> 3.3</t>
  </si>
  <si>
    <t>Kötvény visszaváltás</t>
  </si>
  <si>
    <t>"Szarvas 2017" kötvény visszaváltás</t>
  </si>
  <si>
    <t xml:space="preserve"> 3.3.</t>
  </si>
  <si>
    <t>Megnevezés</t>
  </si>
  <si>
    <t>Mód.ei. III.31.</t>
  </si>
  <si>
    <t>Telj. %-a</t>
  </si>
  <si>
    <t>Vasút út 46-48. orvosi rendelők bevételei</t>
  </si>
  <si>
    <t>Önkormányzatok igazgatási tevékenysége</t>
  </si>
  <si>
    <t xml:space="preserve">          - Kamatbevételek</t>
  </si>
  <si>
    <t>Működési célú bevételek</t>
  </si>
  <si>
    <t>Gyomaendrődi hulladékátrakó bérleti díj</t>
  </si>
  <si>
    <t>Vagyonértékesités</t>
  </si>
  <si>
    <t>Osztalékbevétel</t>
  </si>
  <si>
    <t>Felhalmozási és tőkejellegű bevétel</t>
  </si>
  <si>
    <t>Lakossági szennyvizbefizetés</t>
  </si>
  <si>
    <t>Belvizkár kamatmentes kölcsön visszafiz.</t>
  </si>
  <si>
    <t>Önkorm.bérlakásértékesités</t>
  </si>
  <si>
    <t>Kölcsönök visszatérülése összesen:</t>
  </si>
  <si>
    <t>BEVÉTELEK ÖSSZESEN:</t>
  </si>
  <si>
    <t>Családi ünnepek szervezése</t>
  </si>
  <si>
    <t xml:space="preserve">          - Átszámlázott szolgáltatás</t>
  </si>
  <si>
    <t xml:space="preserve">          - Egyéb bevételek</t>
  </si>
  <si>
    <t>Ingatlan hasznositás (önkorm.bérlakás)</t>
  </si>
  <si>
    <t>Vizkárelhárítás</t>
  </si>
  <si>
    <t>Város- és községgazdálkodási szolg.</t>
  </si>
  <si>
    <t xml:space="preserve">            - Mezei őrszolgálat</t>
  </si>
  <si>
    <t xml:space="preserve">            - Szúnyog-, kullancs-, patkányirtás</t>
  </si>
  <si>
    <t xml:space="preserve">            - Pályázatokhoz kapcsolódó kiadások</t>
  </si>
  <si>
    <t>Települési vizellátás (közkifolyó, Vizmű)</t>
  </si>
  <si>
    <t>Közvilágitás</t>
  </si>
  <si>
    <t>Csapadékviz átemelő üzemeltetés (áramdij)</t>
  </si>
  <si>
    <t>Lapkiadás</t>
  </si>
  <si>
    <t>Vasút út 46-48. orvosi rendelők fenntartási ktge</t>
  </si>
  <si>
    <t>Egyéb feladatok személyi juttatása</t>
  </si>
  <si>
    <t>Ifjusági és sportfeladatok támogatása</t>
  </si>
  <si>
    <t>Civil szervezetek támogatása</t>
  </si>
  <si>
    <t>Polgárőrség támogatása</t>
  </si>
  <si>
    <t>Közfeladatok ellátásának támogatása (KOMÉP)</t>
  </si>
  <si>
    <t>Önkorm. Tulajdonú GT támogatása</t>
  </si>
  <si>
    <t>Béke u. 1. társasház közös költség</t>
  </si>
  <si>
    <t>O.háza és Térs. Ivóvízjav. Önk. Társ. működési tám.</t>
  </si>
  <si>
    <t>TOURINFORM Iroda működtetése</t>
  </si>
  <si>
    <t>TDM szervezet támogatása</t>
  </si>
  <si>
    <t>Többc. Társ. Szociális intézmény</t>
  </si>
  <si>
    <t>Szlovák Önkormányzat támogatása</t>
  </si>
  <si>
    <t>Körösvölgyi Hulladékgazd. Önkorm. Társulás tagd.</t>
  </si>
  <si>
    <t>Támogatás értékű működési célú pe.átadás</t>
  </si>
  <si>
    <t>Szoc.pénzbeni ellátások</t>
  </si>
  <si>
    <t>KIADÁSOK ÖSSZESEN:</t>
  </si>
  <si>
    <t>Családi ünnepek rendezése</t>
  </si>
  <si>
    <t>Polgármesteri alap I.</t>
  </si>
  <si>
    <t>Polgármesteri alap II.</t>
  </si>
  <si>
    <t>Önkormányzati igazgatási tevékenység</t>
  </si>
  <si>
    <t>Személyi juttatások</t>
  </si>
  <si>
    <t>Biztositási dijak</t>
  </si>
  <si>
    <t>Adó, kamat, pénzf.terh.ktg., tagdijak, stb.</t>
  </si>
  <si>
    <t>Egyéb folyó kiadások összesen:</t>
  </si>
  <si>
    <t>Önkormányzatok igazgatási tev.összesen</t>
  </si>
  <si>
    <t>Hitel megnevezése</t>
  </si>
  <si>
    <t>nyitó</t>
  </si>
  <si>
    <t>felvét</t>
  </si>
  <si>
    <t xml:space="preserve">törlesztés </t>
  </si>
  <si>
    <t>záró</t>
  </si>
  <si>
    <t>Hitel  összesen</t>
  </si>
  <si>
    <t>Mindösszesen:</t>
  </si>
  <si>
    <t>Tájékoztató adatok</t>
  </si>
  <si>
    <t>Adósságkeletkeztetéshez számított bevétel 353/2011.(XII.30.)Korm.rendelet 2.§</t>
  </si>
  <si>
    <t>Adósságkeletkeztetési korlát a 2011.évi CXCIV.törvény 10. § (3) bekezdés szerint</t>
  </si>
  <si>
    <t>Önkormányzati kezességvállalás és lizing</t>
  </si>
  <si>
    <t>2014 év</t>
  </si>
  <si>
    <t>2015 év</t>
  </si>
  <si>
    <t>2016 év</t>
  </si>
  <si>
    <t>összesen</t>
  </si>
  <si>
    <t xml:space="preserve">Szarvasi Gyógy-Termál Kft. folyószámla hitel kezességvállalása           </t>
  </si>
  <si>
    <t>30.000 e Ft</t>
  </si>
  <si>
    <t xml:space="preserve">Körös-szögi Nonprofit Kft. folyószámla hitel kezességvállalása             </t>
  </si>
  <si>
    <t>10.000 e Ft</t>
  </si>
  <si>
    <t>2014. év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</si>
  <si>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</si>
  <si>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</si>
  <si>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</si>
  <si>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</si>
  <si>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</si>
  <si>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</si>
  <si>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</si>
  <si>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</si>
  <si>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2013.évi kamatfizetés</t>
  </si>
  <si>
    <t>KOMÉP Kft. Ravatalozó építésre felvett beruházási hitel kezességvállalása</t>
  </si>
  <si>
    <t>Mezőőri szolgáltatás támogatás</t>
  </si>
  <si>
    <t>Önkorm.sajátos felhalm. és tőkejell.bev.</t>
  </si>
  <si>
    <t>Cervinus Teátrum Színház támogatás</t>
  </si>
  <si>
    <t>Kamat fizetés</t>
  </si>
  <si>
    <t xml:space="preserve">     - felhalmozási hitel kamat</t>
  </si>
  <si>
    <t>Vagyonbiztosítás</t>
  </si>
  <si>
    <t>Egyéb folyó kiadások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</si>
  <si>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</si>
  <si>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</si>
  <si>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</si>
  <si>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</si>
  <si>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</si>
  <si>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</si>
  <si>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</si>
  <si>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</si>
  <si>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</si>
  <si>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</si>
  <si>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</si>
  <si>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</si>
  <si>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</si>
  <si>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</si>
  <si>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</si>
  <si>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L </t>
  </si>
  <si>
    <t>Üdülőhelyi feladatok</t>
  </si>
  <si>
    <t xml:space="preserve"> 1.1.3.</t>
  </si>
  <si>
    <t xml:space="preserve"> 1.1.4.</t>
  </si>
  <si>
    <t>Kv.működési bevételek</t>
  </si>
  <si>
    <t>Kv.működési kiadások</t>
  </si>
  <si>
    <t>Dologi kiadás</t>
  </si>
  <si>
    <t>Támogatás ért.pe.átadás</t>
  </si>
  <si>
    <t>támogatás értékű műk.c. bev.</t>
  </si>
  <si>
    <t>Szoc.pol juttatás</t>
  </si>
  <si>
    <t>Fejlesztési bevételek</t>
  </si>
  <si>
    <t>Felhalm. és tőkejellegű bevétel</t>
  </si>
  <si>
    <t>Kv.fejlesztési bevételek</t>
  </si>
  <si>
    <t>Kv.fejlesztési kiadások</t>
  </si>
  <si>
    <t>Kv.bevételek összesen</t>
  </si>
  <si>
    <t>Kv.kiadások összesen</t>
  </si>
  <si>
    <t>Finanszírozási bevételek</t>
  </si>
  <si>
    <t>Finanszírozási kadások</t>
  </si>
  <si>
    <t>Hitel, kötvény törlesztés</t>
  </si>
  <si>
    <t>Finanszírozási bevételek össz.</t>
  </si>
  <si>
    <t>Finanszírozási kadások össz.</t>
  </si>
  <si>
    <t>Bevételek  mindösszesen</t>
  </si>
  <si>
    <t>Kiadások mindösszesen</t>
  </si>
  <si>
    <t>BEVÉTELEK</t>
  </si>
  <si>
    <t xml:space="preserve"> I.</t>
  </si>
  <si>
    <t>Működési bevétel</t>
  </si>
  <si>
    <t>Önkormányzat sajátos működési bevétele</t>
  </si>
  <si>
    <t xml:space="preserve">III. </t>
  </si>
  <si>
    <t>Felhalmozásra átvett pe.</t>
  </si>
  <si>
    <t>Költségvetési bevételek összesen:</t>
  </si>
  <si>
    <t>KIADÁSOK</t>
  </si>
  <si>
    <t>Műk.célú pe. átadás</t>
  </si>
  <si>
    <t>Tám. értékű felh.célú pe.átadás</t>
  </si>
  <si>
    <t>Felhalm.c.pe. átadás</t>
  </si>
  <si>
    <t>Felhalmozási kiadások összesen:</t>
  </si>
  <si>
    <t>Költségvetési kiadások összesen</t>
  </si>
  <si>
    <t>Hitelek</t>
  </si>
  <si>
    <t>Finanszírozási kiadások</t>
  </si>
  <si>
    <t>Felhalmozási célú hitel törlesztése</t>
  </si>
  <si>
    <t>Finanszírozási kiadások összesen</t>
  </si>
  <si>
    <t>változás</t>
  </si>
  <si>
    <t>Bizottsági tag</t>
  </si>
  <si>
    <t>Képviselő</t>
  </si>
  <si>
    <t>Polgármester</t>
  </si>
  <si>
    <t>Köztisztviselők</t>
  </si>
  <si>
    <t>Ügyviteli dolgozók</t>
  </si>
  <si>
    <t>Fizikai dolgozók</t>
  </si>
  <si>
    <t>Közhasznú foglalkoztatottak</t>
  </si>
  <si>
    <t>Technikai</t>
  </si>
  <si>
    <t>Szarvas Város Önkormányzata összesen:</t>
  </si>
  <si>
    <t>adatok Ft-ban</t>
  </si>
  <si>
    <t>Étkezési térítési díj</t>
  </si>
  <si>
    <t>Békés M. Önkormányzatok Ivóvízminőség-javitó Társulása</t>
  </si>
  <si>
    <t>Gyermekétkeztetés</t>
  </si>
  <si>
    <t>Intézményi vagyon karbantartás</t>
  </si>
  <si>
    <t>2017 év</t>
  </si>
  <si>
    <t>2018 év</t>
  </si>
  <si>
    <t>2019 év</t>
  </si>
  <si>
    <t>2020 év</t>
  </si>
  <si>
    <t>2021 év</t>
  </si>
  <si>
    <t xml:space="preserve"> 1.2.4.</t>
  </si>
  <si>
    <t xml:space="preserve"> 1.2.5.</t>
  </si>
  <si>
    <t xml:space="preserve"> 1.2.6.</t>
  </si>
  <si>
    <t xml:space="preserve"> 1.2.7.</t>
  </si>
  <si>
    <t>Önk. működési és ágazati feladatainak tám.</t>
  </si>
  <si>
    <t>Önkormányzatok működési támogatása</t>
  </si>
  <si>
    <t>Önkorm.egyes köznevelési felad.tám.</t>
  </si>
  <si>
    <t>Önkorm.szoc.és gyermekjól.feladat tám.</t>
  </si>
  <si>
    <t>Önk.kulturális feladatainak tám.</t>
  </si>
  <si>
    <t>Helyi szervezési intézkedések tám.</t>
  </si>
  <si>
    <t>Nyári gyermekétkeztetés</t>
  </si>
  <si>
    <t>Érdekeltségnövelő támogatás</t>
  </si>
  <si>
    <t xml:space="preserve"> 1.2.8.</t>
  </si>
  <si>
    <t xml:space="preserve"> 1.2.9.</t>
  </si>
  <si>
    <t>Önk.feladatok fejlesztési támogatása</t>
  </si>
  <si>
    <t>Bérkompenzáció támogatás</t>
  </si>
  <si>
    <t>Lakott külterülettel kapcs.feladat tám.</t>
  </si>
  <si>
    <t>Tessedik Sámuel Múzeum és Szárazmalom, Városi Könyvtár</t>
  </si>
  <si>
    <t>Tessedik S. Múzeum és Szárazm.,Városi Könyvtár össz.</t>
  </si>
  <si>
    <t>Tessedik S. Múzeum és Szárazm., Városi Könyvtár össz.</t>
  </si>
  <si>
    <t>Beruházások</t>
  </si>
  <si>
    <t>Felújítások</t>
  </si>
  <si>
    <t>Alpolgármester</t>
  </si>
  <si>
    <t>Óvodapedagógus</t>
  </si>
  <si>
    <t>Közcélú foglalkoztatottak</t>
  </si>
  <si>
    <t>Ellátottak pénzbeli juttatásai</t>
  </si>
  <si>
    <t>Működési bevétel összesen</t>
  </si>
  <si>
    <t>Véglegesen átvett pe.összesen</t>
  </si>
  <si>
    <t xml:space="preserve"> Önkormányzat összesen</t>
  </si>
  <si>
    <t>Munkaadókat terh.jár. és szoc.hozzáj.adó</t>
  </si>
  <si>
    <t>Beruházások összesen:</t>
  </si>
  <si>
    <t>Kötvény visszaváltás összesen</t>
  </si>
  <si>
    <t>Munkaa.terh.jár.és szoc.hj.a.</t>
  </si>
  <si>
    <t>Működési bevételek összesen:</t>
  </si>
  <si>
    <t>Támogatás értékű bevételek összesen:</t>
  </si>
  <si>
    <t>Önkormányzat sajátos bevétele</t>
  </si>
  <si>
    <t>Magánsz. Építm.adó 20 %-a</t>
  </si>
  <si>
    <t>Felhalmozási hitel törlesztés összesen</t>
  </si>
  <si>
    <t>Kölcsönök visszatérülése, értékpapir bevételei</t>
  </si>
  <si>
    <t>Központi közműnyilvántartás</t>
  </si>
  <si>
    <t>Fejlesztési tartalék</t>
  </si>
  <si>
    <t>Egyéb feladatok munkaadókat terh.jár.szoc.hj.adó</t>
  </si>
  <si>
    <t>Munkaadókat terh.jár.szoc.hj.adó</t>
  </si>
  <si>
    <t>Munkaadókat terh.jár.szoc.hj.adó.</t>
  </si>
  <si>
    <t>Oktatási intézmények fenntartási kiadása</t>
  </si>
  <si>
    <t>Cervinus Teátrum Művelődési központ támogatás</t>
  </si>
  <si>
    <t>Felújítások összesen</t>
  </si>
  <si>
    <t>Tám.ért. felhalm. célú pe.átad.összesen</t>
  </si>
  <si>
    <t>Felhalm.c.pe.átadás</t>
  </si>
  <si>
    <t xml:space="preserve">Óvodapedagógust segítő </t>
  </si>
  <si>
    <t>Nem kötelező</t>
  </si>
  <si>
    <t>Kötelező</t>
  </si>
  <si>
    <t>Önkormányzati feladat</t>
  </si>
  <si>
    <t>Államigazgatási   feladat</t>
  </si>
  <si>
    <t>Szakmai (múzeum)</t>
  </si>
  <si>
    <t>Szakmai (könyvtár)</t>
  </si>
  <si>
    <t>Államigazgatási feladatok</t>
  </si>
  <si>
    <t>Önkormányzati feladatok</t>
  </si>
  <si>
    <t>Költségvetési bevételek és kiadások  kötelező-, önként vállalt-, állami (államigazgatási) feladatok szerinti bontása</t>
  </si>
  <si>
    <t>Eredeti ei.</t>
  </si>
  <si>
    <t>KEOP-4.2.0/B. Termál hőellátó rendszer fejl.</t>
  </si>
  <si>
    <t>Támogatás értékű felhalmozási célú pe átvétel</t>
  </si>
  <si>
    <t>Felhalmozási célú pe átadás összesen</t>
  </si>
  <si>
    <t>Beruházások összesen</t>
  </si>
  <si>
    <t>EU önerő</t>
  </si>
  <si>
    <t>Hitel (felhalmozási)</t>
  </si>
  <si>
    <t>Tám. értékű felhalm.c.pe átvét.</t>
  </si>
  <si>
    <t>eredeti ei.</t>
  </si>
  <si>
    <t xml:space="preserve">ebből: - Illetékjellegű bevételek </t>
  </si>
  <si>
    <t>P</t>
  </si>
  <si>
    <t>Telj.           III. 31.</t>
  </si>
  <si>
    <t>Telj.     %-a</t>
  </si>
  <si>
    <t xml:space="preserve">N </t>
  </si>
  <si>
    <t>Telj.        III.31.</t>
  </si>
  <si>
    <t>Munkaügyi Kp támogatása (Hosszabb időtartamú közfogl.)</t>
  </si>
  <si>
    <t>Működési célú pe átvétel</t>
  </si>
  <si>
    <t>Mód.ei. VI.30.</t>
  </si>
  <si>
    <t>Start hosszabb időtartamú közfoglalkoztatás személyi kiadások</t>
  </si>
  <si>
    <t>Start hosszabb időtartamú közfoglalkoztatás járulékok</t>
  </si>
  <si>
    <t>Pénzügyi befektetések kiadásai összesen</t>
  </si>
  <si>
    <t xml:space="preserve">Önkormányzati vagyonhasznosítás </t>
  </si>
  <si>
    <t>Telj.           VI.30.</t>
  </si>
  <si>
    <t>Telj.        VI.30.</t>
  </si>
  <si>
    <t>Teljesítés VI.30.</t>
  </si>
  <si>
    <t xml:space="preserve"> 2.2.4.</t>
  </si>
  <si>
    <t>Magánszemélyek kommunális adója</t>
  </si>
  <si>
    <t>Kötvénykibocsátás 2007.</t>
  </si>
  <si>
    <t>Tájékoztatásul a devizás kötelezettségek 2013.06.30-i állományáról eFt-ban (295,6 Ft/Euro, állomány 2 666 879,8 EUR)</t>
  </si>
  <si>
    <t>Kistérségi Iroda munkaszervezet</t>
  </si>
  <si>
    <t>Kiemelt előirányzat</t>
  </si>
  <si>
    <t>Önkormányzat   1 cím</t>
  </si>
  <si>
    <t>Polgármesteri Hivatal                2 cím</t>
  </si>
  <si>
    <t>Mindösszesen</t>
  </si>
  <si>
    <t>Bér</t>
  </si>
  <si>
    <t>Munkaadói járulék</t>
  </si>
  <si>
    <t>Tám.ért.műk.pe.átadás</t>
  </si>
  <si>
    <t>Társ.szoc.pol.tám.</t>
  </si>
  <si>
    <t>Kamat</t>
  </si>
  <si>
    <t>Műk.kiadás össz.</t>
  </si>
  <si>
    <t>Finanszírozás</t>
  </si>
  <si>
    <t>felhalmozási kamat</t>
  </si>
  <si>
    <t>támogatás értékű pe.áa.</t>
  </si>
  <si>
    <t>felhalm.c.pe.átadás</t>
  </si>
  <si>
    <t>pénzügyi befektetés</t>
  </si>
  <si>
    <t>felújítás</t>
  </si>
  <si>
    <t>felhalmozás</t>
  </si>
  <si>
    <t>felhalmozási tartalék</t>
  </si>
  <si>
    <t>Felhalmozási kiadás</t>
  </si>
  <si>
    <t>Kiadás mindössz.</t>
  </si>
  <si>
    <t>Támogatás értékű műk.bev.</t>
  </si>
  <si>
    <t>Működési átvett pe.</t>
  </si>
  <si>
    <t>önkorm.sajátos bevétel</t>
  </si>
  <si>
    <t>pénzmaradvány</t>
  </si>
  <si>
    <t>támogatás értékű felh.bev.</t>
  </si>
  <si>
    <t>Egyéb felh. átvett pe.</t>
  </si>
  <si>
    <t>Felhalmozási és tj.</t>
  </si>
  <si>
    <t>Kölcsönök visszatér</t>
  </si>
  <si>
    <t>Helyi adóbevétel</t>
  </si>
  <si>
    <t>központi adóbevétel</t>
  </si>
  <si>
    <t>Működési hitel</t>
  </si>
  <si>
    <t>Felhalmozási hitel</t>
  </si>
  <si>
    <t>Normatív és központosított támogatás</t>
  </si>
  <si>
    <t>Bevétel összesen</t>
  </si>
  <si>
    <t>Támogatási igény</t>
  </si>
  <si>
    <t>Norm.felüli tám.</t>
  </si>
  <si>
    <t>Támogatás %</t>
  </si>
  <si>
    <t>Telj. IX.30.</t>
  </si>
  <si>
    <t xml:space="preserve"> 1.2.10.</t>
  </si>
  <si>
    <t>Egyéb központosított támogatás</t>
  </si>
  <si>
    <t>Tájékoztatásul a devizás kötelezettségek 2013.09.30-i állományáról eFt-ban (305,08 Ft/Euro, állomány 2 370 322,77 EUR)</t>
  </si>
  <si>
    <t>OTP Nyrt. Városrehabilitáció kölcsön</t>
  </si>
  <si>
    <t>Bölcsőde szakmai</t>
  </si>
  <si>
    <t>Bölcsőde technikai</t>
  </si>
  <si>
    <t>Start hosszabb időtartamú közfoglalkoztatás dologi kiadások</t>
  </si>
  <si>
    <t>Szarvas Város Óvodái és Bölcsődéje</t>
  </si>
  <si>
    <t>Szarvas Város Óvodái és Bölcsődéje összesen</t>
  </si>
  <si>
    <t xml:space="preserve"> Önkormányzat 2014. évi kiadásai</t>
  </si>
  <si>
    <t xml:space="preserve">Szarvas Város Önkormányzatának 2014. évi bevételi forrásai </t>
  </si>
  <si>
    <t>Szarvas Város Önkormányzatának 2014. évi finanszírozási kiadásai</t>
  </si>
  <si>
    <t>Szarvas Város Önkormányzatának 2014. évi működési kiadásai</t>
  </si>
  <si>
    <t>Cervinus Teátrum Művészeti Alapiskola fenntartás</t>
  </si>
  <si>
    <t>Roma Nemzetiségi Önkormányzat támogatása</t>
  </si>
  <si>
    <t>Polgármesteri Hivatal 2014. évi kiadásai</t>
  </si>
  <si>
    <t>Ingatlan hasznosítás</t>
  </si>
  <si>
    <t xml:space="preserve"> Önkormányzat 2014. évi bevételei</t>
  </si>
  <si>
    <t>2014. év hitelállománya. Kötvénykibocsátása és törlesztő részletek alakulása</t>
  </si>
  <si>
    <t>Szarvas Város Önkormányzatának 2014. évi működési, fejlesztési és finanszírozási célú bevételeinek és kiadásainak mérlege</t>
  </si>
  <si>
    <t>Működési finanszírozási bevételek</t>
  </si>
  <si>
    <t>Fejlesztési finanszírozási bevételek</t>
  </si>
  <si>
    <t>Működési finanszírozási kiadások</t>
  </si>
  <si>
    <t>Fejlesztési finanszírozási kiadások</t>
  </si>
  <si>
    <t>Müködési, felhalmozási és finanszírozási célú bevételek és kiadások alakulása 2014. évben</t>
  </si>
  <si>
    <t>2014. évben</t>
  </si>
  <si>
    <t>Eredeti</t>
  </si>
  <si>
    <t xml:space="preserve">2014. évi költségvetés címenkénti összesítése, kiemelt előirányzati bontásban </t>
  </si>
  <si>
    <t>Szarvas Város Óvodái és Bölcsődéje               3 cím</t>
  </si>
  <si>
    <t>Óvoda</t>
  </si>
  <si>
    <t>Bölcsőde</t>
  </si>
  <si>
    <t>Tessedik Sámuel Múzeum és Szárazmalom, Városi Könyvtár 4 cím</t>
  </si>
  <si>
    <t>Múzeum</t>
  </si>
  <si>
    <t>Könyvtár</t>
  </si>
  <si>
    <t>Kimutatás a közvetett támogatásokról</t>
  </si>
  <si>
    <t>Adónem</t>
  </si>
  <si>
    <t>Körforgalmi csomópont tervezés</t>
  </si>
  <si>
    <t>Tanyagondnoki feladat pályázat áfa támogatása</t>
  </si>
  <si>
    <t>Fejlesztési tartalék eredeti előirányzata: 2014.01.01.</t>
  </si>
  <si>
    <t>Fejlesztési tartalék részletezése 2014. év .</t>
  </si>
  <si>
    <t>721/2013.(XII.19) Kt.határozat vagyonszámla visszapótlás</t>
  </si>
  <si>
    <t>721/2013.(XII.19) Kt.határozatvárosrehabilitáció pótmunka saját forrás</t>
  </si>
  <si>
    <t>Múzeum Ruzicskay közgyüjtemény működési kiadásai</t>
  </si>
  <si>
    <t xml:space="preserve">Működési tartalék részletezése 2014. év </t>
  </si>
  <si>
    <t>Többc. Társ. Normatíva támogatás</t>
  </si>
  <si>
    <t>Többcélú Kistérség  általános támogatása</t>
  </si>
  <si>
    <t>Mindösszesen 2014.</t>
  </si>
  <si>
    <t>2014.évi költségvetés I. forduló összehasonlító tábla</t>
  </si>
  <si>
    <t>Szarvas Város Önkormányzatának 2014. évi felhalmozási kiadásai</t>
  </si>
  <si>
    <t>adósságkonszolidáció II. ütem figyelembevételével</t>
  </si>
  <si>
    <t>2014.12.31.-ig</t>
  </si>
  <si>
    <t>Működési tartalék eredeti előirányzata: 2014.01.01</t>
  </si>
  <si>
    <t>Idegenforgalmi adó 40/2009. (XII.18.)</t>
  </si>
  <si>
    <t>70. életévét betöltött magánszemélyek</t>
  </si>
  <si>
    <t>Fejlesztési hitel kamata</t>
  </si>
  <si>
    <t>Szarvas Város Önkormányzatának  2014. évi létszámadatai (fő)</t>
  </si>
  <si>
    <t>A költségvetési rendelet 224 fő közcélú foglalkoztatott ellátásához szükséges bevételt és kiadást tartalmaz.</t>
  </si>
  <si>
    <t>Polgármesteri Hivatal 2014. évi bevételei</t>
  </si>
  <si>
    <t>Köztisztviselő</t>
  </si>
  <si>
    <t>Szakmai (mezőőr)</t>
  </si>
  <si>
    <t>Többc. Társ. Egyéb támogatás</t>
  </si>
  <si>
    <t>KEOP-1.3.0/09 Békés Megyei Ivóvízminőségjavító Program</t>
  </si>
  <si>
    <t>BM EU önerő alap támogatás</t>
  </si>
  <si>
    <r>
      <t>Kistérségi feladat pályázati támogatás (</t>
    </r>
    <r>
      <rPr>
        <sz val="8"/>
        <rFont val="Arial CE"/>
        <family val="0"/>
      </rPr>
      <t>támogató szolgálat, gyerekház működés)</t>
    </r>
  </si>
  <si>
    <t>Pályázatos támogatás kistérségi feladathoz</t>
  </si>
  <si>
    <t xml:space="preserve">Vízmű vagyon karbantartása   </t>
  </si>
  <si>
    <t>745/2012 Közmű rekonstrukciós keret (szennyvíz, ivóvíz, elektromos hálózat, hírközlés stb.)</t>
  </si>
  <si>
    <t>Vagyonkezelési számla</t>
  </si>
  <si>
    <t>2073/A/1/2/3 hrsz. Társasházi ingatlanok kisajátítási eljárása</t>
  </si>
  <si>
    <t xml:space="preserve">582/2010, 178/2013. "Lengyel-palota" tulajdonjogának megszerzése </t>
  </si>
  <si>
    <t>Egyházi kártalanítás</t>
  </si>
  <si>
    <t xml:space="preserve">               91/2013 Petőfi Iskola energetikai pályázat önerő</t>
  </si>
  <si>
    <t xml:space="preserve">               546/2013 Vajda Péter Evangélikus Gimnázium iskolaépület kiviteli terve</t>
  </si>
  <si>
    <t xml:space="preserve">              680/2013 Petőfi u Iskola felújítása közbeszerzési feladatok ellátására</t>
  </si>
  <si>
    <t>393/2013 Városközpont rehab pályázatban csobogókra</t>
  </si>
  <si>
    <t>478/2013 "Kisárpád üzletház homlokzat felújítás kivitelezési feladatainak önereje</t>
  </si>
  <si>
    <t>485/2013 Ótemplom homlokzatvilágítás tervezés+kivitelézés költsége</t>
  </si>
  <si>
    <t>485/2013 Vajda P. u. Múzeum homlozatvilágítás tervezés+kivitelezés</t>
  </si>
  <si>
    <t>485/2013 Fürdő, Kossuth 23. épület homlokzatvilágítás tervezés+kivitelezés</t>
  </si>
  <si>
    <t>485/2013 Kossuth téri Katlokus templom Szabadág utcai homlokzatvilágítás tervezés+kivitelezés</t>
  </si>
  <si>
    <t>485/2013 Fő tér szökőkút világítás tervezés+kivitelezés</t>
  </si>
  <si>
    <t>485/2013 Fő tér Iskola homlokzatvilgítás tervezés+kivitelezés</t>
  </si>
  <si>
    <r>
      <t>730/2013</t>
    </r>
    <r>
      <rPr>
        <i/>
        <sz val="12"/>
        <rFont val="Times New Roman"/>
        <family val="1"/>
      </rPr>
      <t>, 538/2013 Mitrovszky kastély tömbbelső és Szabadság úti járda díszvilágítása</t>
    </r>
  </si>
  <si>
    <t>538/2013 Mitrovszky kastély, Deák F. és Szabadság u. homlokzat díszvilágítása</t>
  </si>
  <si>
    <t>538/2013 Járási Bíróság Deák utcai homlokzat díszvilágítása</t>
  </si>
  <si>
    <t>731/2013 Szent Klára Katolikus Templom díszvilágítás tervezés+kivitelezés</t>
  </si>
  <si>
    <t>732/2013 Szent István Egyetem Pedagógiai Kar homlokzat díszvilágítás tervezés+kivitelezés</t>
  </si>
  <si>
    <t xml:space="preserve">736/2013 Szarvas, Szabadság u. 22. sz. alatti ingatlan vételára </t>
  </si>
  <si>
    <t>742/2013 Szarvas, Kossuth L. u. 9. sz. alatti ingatlan vételára</t>
  </si>
  <si>
    <t>Szabad maradvány</t>
  </si>
  <si>
    <t>Ipari Park (Inkubátorház) 2012.12.31-i bankszámla egyenlege</t>
  </si>
  <si>
    <t>Szentesi u. lakópark elsz. kötelezettsége 2012.12.31.</t>
  </si>
  <si>
    <t>4 db szociális bérlakás elsz. Kötelezettsége 2012.12.31.</t>
  </si>
  <si>
    <t>Uniós pályázatok szláit érintő kamatbevételek 2012.12.31.</t>
  </si>
  <si>
    <t>302/2011 Szentesi úti kerékpárút sikerdíj</t>
  </si>
  <si>
    <t>38/2012, 557/2011 Települési szilárd hulladékgazd.-i rendszerek fejlesztése c. pály. Telekmegosztás</t>
  </si>
  <si>
    <t>518/2010 KOMÉP járdaépítési feladatok</t>
  </si>
  <si>
    <t>651/2012 KEOP szilárd hulladék-gazd.rendsz.fejlesztés Körösszögi kistérségben (45.750.719 áfa megelőlegezési köt.)</t>
  </si>
  <si>
    <t xml:space="preserve">705/2012 Szennyvíztisztító rendszer koplex fejlesztése c. beruházás támogatási rátájának felülvizsgálata </t>
  </si>
  <si>
    <t xml:space="preserve">747/2012 Kossuth úti óvoda, Városi sportcsarnok napelemes pályázat - energetikai tanúsítvány </t>
  </si>
  <si>
    <t>26/2013 Fahíd-Arborétum közötti kerékpárút terv elkészítése</t>
  </si>
  <si>
    <t>27/2013 Kacsató-Mezőtúri út közötti kerékpárút terv elkészítése</t>
  </si>
  <si>
    <t>28/2013 Arborétum-Körösi komp közötti kerékpárút terv elkészítése</t>
  </si>
  <si>
    <t>29/2013 Szabadság úti kerékpárút felújítási terv elkészítése</t>
  </si>
  <si>
    <t>35/2013 CKÖ Közösségi ház felújításának tervezési munkái</t>
  </si>
  <si>
    <t>79/2013. II. Szarvasi Horgász és Halas Gasztronómia Nap támogatása</t>
  </si>
  <si>
    <t>96/2013. Gyermekélelm.konyha, Sportcsarnok, Gazdák Hagy.Egy., Id.Napk.Otth. energetikai pály. önerő</t>
  </si>
  <si>
    <t>97/2013. Szent Klára Gyórgyfürdő energetikai pály. önerő</t>
  </si>
  <si>
    <t>98/2013. Vasút úti rend.int. és Kossuth úti Bölcsőde energetikai pály. önerő</t>
  </si>
  <si>
    <t>99/2013. Városi Sportcsarnok és Kossuth Óvoda energetikai pály. önerő</t>
  </si>
  <si>
    <t>100/2013. Szlovák Ált.Iskola és Diákotthon energetikai pály. önerő</t>
  </si>
  <si>
    <t>237/2013. Térfigyelő kamerák bővítésére pályázati önerő</t>
  </si>
  <si>
    <t>284/2012. Nyári gyermekétkeztetés pályázat - önerő</t>
  </si>
  <si>
    <t>311/2013. KOMÉP zöldterület fenntartása</t>
  </si>
  <si>
    <t>331/2013. Körös-Szögi Civil Fórum Egyesület LEADER pályázat támogatása</t>
  </si>
  <si>
    <t>345/2013. "Komplex belvízrendezési program - Szarvas" pótmunka-igény önereje</t>
  </si>
  <si>
    <t>390/2013, 439/2013 KEOP-1.1.1/C/13 Települési szilárdhull.gazd.rendsz.eszközpark fejlesztés pályázat - nettó önerő</t>
  </si>
  <si>
    <t>421/2013 A tanyás térségek kelter.földútjainak karbantart.biztosító munkagépek, eszközök beszerz.pályázat - önerő</t>
  </si>
  <si>
    <t>422/2013 Új polgármesteri hivatal épületének légkondicionálására fedezetkiegészítés</t>
  </si>
  <si>
    <t>423/2013 Városközpont rekonctrukció - 7 db csobogó-szökökút és zenepavilon E-On részére fizetendő fejlesztési hozzájár.</t>
  </si>
  <si>
    <t>437/2013 Kistérség Többcélú Társulási Tanács által benyújtott TP-1-2013. pályázathoz önerő</t>
  </si>
  <si>
    <t>540/2013 Városközpont rehab. III.ütem - kivitelzési feladataira kötendő szerződések (Swietelsky Kft.)</t>
  </si>
  <si>
    <t>540/2013 Városközpont rehab. III.ütem - kivitelzési feladatira kötendő szerződések (Swietelsky Kft.)</t>
  </si>
  <si>
    <t>653/2013 Városközpont felújítás pótmunkáihoz közbeszerzési felad.elvégzésére (Illés és Sipos Ügyvédi Iroda)</t>
  </si>
  <si>
    <t>466/2013 "Komplex belvíztendezési program - Szarvas"pótmunka-igény 2 önereje</t>
  </si>
  <si>
    <t>503/2013 Turul Mozi digitalizációja</t>
  </si>
  <si>
    <t>512/2013 Melis György szobor állításához önerő+nevezési díj</t>
  </si>
  <si>
    <t>515/2013 Múzeumnak felhalm.kiadásra átcsoportosítás</t>
  </si>
  <si>
    <t>Szárazmalom tetőszerkezetének állagmegóvása</t>
  </si>
  <si>
    <t>Monguz Hun Téka-M integrált nyilvántartó múzeumi rendszer</t>
  </si>
  <si>
    <t>Informatikai fejlesztés (számítógépek beszerzése)</t>
  </si>
  <si>
    <t>Jegykiadó rendszer létrehozása 3 helyszínen</t>
  </si>
  <si>
    <t>Bútor vásárlása (40 db szék, 2 db asztal)</t>
  </si>
  <si>
    <t>Fototechnikai kialakítása digitalizáláshoz</t>
  </si>
  <si>
    <t>722/2013 tárgyfotóstúdióhoz felszerelés beszerzés</t>
  </si>
  <si>
    <t>595/2013 Régészeti lelőhelyek feltárása pályázati önerő</t>
  </si>
  <si>
    <t>612/2013 Novák István emlékplakettje</t>
  </si>
  <si>
    <t>666/2013 Zöldpázsit utcai Óvoda eszközbeszerzés többletforrása</t>
  </si>
  <si>
    <t>674/2013 Új polgármesteri hivatal számítógépes és telefonhálózatának kiépítésére</t>
  </si>
  <si>
    <t>674/2013Új polgármesteri hivatalba technikai eszközök átköltöztetése és beüzemelése</t>
  </si>
  <si>
    <t>Turul Mozi digitalizációja</t>
  </si>
  <si>
    <t>749/2013 DAOP-5.2.1/A belvízvéd.rendszer fejlesztése Szarvason támog.szerz.módosítás</t>
  </si>
  <si>
    <t>Gyermekétkeztetés működési támogatás</t>
  </si>
  <si>
    <t>Előző évi maradvány igénybevétele</t>
  </si>
  <si>
    <t>maradvány</t>
  </si>
  <si>
    <t>Központosított támogatás</t>
  </si>
  <si>
    <t>Kockázatkezelési tartalék</t>
  </si>
  <si>
    <t>Középhalmi nyugdíjas egyesület támogatás viosszafizetés</t>
  </si>
  <si>
    <r>
      <t>407/2011 Szentesi út melleti kerékpárút építés önerő -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felhalmozási hitelből</t>
    </r>
  </si>
  <si>
    <r>
      <t xml:space="preserve">475/2011 DAOP Belterületi utak II. önerő - </t>
    </r>
    <r>
      <rPr>
        <b/>
        <u val="single"/>
        <sz val="12"/>
        <rFont val="Times New Roman"/>
        <family val="1"/>
      </rPr>
      <t>felhalmozási hitelből  - döntés 27.750.000 Ft</t>
    </r>
  </si>
  <si>
    <r>
      <t>Városközpont rehabilitáció többletönerő hitelből (feladattal terhelt 82.988.007 Ft)</t>
    </r>
    <r>
      <rPr>
        <b/>
        <u val="single"/>
        <sz val="9"/>
        <rFont val="Times New Roman"/>
        <family val="1"/>
      </rPr>
      <t xml:space="preserve"> Felhalmozási hitelből 42.090.645 Ft</t>
    </r>
  </si>
  <si>
    <t xml:space="preserve">              750/2013 Evangélikus Gimnázium oktatási épület felújítása, stb</t>
  </si>
  <si>
    <t>Európai Uniós támogatással megvalósuló projektek 2014. évben</t>
  </si>
  <si>
    <t>KT határozat száma</t>
  </si>
  <si>
    <t>Tárgy</t>
  </si>
  <si>
    <t>Teljes költségvetés (eFt)</t>
  </si>
  <si>
    <t>Teljes saját forrás (eFt)</t>
  </si>
  <si>
    <t xml:space="preserve">2014. évi saját forrás </t>
  </si>
  <si>
    <t>2014. évi saját forrás kiegészítés (BM Önerő Alap)</t>
  </si>
  <si>
    <t>NFÜ EU Önerő Alap 2014</t>
  </si>
  <si>
    <t>2014. évi támogatás</t>
  </si>
  <si>
    <t>Összes forrás 2014</t>
  </si>
  <si>
    <t>550/2011.                 (IX.22.)</t>
  </si>
  <si>
    <t>Szarvas Város szennyvíztisztító rendszerének komplex fejlesztése               KEOP-1.2.0/B/10-2010-0036</t>
  </si>
  <si>
    <t>3/2011.               (I.06.)</t>
  </si>
  <si>
    <t>Szarvas kistérségi székhely központjának integrált fejlesztése (Városrehabilitáció)                                                                                                    DAOP-5.1.2/A-09-2F-2011-0003</t>
  </si>
  <si>
    <t>413/2012. (VI.21.)</t>
  </si>
  <si>
    <t>58/2010.          (I.21.)</t>
  </si>
  <si>
    <t>Megyei belvíz (Belvízrendezés az élhetőbb településekért, Belvíz II. ütem)                                                                                                                      DAOP-5.2.1/D-2008-0002</t>
  </si>
  <si>
    <t>345/2013. (VI.13.), 466/2013. (VIII.30.)</t>
  </si>
  <si>
    <t>DAOP-5.2.1/D-2008-0002 Megyei belvíz pótmunka</t>
  </si>
  <si>
    <t>651/2012. (X.18.)</t>
  </si>
  <si>
    <t xml:space="preserve">Települési szilárdhulladék-gazdálkodási rendszerek fejlesztése (komposztáló) KEOP-7.1.1/1F-2008-0009 Szarvasra eső rész </t>
  </si>
  <si>
    <t>179/2012. (III.22.)</t>
  </si>
  <si>
    <t>A Zöldpázsit utcai óvoda bővítése az esélyegyenlőség jegyében DAOP-4.2.1-11-2012-0022</t>
  </si>
  <si>
    <t>505/2012. (VIII.16.)</t>
  </si>
  <si>
    <t>Szarvas Város Geotermikus Rendszer fejlesztése I. ütem                      KEOP-4.2.0/B/11-2011-0034</t>
  </si>
  <si>
    <t>691/2009, 781/2012, 18/2014 (I.16.)</t>
  </si>
  <si>
    <t>Ivóvízminőség-javító program KEOP-1.3.0./09-11 Szarvasra eső rész</t>
  </si>
  <si>
    <t>354/2012. (V.31.)</t>
  </si>
  <si>
    <t>TÁMOP-3.1.3-11/2-2012-0008 Öveges Program Szarvasra eső rész</t>
  </si>
  <si>
    <t>961/2013. (VI.27.)</t>
  </si>
  <si>
    <t>ÁROP-1.A.5-2013-2013-0012 Szarvas Város Önkormányzata szervezetfejlesztése</t>
  </si>
  <si>
    <t>100/2013. (II.21.)</t>
  </si>
  <si>
    <t>KEOP-4.10.0/A/12/2013-1297 Szarvas, Szlovák Általános Iskola és Diákotthon villamos energia fogyasztásának csökkentése napelemes rendszer kiépítésével</t>
  </si>
  <si>
    <t>97/2013. (II.21.)</t>
  </si>
  <si>
    <t>KEOP-4.10.0/A/12/2013-1297 Szarvasi Szent Klára Gyógyfürdő és Termálszolgáltató Kft. villamos energia fogyasztásának csökkentése napelemes rendszer kiépítésével</t>
  </si>
  <si>
    <t>Összesen Ft</t>
  </si>
  <si>
    <r>
      <t>Belvízvédelmi rendszer fejlesztése Szarvason (</t>
    </r>
    <r>
      <rPr>
        <i/>
        <sz val="10"/>
        <rFont val="Arial"/>
        <family val="2"/>
      </rPr>
      <t>konzorciumos, Szarvas gesztorságával</t>
    </r>
    <r>
      <rPr>
        <sz val="10"/>
        <rFont val="Arial"/>
        <family val="0"/>
      </rPr>
      <t>)                                                                                         DAOP-5.2.1/A-11-2011-0007</t>
    </r>
    <r>
      <rPr>
        <i/>
        <sz val="10"/>
        <rFont val="Arial"/>
        <family val="2"/>
      </rPr>
      <t xml:space="preserve"> Szarvasra eső rész</t>
    </r>
  </si>
  <si>
    <t>1 melléklet a 3/2014.(II.21.) önkormányzati rendelethez</t>
  </si>
  <si>
    <t>2 melléklet a 3/2014.(II.21.) önkormányzati rendelethez</t>
  </si>
  <si>
    <t>1/a melléklet a 3/2014.(II.21.) önkormányzati rendelethez</t>
  </si>
  <si>
    <t>1/b melléklet a 3/2014.(II.21.) önkormányzati rendelethez</t>
  </si>
  <si>
    <t>2/a melléklet a 3/2014.(II.21.) önkormányzati rendelethez</t>
  </si>
  <si>
    <t>2/b melléklet a 3/2014.(II.21.) önkormányzati rendelethez</t>
  </si>
  <si>
    <t>3 melléklet a 3/2014.(II.21.) önkormányzati rendelethez</t>
  </si>
  <si>
    <t>4 melléklet a 3/2014.(II.21.) önkormányzati rendelethez</t>
  </si>
  <si>
    <t>5 melléklet a 3/2014.(II.21.) önkormányzati rendelethez</t>
  </si>
  <si>
    <t>5/a melléklet a 3/2014.(II.21.) önkormányzati rendelethez</t>
  </si>
  <si>
    <t>6 melléklet a 3/2014.(II.21.) önkormányzati rendelethez</t>
  </si>
  <si>
    <t>7 melléklet a 3/2014.(II.21.) önkormányzati rendelethez</t>
  </si>
  <si>
    <t>9 melléklet a 3/2014.(II.21.) önkormányzati rendelethez</t>
  </si>
  <si>
    <t>10 melléklet a 3/2014.(II.21.) önkormányzati rendelethez</t>
  </si>
  <si>
    <t>11/a melléklet a 3/2014.(II.24.) önkormányzati rendelethez</t>
  </si>
  <si>
    <t>11/b melléklet a 3/2014.(II.21.) önkormányzati rendelethez</t>
  </si>
  <si>
    <t>12 melléklet a 3/2014 (II.24.) önkormányzati rendelethez</t>
  </si>
  <si>
    <t>13 melléklet a 3/2014.(II.21.)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</si>
</sst>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#,##0.0"/>
    <numFmt numFmtId="171" formatCode="#,##0\ [$€-1];[Red]\-#,##0\ [$€-1]"/>
    <numFmt numFmtId="172" formatCode="[$€-2]\ #,##0;[Red]\-[$€-2]\ #,##0"/>
    <numFmt numFmtId="173" formatCode="[$-40E]yyyy\.\ mmmm\ d\."/>
    <numFmt numFmtId="174" formatCode="#,##0_ ;[Red]\-#,##0\ "/>
    <numFmt numFmtId="175" formatCode="\+\ 0"/>
    <numFmt numFmtId="176" formatCode="\+\2.\2%"/>
    <numFmt numFmtId="177" formatCode="\+\ .\2%"/>
    <numFmt numFmtId="178" formatCode="0.0%"/>
    <numFmt numFmtId="179" formatCode="\+\ .\4%"/>
    <numFmt numFmtId="180" formatCode="\+\ .\7%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#,##0.000"/>
    <numFmt numFmtId="190" formatCode="#,##0_ ;\-#,##0\ "/>
    <numFmt numFmtId="191" formatCode="0_ ;\-0\ "/>
    <numFmt numFmtId="192" formatCode="yyyy\-mm\-dd;@"/>
    <numFmt numFmtId="193" formatCode="mmm/yyyy"/>
    <numFmt numFmtId="194" formatCode="m\.\ d\.;@"/>
  </numFmts>
  <fonts count="5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6"/>
      <name val="Arial CE"/>
      <family val="0"/>
    </font>
    <font>
      <b/>
      <u val="single"/>
      <sz val="14"/>
      <name val="Arial"/>
      <family val="2"/>
    </font>
    <font>
      <b/>
      <u val="single"/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b/>
      <u val="single"/>
      <sz val="9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2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6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17" borderId="7" applyNumberFormat="0" applyFont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39" fillId="4" borderId="0" applyNumberFormat="0" applyBorder="0" applyAlignment="0" applyProtection="0"/>
    <xf numFmtId="0" fontId="43" fillId="22" borderId="8" applyNumberFormat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" borderId="0" applyNumberFormat="0" applyBorder="0" applyAlignment="0" applyProtection="0"/>
    <xf numFmtId="0" fontId="41" fillId="23" borderId="0" applyNumberFormat="0" applyBorder="0" applyAlignment="0" applyProtection="0"/>
    <xf numFmtId="0" fontId="44" fillId="22" borderId="1" applyNumberFormat="0" applyAlignment="0" applyProtection="0"/>
    <xf numFmtId="9" fontId="1" fillId="0" borderId="0" applyFill="0" applyBorder="0" applyAlignment="0" applyProtection="0"/>
  </cellStyleXfs>
  <cellXfs count="9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65" fontId="2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11" xfId="0" applyFont="1" applyBorder="1" applyAlignment="1">
      <alignment/>
    </xf>
    <xf numFmtId="0" fontId="0" fillId="0" borderId="0" xfId="58">
      <alignment/>
      <protection/>
    </xf>
    <xf numFmtId="0" fontId="7" fillId="0" borderId="0" xfId="58" applyFont="1" applyAlignment="1">
      <alignment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Alignment="1">
      <alignment vertical="top"/>
      <protection/>
    </xf>
    <xf numFmtId="0" fontId="0" fillId="0" borderId="0" xfId="58" applyAlignment="1">
      <alignment vertical="top"/>
      <protection/>
    </xf>
    <xf numFmtId="0" fontId="0" fillId="0" borderId="13" xfId="58" applyBorder="1">
      <alignment/>
      <protection/>
    </xf>
    <xf numFmtId="0" fontId="0" fillId="0" borderId="14" xfId="58" applyBorder="1">
      <alignment/>
      <protection/>
    </xf>
    <xf numFmtId="0" fontId="6" fillId="0" borderId="13" xfId="58" applyFont="1" applyBorder="1" applyAlignment="1">
      <alignment horizontal="center" vertical="top" wrapText="1"/>
      <protection/>
    </xf>
    <xf numFmtId="0" fontId="6" fillId="0" borderId="14" xfId="58" applyFont="1" applyBorder="1" applyAlignment="1">
      <alignment horizontal="center" vertical="top" wrapText="1"/>
      <protection/>
    </xf>
    <xf numFmtId="0" fontId="0" fillId="0" borderId="15" xfId="58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3" fontId="0" fillId="0" borderId="15" xfId="58" applyNumberFormat="1" applyBorder="1" applyAlignment="1">
      <alignment vertical="center" wrapText="1"/>
      <protection/>
    </xf>
    <xf numFmtId="0" fontId="0" fillId="24" borderId="14" xfId="58" applyFill="1" applyBorder="1" applyAlignment="1">
      <alignment vertical="top" wrapText="1"/>
      <protection/>
    </xf>
    <xf numFmtId="3" fontId="0" fillId="24" borderId="15" xfId="58" applyNumberFormat="1" applyFill="1" applyBorder="1" applyAlignment="1">
      <alignment vertical="center" wrapText="1"/>
      <protection/>
    </xf>
    <xf numFmtId="0" fontId="6" fillId="0" borderId="13" xfId="58" applyFont="1" applyBorder="1" applyAlignment="1">
      <alignment vertical="top" wrapText="1"/>
      <protection/>
    </xf>
    <xf numFmtId="0" fontId="6" fillId="0" borderId="14" xfId="58" applyFont="1" applyBorder="1" applyAlignment="1">
      <alignment vertical="top" wrapText="1"/>
      <protection/>
    </xf>
    <xf numFmtId="3" fontId="6" fillId="0" borderId="15" xfId="58" applyNumberFormat="1" applyFont="1" applyBorder="1" applyAlignment="1">
      <alignment vertical="center" wrapText="1"/>
      <protection/>
    </xf>
    <xf numFmtId="0" fontId="6" fillId="0" borderId="13" xfId="58" applyFont="1" applyFill="1" applyBorder="1" applyAlignment="1">
      <alignment vertical="center" wrapText="1"/>
      <protection/>
    </xf>
    <xf numFmtId="0" fontId="6" fillId="0" borderId="14" xfId="58" applyFont="1" applyFill="1" applyBorder="1" applyAlignment="1">
      <alignment vertical="center" wrapText="1"/>
      <protection/>
    </xf>
    <xf numFmtId="3" fontId="6" fillId="0" borderId="15" xfId="58" applyNumberFormat="1" applyFont="1" applyBorder="1" applyAlignment="1">
      <alignment vertical="center"/>
      <protection/>
    </xf>
    <xf numFmtId="3" fontId="6" fillId="0" borderId="15" xfId="58" applyNumberFormat="1" applyFont="1" applyBorder="1" applyAlignment="1">
      <alignment vertical="center" wrapText="1"/>
      <protection/>
    </xf>
    <xf numFmtId="0" fontId="6" fillId="0" borderId="0" xfId="58" applyFont="1">
      <alignment/>
      <protection/>
    </xf>
    <xf numFmtId="3" fontId="6" fillId="0" borderId="15" xfId="58" applyNumberFormat="1" applyFont="1" applyBorder="1" applyAlignment="1">
      <alignment horizontal="center" vertical="center"/>
      <protection/>
    </xf>
    <xf numFmtId="0" fontId="6" fillId="0" borderId="0" xfId="58" applyFont="1" applyFill="1" applyBorder="1" applyAlignment="1">
      <alignment vertical="center" wrapText="1"/>
      <protection/>
    </xf>
    <xf numFmtId="3" fontId="6" fillId="0" borderId="0" xfId="58" applyNumberFormat="1" applyFont="1" applyBorder="1" applyAlignment="1">
      <alignment vertical="center"/>
      <protection/>
    </xf>
    <xf numFmtId="3" fontId="6" fillId="0" borderId="0" xfId="58" applyNumberFormat="1" applyFont="1" applyBorder="1" applyAlignment="1">
      <alignment vertical="center" wrapText="1"/>
      <protection/>
    </xf>
    <xf numFmtId="3" fontId="6" fillId="0" borderId="0" xfId="58" applyNumberFormat="1" applyFont="1" applyBorder="1" applyAlignment="1">
      <alignment horizontal="center" vertical="center"/>
      <protection/>
    </xf>
    <xf numFmtId="3" fontId="6" fillId="0" borderId="0" xfId="58" applyNumberFormat="1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vertical="top" wrapText="1"/>
      <protection/>
    </xf>
    <xf numFmtId="0" fontId="0" fillId="0" borderId="0" xfId="58" applyAlignment="1">
      <alignment/>
      <protection/>
    </xf>
    <xf numFmtId="0" fontId="0" fillId="0" borderId="0" xfId="58" applyBorder="1">
      <alignment/>
      <protection/>
    </xf>
    <xf numFmtId="0" fontId="0" fillId="0" borderId="13" xfId="58" applyFill="1" applyBorder="1">
      <alignment/>
      <protection/>
    </xf>
    <xf numFmtId="0" fontId="0" fillId="0" borderId="16" xfId="58" applyFill="1" applyBorder="1">
      <alignment/>
      <protection/>
    </xf>
    <xf numFmtId="0" fontId="0" fillId="0" borderId="16" xfId="58" applyBorder="1">
      <alignment/>
      <protection/>
    </xf>
    <xf numFmtId="0" fontId="0" fillId="0" borderId="17" xfId="58" applyBorder="1">
      <alignment/>
      <protection/>
    </xf>
    <xf numFmtId="3" fontId="0" fillId="0" borderId="16" xfId="58" applyNumberFormat="1" applyBorder="1">
      <alignment/>
      <protection/>
    </xf>
    <xf numFmtId="3" fontId="0" fillId="0" borderId="14" xfId="58" applyNumberFormat="1" applyBorder="1">
      <alignment/>
      <protection/>
    </xf>
    <xf numFmtId="3" fontId="0" fillId="0" borderId="0" xfId="58" applyNumberFormat="1" applyBorder="1">
      <alignment/>
      <protection/>
    </xf>
    <xf numFmtId="3" fontId="2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164" fontId="1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2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Fill="1" applyBorder="1">
      <alignment/>
      <protection/>
    </xf>
    <xf numFmtId="0" fontId="17" fillId="0" borderId="19" xfId="57" applyFont="1" applyBorder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vertical="top"/>
      <protection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6" fillId="0" borderId="0" xfId="57" applyFont="1" applyBorder="1" applyAlignment="1">
      <alignment vertical="top" wrapText="1"/>
      <protection/>
    </xf>
    <xf numFmtId="0" fontId="6" fillId="0" borderId="0" xfId="57" applyFont="1">
      <alignment/>
      <protection/>
    </xf>
    <xf numFmtId="0" fontId="0" fillId="0" borderId="0" xfId="57" applyFont="1" applyBorder="1" applyAlignment="1">
      <alignment vertical="top"/>
      <protection/>
    </xf>
    <xf numFmtId="0" fontId="6" fillId="0" borderId="16" xfId="57" applyFont="1" applyBorder="1" applyAlignment="1">
      <alignment vertical="top"/>
      <protection/>
    </xf>
    <xf numFmtId="3" fontId="6" fillId="0" borderId="16" xfId="57" applyNumberFormat="1" applyFont="1" applyBorder="1" applyAlignment="1">
      <alignment vertical="center" wrapText="1"/>
      <protection/>
    </xf>
    <xf numFmtId="0" fontId="6" fillId="0" borderId="16" xfId="57" applyFont="1" applyBorder="1">
      <alignment/>
      <protection/>
    </xf>
    <xf numFmtId="0" fontId="6" fillId="0" borderId="17" xfId="57" applyFont="1" applyBorder="1" applyAlignment="1">
      <alignment vertical="top"/>
      <protection/>
    </xf>
    <xf numFmtId="3" fontId="6" fillId="0" borderId="17" xfId="57" applyNumberFormat="1" applyFont="1" applyBorder="1" applyAlignment="1">
      <alignment vertical="center" wrapText="1"/>
      <protection/>
    </xf>
    <xf numFmtId="0" fontId="6" fillId="0" borderId="17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3" fontId="6" fillId="0" borderId="0" xfId="57" applyNumberFormat="1" applyFont="1" applyBorder="1" applyAlignment="1">
      <alignment vertical="center" wrapText="1"/>
      <protection/>
    </xf>
    <xf numFmtId="3" fontId="0" fillId="0" borderId="0" xfId="57" applyNumberFormat="1" applyFont="1" applyBorder="1">
      <alignment/>
      <protection/>
    </xf>
    <xf numFmtId="0" fontId="0" fillId="0" borderId="0" xfId="57" applyFont="1" applyBorder="1" applyAlignment="1">
      <alignment horizontal="center" vertical="top"/>
      <protection/>
    </xf>
    <xf numFmtId="3" fontId="0" fillId="0" borderId="0" xfId="57" applyNumberFormat="1" applyFont="1" applyBorder="1" applyAlignment="1">
      <alignment vertical="center"/>
      <protection/>
    </xf>
    <xf numFmtId="0" fontId="6" fillId="0" borderId="0" xfId="57" applyFont="1" applyBorder="1">
      <alignment/>
      <protection/>
    </xf>
    <xf numFmtId="0" fontId="7" fillId="0" borderId="0" xfId="57" applyFont="1" applyBorder="1" applyAlignment="1">
      <alignment vertical="top"/>
      <protection/>
    </xf>
    <xf numFmtId="16" fontId="0" fillId="0" borderId="0" xfId="57" applyNumberFormat="1" applyFont="1" applyBorder="1" applyAlignment="1">
      <alignment vertical="top"/>
      <protection/>
    </xf>
    <xf numFmtId="3" fontId="6" fillId="0" borderId="16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/>
      <protection/>
    </xf>
    <xf numFmtId="0" fontId="0" fillId="0" borderId="0" xfId="57" applyFont="1" applyBorder="1">
      <alignment/>
      <protection/>
    </xf>
    <xf numFmtId="0" fontId="0" fillId="0" borderId="17" xfId="57" applyFont="1" applyBorder="1" applyAlignment="1">
      <alignment vertical="top"/>
      <protection/>
    </xf>
    <xf numFmtId="0" fontId="0" fillId="0" borderId="17" xfId="57" applyFont="1" applyBorder="1" applyAlignment="1">
      <alignment/>
      <protection/>
    </xf>
    <xf numFmtId="0" fontId="0" fillId="0" borderId="17" xfId="57" applyFont="1" applyBorder="1">
      <alignment/>
      <protection/>
    </xf>
    <xf numFmtId="0" fontId="6" fillId="0" borderId="16" xfId="57" applyFont="1" applyBorder="1" applyAlignment="1">
      <alignment/>
      <protection/>
    </xf>
    <xf numFmtId="16" fontId="0" fillId="0" borderId="17" xfId="57" applyNumberFormat="1" applyFont="1" applyBorder="1" applyAlignment="1">
      <alignment vertical="top"/>
      <protection/>
    </xf>
    <xf numFmtId="0" fontId="0" fillId="0" borderId="0" xfId="57">
      <alignment/>
      <protection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6" fillId="0" borderId="15" xfId="57" applyFont="1" applyBorder="1">
      <alignment/>
      <protection/>
    </xf>
    <xf numFmtId="3" fontId="6" fillId="0" borderId="15" xfId="57" applyNumberFormat="1" applyFont="1" applyBorder="1">
      <alignment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0" xfId="56" applyFont="1">
      <alignment/>
      <protection/>
    </xf>
    <xf numFmtId="0" fontId="18" fillId="0" borderId="0" xfId="56" applyFont="1" applyBorder="1">
      <alignment/>
      <protection/>
    </xf>
    <xf numFmtId="3" fontId="18" fillId="0" borderId="0" xfId="56" applyNumberFormat="1" applyFont="1" applyFill="1">
      <alignment/>
      <protection/>
    </xf>
    <xf numFmtId="0" fontId="21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3" fontId="21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4" fillId="0" borderId="18" xfId="0" applyFont="1" applyBorder="1" applyAlignment="1">
      <alignment/>
    </xf>
    <xf numFmtId="0" fontId="15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3" fillId="0" borderId="0" xfId="0" applyFont="1" applyAlignment="1">
      <alignment horizontal="right"/>
    </xf>
    <xf numFmtId="3" fontId="2" fillId="0" borderId="17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58" applyFill="1" applyBorder="1">
      <alignment/>
      <protection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2" xfId="58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0" xfId="58" applyFont="1">
      <alignment/>
      <protection/>
    </xf>
    <xf numFmtId="3" fontId="0" fillId="0" borderId="15" xfId="58" applyNumberFormat="1" applyFont="1" applyBorder="1">
      <alignment/>
      <protection/>
    </xf>
    <xf numFmtId="3" fontId="0" fillId="0" borderId="15" xfId="58" applyNumberFormat="1" applyFont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6" xfId="57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/>
    </xf>
    <xf numFmtId="3" fontId="0" fillId="0" borderId="16" xfId="57" applyNumberFormat="1" applyFont="1" applyBorder="1" applyAlignment="1">
      <alignment horizontal="center"/>
      <protection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/>
    </xf>
    <xf numFmtId="3" fontId="15" fillId="0" borderId="16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6" fillId="0" borderId="15" xfId="57" applyFont="1" applyBorder="1" applyAlignment="1">
      <alignment horizontal="center" vertical="center" wrapText="1"/>
      <protection/>
    </xf>
    <xf numFmtId="3" fontId="6" fillId="0" borderId="23" xfId="57" applyNumberFormat="1" applyFont="1" applyBorder="1" applyAlignment="1">
      <alignment horizontal="center" vertical="center" wrapText="1"/>
      <protection/>
    </xf>
    <xf numFmtId="3" fontId="6" fillId="0" borderId="19" xfId="57" applyNumberFormat="1" applyFont="1" applyBorder="1" applyAlignment="1">
      <alignment horizontal="center"/>
      <protection/>
    </xf>
    <xf numFmtId="3" fontId="0" fillId="0" borderId="19" xfId="57" applyNumberFormat="1" applyFont="1" applyBorder="1">
      <alignment/>
      <protection/>
    </xf>
    <xf numFmtId="3" fontId="6" fillId="0" borderId="13" xfId="57" applyNumberFormat="1" applyFont="1" applyBorder="1">
      <alignment/>
      <protection/>
    </xf>
    <xf numFmtId="3" fontId="6" fillId="0" borderId="24" xfId="57" applyNumberFormat="1" applyFont="1" applyBorder="1">
      <alignment/>
      <protection/>
    </xf>
    <xf numFmtId="3" fontId="6" fillId="0" borderId="19" xfId="57" applyNumberFormat="1" applyFont="1" applyBorder="1">
      <alignment/>
      <protection/>
    </xf>
    <xf numFmtId="3" fontId="0" fillId="0" borderId="24" xfId="57" applyNumberFormat="1" applyFont="1" applyBorder="1">
      <alignment/>
      <protection/>
    </xf>
    <xf numFmtId="0" fontId="6" fillId="0" borderId="23" xfId="57" applyFont="1" applyBorder="1" applyAlignment="1">
      <alignment horizontal="right" vertical="center" wrapText="1"/>
      <protection/>
    </xf>
    <xf numFmtId="0" fontId="6" fillId="0" borderId="19" xfId="57" applyFont="1" applyBorder="1" applyAlignment="1">
      <alignment horizontal="right" vertical="center" wrapText="1"/>
      <protection/>
    </xf>
    <xf numFmtId="3" fontId="6" fillId="0" borderId="23" xfId="57" applyNumberFormat="1" applyFont="1" applyBorder="1">
      <alignment/>
      <protection/>
    </xf>
    <xf numFmtId="0" fontId="6" fillId="0" borderId="19" xfId="57" applyFont="1" applyBorder="1">
      <alignment/>
      <protection/>
    </xf>
    <xf numFmtId="0" fontId="6" fillId="0" borderId="13" xfId="57" applyFont="1" applyBorder="1">
      <alignment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25" xfId="57" applyFont="1" applyBorder="1" applyAlignment="1">
      <alignment horizontal="center" vertical="center"/>
      <protection/>
    </xf>
    <xf numFmtId="3" fontId="6" fillId="0" borderId="25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0" fontId="6" fillId="0" borderId="26" xfId="57" applyFont="1" applyBorder="1">
      <alignment/>
      <protection/>
    </xf>
    <xf numFmtId="0" fontId="6" fillId="0" borderId="24" xfId="57" applyFont="1" applyBorder="1" applyAlignment="1">
      <alignment horizontal="center"/>
      <protection/>
    </xf>
    <xf numFmtId="0" fontId="6" fillId="0" borderId="17" xfId="57" applyFont="1" applyBorder="1" applyAlignment="1">
      <alignment vertical="top" wrapText="1"/>
      <protection/>
    </xf>
    <xf numFmtId="0" fontId="6" fillId="0" borderId="22" xfId="57" applyFont="1" applyBorder="1">
      <alignment/>
      <protection/>
    </xf>
    <xf numFmtId="0" fontId="7" fillId="0" borderId="0" xfId="57" applyFont="1" applyBorder="1" applyAlignment="1">
      <alignment horizontal="left"/>
      <protection/>
    </xf>
    <xf numFmtId="0" fontId="0" fillId="0" borderId="19" xfId="57" applyFont="1" applyBorder="1" applyAlignment="1">
      <alignment horizontal="center"/>
      <protection/>
    </xf>
    <xf numFmtId="0" fontId="0" fillId="0" borderId="26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14" xfId="57" applyFont="1" applyBorder="1">
      <alignment/>
      <protection/>
    </xf>
    <xf numFmtId="0" fontId="1" fillId="0" borderId="0" xfId="0" applyFont="1" applyBorder="1" applyAlignment="1">
      <alignment/>
    </xf>
    <xf numFmtId="0" fontId="0" fillId="0" borderId="24" xfId="57" applyFont="1" applyBorder="1" applyAlignment="1">
      <alignment horizontal="center"/>
      <protection/>
    </xf>
    <xf numFmtId="0" fontId="0" fillId="0" borderId="22" xfId="57" applyFont="1" applyBorder="1">
      <alignment/>
      <protection/>
    </xf>
    <xf numFmtId="0" fontId="6" fillId="0" borderId="17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2" fillId="0" borderId="19" xfId="57" applyFont="1" applyBorder="1">
      <alignment/>
      <protection/>
    </xf>
    <xf numFmtId="0" fontId="2" fillId="0" borderId="23" xfId="57" applyFont="1" applyBorder="1">
      <alignment/>
      <protection/>
    </xf>
    <xf numFmtId="0" fontId="2" fillId="0" borderId="19" xfId="57" applyFont="1" applyBorder="1">
      <alignment/>
      <protection/>
    </xf>
    <xf numFmtId="0" fontId="5" fillId="0" borderId="15" xfId="57" applyFont="1" applyBorder="1" applyAlignment="1">
      <alignment horizontal="right" vertical="center"/>
      <protection/>
    </xf>
    <xf numFmtId="0" fontId="2" fillId="0" borderId="25" xfId="57" applyFont="1" applyBorder="1">
      <alignment/>
      <protection/>
    </xf>
    <xf numFmtId="0" fontId="2" fillId="0" borderId="24" xfId="57" applyFont="1" applyBorder="1">
      <alignment/>
      <protection/>
    </xf>
    <xf numFmtId="0" fontId="4" fillId="0" borderId="15" xfId="57" applyFont="1" applyBorder="1">
      <alignment/>
      <protection/>
    </xf>
    <xf numFmtId="0" fontId="0" fillId="0" borderId="0" xfId="57" applyFont="1" applyAlignment="1">
      <alignment wrapText="1"/>
      <protection/>
    </xf>
    <xf numFmtId="3" fontId="6" fillId="0" borderId="15" xfId="57" applyNumberFormat="1" applyFont="1" applyBorder="1" applyAlignment="1">
      <alignment horizontal="center" vertical="center"/>
      <protection/>
    </xf>
    <xf numFmtId="3" fontId="6" fillId="0" borderId="23" xfId="57" applyNumberFormat="1" applyFont="1" applyBorder="1" applyAlignment="1">
      <alignment horizontal="center" vertical="center"/>
      <protection/>
    </xf>
    <xf numFmtId="3" fontId="6" fillId="0" borderId="19" xfId="57" applyNumberFormat="1" applyFont="1" applyBorder="1" applyAlignment="1">
      <alignment horizontal="center" vertical="center"/>
      <protection/>
    </xf>
    <xf numFmtId="3" fontId="0" fillId="0" borderId="20" xfId="57" applyNumberFormat="1" applyFont="1" applyBorder="1">
      <alignment/>
      <protection/>
    </xf>
    <xf numFmtId="3" fontId="0" fillId="0" borderId="25" xfId="57" applyNumberFormat="1" applyFont="1" applyBorder="1">
      <alignment/>
      <protection/>
    </xf>
    <xf numFmtId="3" fontId="6" fillId="0" borderId="27" xfId="57" applyNumberFormat="1" applyFont="1" applyBorder="1">
      <alignment/>
      <protection/>
    </xf>
    <xf numFmtId="3" fontId="6" fillId="0" borderId="20" xfId="57" applyNumberFormat="1" applyFont="1" applyBorder="1">
      <alignment/>
      <protection/>
    </xf>
    <xf numFmtId="0" fontId="22" fillId="0" borderId="0" xfId="56" applyFont="1" applyBorder="1" applyAlignment="1">
      <alignment horizontal="right"/>
      <protection/>
    </xf>
    <xf numFmtId="0" fontId="0" fillId="0" borderId="0" xfId="0" applyAlignment="1">
      <alignment/>
    </xf>
    <xf numFmtId="3" fontId="2" fillId="0" borderId="18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3" fontId="13" fillId="0" borderId="17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4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0" fontId="17" fillId="0" borderId="0" xfId="57" applyFont="1" applyAlignment="1">
      <alignment horizontal="center" vertical="center"/>
      <protection/>
    </xf>
    <xf numFmtId="3" fontId="2" fillId="0" borderId="0" xfId="57" applyNumberFormat="1" applyFont="1">
      <alignment/>
      <protection/>
    </xf>
    <xf numFmtId="0" fontId="2" fillId="0" borderId="15" xfId="57" applyFont="1" applyBorder="1" applyAlignment="1">
      <alignment horizontal="center"/>
      <protection/>
    </xf>
    <xf numFmtId="3" fontId="2" fillId="0" borderId="15" xfId="57" applyNumberFormat="1" applyFont="1" applyBorder="1" applyAlignment="1">
      <alignment horizontal="center"/>
      <protection/>
    </xf>
    <xf numFmtId="0" fontId="4" fillId="0" borderId="13" xfId="57" applyFont="1" applyBorder="1" applyAlignment="1">
      <alignment horizontal="center" vertical="center"/>
      <protection/>
    </xf>
    <xf numFmtId="3" fontId="4" fillId="0" borderId="15" xfId="57" applyNumberFormat="1" applyFont="1" applyBorder="1" applyAlignment="1">
      <alignment horizontal="center" vertical="center"/>
      <protection/>
    </xf>
    <xf numFmtId="3" fontId="4" fillId="0" borderId="15" xfId="57" applyNumberFormat="1" applyFont="1" applyBorder="1" applyAlignment="1">
      <alignment horizontal="center" vertical="center" wrapText="1"/>
      <protection/>
    </xf>
    <xf numFmtId="3" fontId="2" fillId="0" borderId="25" xfId="57" applyNumberFormat="1" applyFont="1" applyBorder="1">
      <alignment/>
      <protection/>
    </xf>
    <xf numFmtId="0" fontId="2" fillId="0" borderId="19" xfId="57" applyFont="1" applyFill="1" applyBorder="1">
      <alignment/>
      <protection/>
    </xf>
    <xf numFmtId="3" fontId="2" fillId="0" borderId="25" xfId="57" applyNumberFormat="1" applyFont="1" applyFill="1" applyBorder="1">
      <alignment/>
      <protection/>
    </xf>
    <xf numFmtId="3" fontId="2" fillId="0" borderId="27" xfId="57" applyNumberFormat="1" applyFont="1" applyBorder="1">
      <alignment/>
      <protection/>
    </xf>
    <xf numFmtId="0" fontId="4" fillId="0" borderId="23" xfId="57" applyFont="1" applyBorder="1">
      <alignment/>
      <protection/>
    </xf>
    <xf numFmtId="3" fontId="4" fillId="0" borderId="15" xfId="57" applyNumberFormat="1" applyFont="1" applyBorder="1">
      <alignment/>
      <protection/>
    </xf>
    <xf numFmtId="0" fontId="3" fillId="0" borderId="19" xfId="57" applyFont="1" applyBorder="1">
      <alignment/>
      <protection/>
    </xf>
    <xf numFmtId="3" fontId="2" fillId="0" borderId="19" xfId="57" applyNumberFormat="1" applyFont="1" applyBorder="1">
      <alignment/>
      <protection/>
    </xf>
    <xf numFmtId="3" fontId="4" fillId="0" borderId="27" xfId="57" applyNumberFormat="1" applyFont="1" applyBorder="1">
      <alignment/>
      <protection/>
    </xf>
    <xf numFmtId="3" fontId="4" fillId="0" borderId="23" xfId="57" applyNumberFormat="1" applyFont="1" applyBorder="1">
      <alignment/>
      <protection/>
    </xf>
    <xf numFmtId="3" fontId="4" fillId="0" borderId="20" xfId="57" applyNumberFormat="1" applyFont="1" applyBorder="1">
      <alignment/>
      <protection/>
    </xf>
    <xf numFmtId="3" fontId="4" fillId="0" borderId="25" xfId="57" applyNumberFormat="1" applyFont="1" applyBorder="1">
      <alignment/>
      <protection/>
    </xf>
    <xf numFmtId="3" fontId="4" fillId="0" borderId="16" xfId="57" applyNumberFormat="1" applyFont="1" applyBorder="1" applyAlignment="1">
      <alignment horizontal="center" vertical="center" wrapText="1"/>
      <protection/>
    </xf>
    <xf numFmtId="3" fontId="2" fillId="0" borderId="0" xfId="57" applyNumberFormat="1" applyFont="1" applyBorder="1">
      <alignment/>
      <protection/>
    </xf>
    <xf numFmtId="3" fontId="2" fillId="0" borderId="17" xfId="57" applyNumberFormat="1" applyFont="1" applyBorder="1">
      <alignment/>
      <protection/>
    </xf>
    <xf numFmtId="3" fontId="4" fillId="0" borderId="17" xfId="57" applyNumberFormat="1" applyFont="1" applyBorder="1">
      <alignment/>
      <protection/>
    </xf>
    <xf numFmtId="3" fontId="4" fillId="0" borderId="16" xfId="57" applyNumberFormat="1" applyFont="1" applyBorder="1">
      <alignment/>
      <protection/>
    </xf>
    <xf numFmtId="3" fontId="2" fillId="0" borderId="16" xfId="57" applyNumberFormat="1" applyFont="1" applyBorder="1" applyAlignment="1">
      <alignment horizontal="center"/>
      <protection/>
    </xf>
    <xf numFmtId="3" fontId="2" fillId="0" borderId="16" xfId="57" applyNumberFormat="1" applyFont="1" applyBorder="1">
      <alignment/>
      <protection/>
    </xf>
    <xf numFmtId="0" fontId="13" fillId="0" borderId="19" xfId="0" applyFont="1" applyBorder="1" applyAlignment="1">
      <alignment/>
    </xf>
    <xf numFmtId="3" fontId="3" fillId="0" borderId="19" xfId="57" applyNumberFormat="1" applyFont="1" applyBorder="1">
      <alignment/>
      <protection/>
    </xf>
    <xf numFmtId="0" fontId="16" fillId="0" borderId="19" xfId="57" applyFont="1" applyBorder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vertical="top"/>
      <protection/>
    </xf>
    <xf numFmtId="0" fontId="8" fillId="0" borderId="0" xfId="57" applyFont="1">
      <alignment/>
      <protection/>
    </xf>
    <xf numFmtId="0" fontId="5" fillId="0" borderId="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top" wrapText="1"/>
      <protection/>
    </xf>
    <xf numFmtId="0" fontId="23" fillId="0" borderId="0" xfId="57" applyFont="1" applyAlignment="1">
      <alignment horizontal="left"/>
      <protection/>
    </xf>
    <xf numFmtId="0" fontId="8" fillId="0" borderId="0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Border="1" applyAlignment="1">
      <alignment vertical="top" wrapText="1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vertical="center" wrapText="1"/>
      <protection/>
    </xf>
    <xf numFmtId="0" fontId="5" fillId="0" borderId="0" xfId="57" applyFont="1" applyAlignment="1">
      <alignment horizontal="right" vertical="center" wrapText="1"/>
      <protection/>
    </xf>
    <xf numFmtId="0" fontId="8" fillId="0" borderId="0" xfId="57" applyFont="1" applyAlignment="1">
      <alignment horizontal="center" vertical="top"/>
      <protection/>
    </xf>
    <xf numFmtId="0" fontId="8" fillId="0" borderId="0" xfId="57" applyFont="1" applyBorder="1" applyAlignment="1">
      <alignment vertical="top"/>
      <protection/>
    </xf>
    <xf numFmtId="3" fontId="8" fillId="0" borderId="0" xfId="57" applyNumberFormat="1" applyFont="1">
      <alignment/>
      <protection/>
    </xf>
    <xf numFmtId="0" fontId="5" fillId="0" borderId="16" xfId="57" applyFont="1" applyBorder="1" applyAlignment="1">
      <alignment horizontal="center"/>
      <protection/>
    </xf>
    <xf numFmtId="0" fontId="5" fillId="0" borderId="16" xfId="57" applyFont="1" applyBorder="1" applyAlignment="1">
      <alignment vertical="top"/>
      <protection/>
    </xf>
    <xf numFmtId="3" fontId="5" fillId="0" borderId="16" xfId="57" applyNumberFormat="1" applyFont="1" applyBorder="1" applyAlignment="1">
      <alignment vertical="center" wrapText="1"/>
      <protection/>
    </xf>
    <xf numFmtId="0" fontId="5" fillId="0" borderId="16" xfId="57" applyFont="1" applyBorder="1">
      <alignment/>
      <protection/>
    </xf>
    <xf numFmtId="3" fontId="5" fillId="0" borderId="16" xfId="57" applyNumberFormat="1" applyFont="1" applyBorder="1">
      <alignment/>
      <protection/>
    </xf>
    <xf numFmtId="0" fontId="5" fillId="0" borderId="17" xfId="57" applyFont="1" applyBorder="1" applyAlignment="1">
      <alignment horizontal="center"/>
      <protection/>
    </xf>
    <xf numFmtId="0" fontId="5" fillId="0" borderId="17" xfId="57" applyFont="1" applyBorder="1" applyAlignment="1">
      <alignment vertical="top"/>
      <protection/>
    </xf>
    <xf numFmtId="3" fontId="5" fillId="0" borderId="17" xfId="57" applyNumberFormat="1" applyFont="1" applyBorder="1" applyAlignment="1">
      <alignment vertical="center" wrapText="1"/>
      <protection/>
    </xf>
    <xf numFmtId="0" fontId="5" fillId="0" borderId="17" xfId="57" applyFont="1" applyBorder="1">
      <alignment/>
      <protection/>
    </xf>
    <xf numFmtId="0" fontId="5" fillId="0" borderId="0" xfId="57" applyFont="1" applyBorder="1" applyAlignment="1">
      <alignment vertical="top"/>
      <protection/>
    </xf>
    <xf numFmtId="3" fontId="5" fillId="0" borderId="0" xfId="57" applyNumberFormat="1" applyFont="1" applyBorder="1" applyAlignment="1">
      <alignment vertical="center" wrapText="1"/>
      <protection/>
    </xf>
    <xf numFmtId="3" fontId="5" fillId="0" borderId="28" xfId="57" applyNumberFormat="1" applyFont="1" applyBorder="1">
      <alignment/>
      <protection/>
    </xf>
    <xf numFmtId="0" fontId="8" fillId="0" borderId="0" xfId="57" applyFont="1" applyBorder="1">
      <alignment/>
      <protection/>
    </xf>
    <xf numFmtId="3" fontId="8" fillId="0" borderId="0" xfId="57" applyNumberFormat="1" applyFont="1" applyBorder="1">
      <alignment/>
      <protection/>
    </xf>
    <xf numFmtId="0" fontId="8" fillId="0" borderId="0" xfId="57" applyFont="1" applyBorder="1" applyAlignment="1">
      <alignment horizontal="center" vertical="top"/>
      <protection/>
    </xf>
    <xf numFmtId="0" fontId="8" fillId="0" borderId="0" xfId="57" applyFont="1" applyFill="1" applyBorder="1">
      <alignment/>
      <protection/>
    </xf>
    <xf numFmtId="0" fontId="5" fillId="0" borderId="0" xfId="57" applyFont="1" applyBorder="1" applyAlignment="1">
      <alignment horizontal="center"/>
      <protection/>
    </xf>
    <xf numFmtId="3" fontId="8" fillId="0" borderId="0" xfId="57" applyNumberFormat="1" applyFont="1" applyBorder="1" applyAlignment="1">
      <alignment vertical="center"/>
      <protection/>
    </xf>
    <xf numFmtId="0" fontId="8" fillId="0" borderId="16" xfId="57" applyFont="1" applyBorder="1" applyAlignment="1">
      <alignment horizontal="center"/>
      <protection/>
    </xf>
    <xf numFmtId="0" fontId="23" fillId="0" borderId="0" xfId="57" applyFont="1" applyBorder="1" applyAlignment="1">
      <alignment vertical="top"/>
      <protection/>
    </xf>
    <xf numFmtId="3" fontId="5" fillId="0" borderId="0" xfId="57" applyNumberFormat="1" applyFont="1">
      <alignment/>
      <protection/>
    </xf>
    <xf numFmtId="0" fontId="24" fillId="0" borderId="0" xfId="0" applyFont="1" applyAlignment="1">
      <alignment/>
    </xf>
    <xf numFmtId="0" fontId="8" fillId="0" borderId="0" xfId="57" applyFont="1">
      <alignment/>
      <protection/>
    </xf>
    <xf numFmtId="3" fontId="5" fillId="0" borderId="16" xfId="57" applyNumberFormat="1" applyFont="1" applyBorder="1" applyAlignment="1">
      <alignment vertical="center"/>
      <protection/>
    </xf>
    <xf numFmtId="0" fontId="8" fillId="0" borderId="0" xfId="57" applyFont="1" applyAlignment="1">
      <alignment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/>
      <protection/>
    </xf>
    <xf numFmtId="0" fontId="8" fillId="0" borderId="17" xfId="57" applyFont="1" applyBorder="1" applyAlignment="1">
      <alignment horizontal="center"/>
      <protection/>
    </xf>
    <xf numFmtId="0" fontId="8" fillId="0" borderId="17" xfId="57" applyFont="1" applyBorder="1" applyAlignment="1">
      <alignment vertical="top"/>
      <protection/>
    </xf>
    <xf numFmtId="0" fontId="8" fillId="0" borderId="17" xfId="57" applyFont="1" applyBorder="1" applyAlignment="1">
      <alignment/>
      <protection/>
    </xf>
    <xf numFmtId="0" fontId="8" fillId="0" borderId="17" xfId="57" applyFont="1" applyBorder="1">
      <alignment/>
      <protection/>
    </xf>
    <xf numFmtId="3" fontId="8" fillId="0" borderId="17" xfId="57" applyNumberFormat="1" applyFont="1" applyBorder="1">
      <alignment/>
      <protection/>
    </xf>
    <xf numFmtId="3" fontId="5" fillId="0" borderId="0" xfId="57" applyNumberFormat="1" applyFont="1" applyBorder="1">
      <alignment/>
      <protection/>
    </xf>
    <xf numFmtId="0" fontId="5" fillId="0" borderId="16" xfId="57" applyFont="1" applyBorder="1" applyAlignment="1">
      <alignment/>
      <protection/>
    </xf>
    <xf numFmtId="16" fontId="8" fillId="0" borderId="0" xfId="57" applyNumberFormat="1" applyFont="1" applyBorder="1" applyAlignment="1">
      <alignment vertical="top"/>
      <protection/>
    </xf>
    <xf numFmtId="16" fontId="8" fillId="0" borderId="17" xfId="57" applyNumberFormat="1" applyFont="1" applyBorder="1" applyAlignment="1">
      <alignment vertical="top"/>
      <protection/>
    </xf>
    <xf numFmtId="3" fontId="5" fillId="0" borderId="17" xfId="57" applyNumberFormat="1" applyFont="1" applyBorder="1">
      <alignment/>
      <protection/>
    </xf>
    <xf numFmtId="2" fontId="5" fillId="0" borderId="0" xfId="57" applyNumberFormat="1" applyFont="1" applyAlignment="1">
      <alignment horizontal="center" vertical="center" wrapText="1"/>
      <protection/>
    </xf>
    <xf numFmtId="3" fontId="8" fillId="0" borderId="16" xfId="57" applyNumberFormat="1" applyFont="1" applyBorder="1">
      <alignment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164" fontId="15" fillId="0" borderId="0" xfId="0" applyNumberFormat="1" applyFont="1" applyAlignment="1">
      <alignment horizontal="center"/>
    </xf>
    <xf numFmtId="3" fontId="15" fillId="0" borderId="17" xfId="0" applyNumberFormat="1" applyFont="1" applyBorder="1" applyAlignment="1">
      <alignment/>
    </xf>
    <xf numFmtId="3" fontId="17" fillId="0" borderId="0" xfId="57" applyNumberFormat="1" applyFont="1">
      <alignment/>
      <protection/>
    </xf>
    <xf numFmtId="3" fontId="16" fillId="0" borderId="0" xfId="57" applyNumberFormat="1" applyFont="1">
      <alignment/>
      <protection/>
    </xf>
    <xf numFmtId="3" fontId="5" fillId="0" borderId="0" xfId="57" applyNumberFormat="1" applyFont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5" fillId="0" borderId="25" xfId="57" applyFont="1" applyBorder="1">
      <alignment/>
      <protection/>
    </xf>
    <xf numFmtId="0" fontId="5" fillId="0" borderId="26" xfId="57" applyFont="1" applyBorder="1">
      <alignment/>
      <protection/>
    </xf>
    <xf numFmtId="0" fontId="5" fillId="0" borderId="15" xfId="57" applyFont="1" applyBorder="1">
      <alignment/>
      <protection/>
    </xf>
    <xf numFmtId="0" fontId="2" fillId="0" borderId="15" xfId="57" applyFont="1" applyBorder="1">
      <alignment/>
      <protection/>
    </xf>
    <xf numFmtId="0" fontId="2" fillId="0" borderId="13" xfId="57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right"/>
      <protection/>
    </xf>
    <xf numFmtId="0" fontId="7" fillId="0" borderId="0" xfId="58" applyFont="1" applyAlignment="1">
      <alignment/>
      <protection/>
    </xf>
    <xf numFmtId="3" fontId="1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" fillId="0" borderId="14" xfId="57" applyNumberFormat="1" applyFont="1" applyBorder="1" applyAlignment="1">
      <alignment horizontal="center"/>
      <protection/>
    </xf>
    <xf numFmtId="3" fontId="2" fillId="0" borderId="26" xfId="57" applyNumberFormat="1" applyFont="1" applyBorder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2" fillId="0" borderId="0" xfId="57" applyNumberFormat="1" applyFont="1">
      <alignment/>
      <protection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57" applyNumberFormat="1" applyFont="1">
      <alignment/>
      <protection/>
    </xf>
    <xf numFmtId="0" fontId="4" fillId="0" borderId="23" xfId="57" applyFont="1" applyBorder="1">
      <alignment/>
      <protection/>
    </xf>
    <xf numFmtId="0" fontId="17" fillId="0" borderId="0" xfId="57" applyFont="1">
      <alignment/>
      <protection/>
    </xf>
    <xf numFmtId="3" fontId="2" fillId="0" borderId="17" xfId="57" applyNumberFormat="1" applyFont="1" applyBorder="1">
      <alignment/>
      <protection/>
    </xf>
    <xf numFmtId="0" fontId="4" fillId="0" borderId="24" xfId="57" applyFont="1" applyBorder="1">
      <alignment/>
      <protection/>
    </xf>
    <xf numFmtId="0" fontId="4" fillId="0" borderId="13" xfId="57" applyFont="1" applyBorder="1">
      <alignment/>
      <protection/>
    </xf>
    <xf numFmtId="3" fontId="4" fillId="0" borderId="1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6" xfId="57" applyNumberFormat="1" applyFont="1" applyBorder="1">
      <alignment/>
      <protection/>
    </xf>
    <xf numFmtId="3" fontId="4" fillId="0" borderId="17" xfId="57" applyNumberFormat="1" applyFont="1" applyBorder="1">
      <alignment/>
      <protection/>
    </xf>
    <xf numFmtId="3" fontId="0" fillId="0" borderId="15" xfId="57" applyNumberFormat="1" applyFont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20" xfId="57" applyNumberFormat="1" applyFont="1" applyBorder="1">
      <alignment/>
      <protection/>
    </xf>
    <xf numFmtId="3" fontId="2" fillId="0" borderId="13" xfId="57" applyNumberFormat="1" applyFont="1" applyBorder="1" applyAlignment="1">
      <alignment horizontal="center"/>
      <protection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57" applyNumberFormat="1" applyFont="1" applyBorder="1">
      <alignment/>
      <protection/>
    </xf>
    <xf numFmtId="3" fontId="4" fillId="0" borderId="24" xfId="57" applyNumberFormat="1" applyFont="1" applyBorder="1">
      <alignment/>
      <protection/>
    </xf>
    <xf numFmtId="3" fontId="8" fillId="0" borderId="16" xfId="57" applyNumberFormat="1" applyFont="1" applyBorder="1" applyAlignment="1">
      <alignment horizontal="center"/>
      <protection/>
    </xf>
    <xf numFmtId="3" fontId="5" fillId="0" borderId="0" xfId="0" applyNumberFormat="1" applyFont="1" applyBorder="1" applyAlignment="1">
      <alignment horizontal="center" vertical="center" wrapText="1"/>
    </xf>
    <xf numFmtId="0" fontId="2" fillId="0" borderId="0" xfId="57" applyFont="1">
      <alignment/>
      <protection/>
    </xf>
    <xf numFmtId="3" fontId="3" fillId="0" borderId="0" xfId="57" applyNumberFormat="1" applyFont="1" applyBorder="1" applyAlignment="1">
      <alignment horizontal="right"/>
      <protection/>
    </xf>
    <xf numFmtId="0" fontId="2" fillId="0" borderId="0" xfId="57" applyFont="1" applyBorder="1">
      <alignment/>
      <protection/>
    </xf>
    <xf numFmtId="3" fontId="2" fillId="0" borderId="0" xfId="57" applyNumberFormat="1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horizontal="right"/>
      <protection/>
    </xf>
    <xf numFmtId="3" fontId="4" fillId="0" borderId="15" xfId="57" applyNumberFormat="1" applyFont="1" applyBorder="1" applyAlignment="1">
      <alignment horizontal="right" vertical="center"/>
      <protection/>
    </xf>
    <xf numFmtId="3" fontId="13" fillId="0" borderId="0" xfId="0" applyNumberFormat="1" applyFont="1" applyFill="1" applyAlignment="1">
      <alignment/>
    </xf>
    <xf numFmtId="3" fontId="2" fillId="0" borderId="18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20" fillId="0" borderId="0" xfId="56" applyFont="1" applyBorder="1" applyAlignment="1">
      <alignment horizontal="center"/>
      <protection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0" xfId="56" applyNumberFormat="1" applyFont="1" applyAlignment="1">
      <alignment horizontal="center"/>
      <protection/>
    </xf>
    <xf numFmtId="3" fontId="18" fillId="0" borderId="0" xfId="56" applyNumberFormat="1" applyFont="1" applyBorder="1" applyAlignment="1">
      <alignment horizontal="right"/>
      <protection/>
    </xf>
    <xf numFmtId="3" fontId="20" fillId="0" borderId="0" xfId="56" applyNumberFormat="1" applyFont="1" applyBorder="1" applyAlignment="1">
      <alignment horizontal="center"/>
      <protection/>
    </xf>
    <xf numFmtId="3" fontId="18" fillId="0" borderId="0" xfId="56" applyNumberFormat="1" applyFont="1" applyFill="1" applyBorder="1" applyAlignment="1">
      <alignment horizontal="right"/>
      <protection/>
    </xf>
    <xf numFmtId="0" fontId="25" fillId="0" borderId="0" xfId="56" applyFont="1">
      <alignment/>
      <protection/>
    </xf>
    <xf numFmtId="3" fontId="25" fillId="0" borderId="0" xfId="56" applyNumberFormat="1" applyFont="1">
      <alignment/>
      <protection/>
    </xf>
    <xf numFmtId="3" fontId="20" fillId="0" borderId="0" xfId="56" applyNumberFormat="1" applyFont="1">
      <alignment/>
      <protection/>
    </xf>
    <xf numFmtId="0" fontId="18" fillId="0" borderId="0" xfId="56" applyFont="1" applyFill="1">
      <alignment/>
      <protection/>
    </xf>
    <xf numFmtId="0" fontId="20" fillId="0" borderId="0" xfId="56" applyFont="1" applyBorder="1">
      <alignment/>
      <protection/>
    </xf>
    <xf numFmtId="3" fontId="5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0" xfId="57" applyNumberFormat="1" applyFont="1" applyFill="1">
      <alignment/>
      <protection/>
    </xf>
    <xf numFmtId="3" fontId="2" fillId="0" borderId="15" xfId="57" applyNumberFormat="1" applyFont="1" applyFill="1" applyBorder="1" applyAlignment="1">
      <alignment horizontal="center"/>
      <protection/>
    </xf>
    <xf numFmtId="3" fontId="6" fillId="0" borderId="15" xfId="0" applyNumberFormat="1" applyFont="1" applyFill="1" applyBorder="1" applyAlignment="1">
      <alignment horizontal="center" vertical="center" wrapText="1"/>
    </xf>
    <xf numFmtId="3" fontId="2" fillId="0" borderId="0" xfId="57" applyNumberFormat="1" applyFont="1" applyFill="1" applyBorder="1">
      <alignment/>
      <protection/>
    </xf>
    <xf numFmtId="3" fontId="4" fillId="0" borderId="15" xfId="57" applyNumberFormat="1" applyFont="1" applyFill="1" applyBorder="1">
      <alignment/>
      <protection/>
    </xf>
    <xf numFmtId="3" fontId="2" fillId="0" borderId="17" xfId="57" applyNumberFormat="1" applyFont="1" applyFill="1" applyBorder="1">
      <alignment/>
      <protection/>
    </xf>
    <xf numFmtId="3" fontId="4" fillId="0" borderId="17" xfId="57" applyNumberFormat="1" applyFont="1" applyFill="1" applyBorder="1">
      <alignment/>
      <protection/>
    </xf>
    <xf numFmtId="3" fontId="4" fillId="0" borderId="16" xfId="57" applyNumberFormat="1" applyFont="1" applyFill="1" applyBorder="1">
      <alignment/>
      <protection/>
    </xf>
    <xf numFmtId="3" fontId="17" fillId="0" borderId="0" xfId="57" applyNumberFormat="1" applyFont="1" applyFill="1">
      <alignment/>
      <protection/>
    </xf>
    <xf numFmtId="3" fontId="16" fillId="0" borderId="0" xfId="57" applyNumberFormat="1" applyFont="1" applyFill="1">
      <alignment/>
      <protection/>
    </xf>
    <xf numFmtId="3" fontId="2" fillId="0" borderId="16" xfId="0" applyNumberFormat="1" applyFont="1" applyFill="1" applyBorder="1" applyAlignment="1">
      <alignment horizontal="center"/>
    </xf>
    <xf numFmtId="3" fontId="2" fillId="0" borderId="27" xfId="57" applyNumberFormat="1" applyFont="1" applyBorder="1">
      <alignment/>
      <protection/>
    </xf>
    <xf numFmtId="0" fontId="0" fillId="0" borderId="15" xfId="57" applyBorder="1">
      <alignment/>
      <protection/>
    </xf>
    <xf numFmtId="1" fontId="2" fillId="0" borderId="0" xfId="0" applyNumberFormat="1" applyFont="1" applyAlignment="1">
      <alignment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4" fillId="0" borderId="16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" fontId="13" fillId="0" borderId="16" xfId="0" applyNumberFormat="1" applyFont="1" applyBorder="1" applyAlignment="1">
      <alignment/>
    </xf>
    <xf numFmtId="3" fontId="2" fillId="0" borderId="24" xfId="57" applyNumberFormat="1" applyFont="1" applyBorder="1">
      <alignment/>
      <protection/>
    </xf>
    <xf numFmtId="3" fontId="4" fillId="0" borderId="20" xfId="57" applyNumberFormat="1" applyFont="1" applyBorder="1">
      <alignment/>
      <protection/>
    </xf>
    <xf numFmtId="3" fontId="4" fillId="0" borderId="13" xfId="57" applyNumberFormat="1" applyFont="1" applyBorder="1">
      <alignment/>
      <protection/>
    </xf>
    <xf numFmtId="1" fontId="2" fillId="0" borderId="0" xfId="57" applyNumberFormat="1" applyFont="1">
      <alignment/>
      <protection/>
    </xf>
    <xf numFmtId="1" fontId="2" fillId="0" borderId="14" xfId="57" applyNumberFormat="1" applyFont="1" applyBorder="1" applyAlignment="1">
      <alignment horizont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" fontId="2" fillId="0" borderId="20" xfId="57" applyNumberFormat="1" applyFont="1" applyBorder="1">
      <alignment/>
      <protection/>
    </xf>
    <xf numFmtId="1" fontId="2" fillId="0" borderId="25" xfId="57" applyNumberFormat="1" applyFont="1" applyBorder="1">
      <alignment/>
      <protection/>
    </xf>
    <xf numFmtId="1" fontId="4" fillId="0" borderId="0" xfId="57" applyNumberFormat="1" applyFont="1">
      <alignment/>
      <protection/>
    </xf>
    <xf numFmtId="1" fontId="4" fillId="0" borderId="20" xfId="57" applyNumberFormat="1" applyFont="1" applyBorder="1">
      <alignment/>
      <protection/>
    </xf>
    <xf numFmtId="1" fontId="4" fillId="0" borderId="15" xfId="57" applyNumberFormat="1" applyFont="1" applyBorder="1">
      <alignment/>
      <protection/>
    </xf>
    <xf numFmtId="1" fontId="0" fillId="0" borderId="16" xfId="57" applyNumberFormat="1" applyFont="1" applyBorder="1" applyAlignment="1">
      <alignment horizontal="center"/>
      <protection/>
    </xf>
    <xf numFmtId="1" fontId="0" fillId="0" borderId="0" xfId="57" applyNumberFormat="1" applyFont="1" applyBorder="1">
      <alignment/>
      <protection/>
    </xf>
    <xf numFmtId="1" fontId="4" fillId="0" borderId="0" xfId="0" applyNumberFormat="1" applyFont="1" applyBorder="1" applyAlignment="1">
      <alignment horizontal="center" vertical="center" wrapText="1"/>
    </xf>
    <xf numFmtId="1" fontId="6" fillId="0" borderId="0" xfId="57" applyNumberFormat="1" applyFont="1">
      <alignment/>
      <protection/>
    </xf>
    <xf numFmtId="1" fontId="6" fillId="0" borderId="16" xfId="57" applyNumberFormat="1" applyFont="1" applyBorder="1">
      <alignment/>
      <protection/>
    </xf>
    <xf numFmtId="1" fontId="0" fillId="0" borderId="0" xfId="57" applyNumberFormat="1" applyFont="1">
      <alignment/>
      <protection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3" fontId="0" fillId="0" borderId="0" xfId="57" applyNumberFormat="1" applyFont="1" applyBorder="1" applyAlignment="1">
      <alignment horizontal="center" vertical="top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3" fontId="0" fillId="0" borderId="0" xfId="57" applyNumberFormat="1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/>
      <protection/>
    </xf>
    <xf numFmtId="3" fontId="6" fillId="0" borderId="15" xfId="57" applyNumberFormat="1" applyFont="1" applyBorder="1" applyAlignment="1">
      <alignment horizontal="center" vertical="center" wrapText="1"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1" fontId="2" fillId="0" borderId="17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4" fillId="0" borderId="23" xfId="57" applyNumberFormat="1" applyFont="1" applyBorder="1">
      <alignment/>
      <protection/>
    </xf>
    <xf numFmtId="3" fontId="2" fillId="0" borderId="1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3" fillId="0" borderId="0" xfId="0" applyNumberFormat="1" applyFont="1" applyAlignment="1">
      <alignment horizontal="center" vertical="center" wrapText="1"/>
    </xf>
    <xf numFmtId="3" fontId="2" fillId="0" borderId="23" xfId="57" applyNumberFormat="1" applyFont="1" applyBorder="1" applyAlignment="1">
      <alignment horizontal="center"/>
      <protection/>
    </xf>
    <xf numFmtId="3" fontId="4" fillId="0" borderId="13" xfId="57" applyNumberFormat="1" applyFont="1" applyBorder="1" applyAlignment="1">
      <alignment horizontal="center" vertical="center" wrapText="1"/>
      <protection/>
    </xf>
    <xf numFmtId="3" fontId="4" fillId="0" borderId="0" xfId="57" applyNumberFormat="1" applyFont="1" applyAlignment="1">
      <alignment horizontal="center" vertical="center" wrapText="1"/>
      <protection/>
    </xf>
    <xf numFmtId="3" fontId="0" fillId="0" borderId="27" xfId="57" applyNumberFormat="1" applyFont="1" applyBorder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right"/>
      <protection/>
    </xf>
    <xf numFmtId="0" fontId="27" fillId="0" borderId="0" xfId="57" applyFont="1" applyAlignment="1">
      <alignment/>
      <protection/>
    </xf>
    <xf numFmtId="0" fontId="28" fillId="0" borderId="0" xfId="57" applyFont="1" applyAlignment="1">
      <alignment/>
      <protection/>
    </xf>
    <xf numFmtId="0" fontId="28" fillId="0" borderId="0" xfId="57" applyFont="1">
      <alignment/>
      <protection/>
    </xf>
    <xf numFmtId="0" fontId="26" fillId="0" borderId="15" xfId="57" applyFont="1" applyBorder="1">
      <alignment/>
      <protection/>
    </xf>
    <xf numFmtId="3" fontId="26" fillId="0" borderId="15" xfId="57" applyNumberFormat="1" applyFont="1" applyBorder="1">
      <alignment/>
      <protection/>
    </xf>
    <xf numFmtId="3" fontId="28" fillId="0" borderId="15" xfId="57" applyNumberFormat="1" applyFont="1" applyBorder="1">
      <alignment/>
      <protection/>
    </xf>
    <xf numFmtId="0" fontId="26" fillId="0" borderId="20" xfId="57" applyFont="1" applyBorder="1">
      <alignment/>
      <protection/>
    </xf>
    <xf numFmtId="3" fontId="26" fillId="0" borderId="20" xfId="57" applyNumberFormat="1" applyFont="1" applyBorder="1">
      <alignment/>
      <protection/>
    </xf>
    <xf numFmtId="0" fontId="26" fillId="0" borderId="29" xfId="57" applyFont="1" applyBorder="1">
      <alignment/>
      <protection/>
    </xf>
    <xf numFmtId="3" fontId="26" fillId="0" borderId="29" xfId="57" applyNumberFormat="1" applyFont="1" applyBorder="1">
      <alignment/>
      <protection/>
    </xf>
    <xf numFmtId="3" fontId="28" fillId="0" borderId="29" xfId="57" applyNumberFormat="1" applyFont="1" applyBorder="1">
      <alignment/>
      <protection/>
    </xf>
    <xf numFmtId="0" fontId="28" fillId="0" borderId="30" xfId="57" applyFont="1" applyBorder="1">
      <alignment/>
      <protection/>
    </xf>
    <xf numFmtId="3" fontId="28" fillId="0" borderId="31" xfId="57" applyNumberFormat="1" applyFont="1" applyBorder="1">
      <alignment/>
      <protection/>
    </xf>
    <xf numFmtId="0" fontId="26" fillId="0" borderId="27" xfId="57" applyFont="1" applyBorder="1">
      <alignment/>
      <protection/>
    </xf>
    <xf numFmtId="3" fontId="26" fillId="0" borderId="27" xfId="57" applyNumberFormat="1" applyFont="1" applyBorder="1">
      <alignment/>
      <protection/>
    </xf>
    <xf numFmtId="3" fontId="26" fillId="0" borderId="14" xfId="57" applyNumberFormat="1" applyFont="1" applyBorder="1">
      <alignment/>
      <protection/>
    </xf>
    <xf numFmtId="3" fontId="26" fillId="0" borderId="13" xfId="57" applyNumberFormat="1" applyFont="1" applyBorder="1">
      <alignment/>
      <protection/>
    </xf>
    <xf numFmtId="0" fontId="28" fillId="0" borderId="32" xfId="57" applyFont="1" applyBorder="1">
      <alignment/>
      <protection/>
    </xf>
    <xf numFmtId="3" fontId="28" fillId="0" borderId="27" xfId="57" applyNumberFormat="1" applyFont="1" applyBorder="1">
      <alignment/>
      <protection/>
    </xf>
    <xf numFmtId="3" fontId="28" fillId="0" borderId="33" xfId="57" applyNumberFormat="1" applyFont="1" applyBorder="1">
      <alignment/>
      <protection/>
    </xf>
    <xf numFmtId="0" fontId="28" fillId="0" borderId="33" xfId="57" applyFont="1" applyBorder="1">
      <alignment/>
      <protection/>
    </xf>
    <xf numFmtId="0" fontId="28" fillId="0" borderId="0" xfId="57" applyFont="1" applyBorder="1">
      <alignment/>
      <protection/>
    </xf>
    <xf numFmtId="0" fontId="28" fillId="0" borderId="27" xfId="57" applyFont="1" applyBorder="1">
      <alignment/>
      <protection/>
    </xf>
    <xf numFmtId="0" fontId="26" fillId="0" borderId="0" xfId="57" applyFont="1" applyBorder="1">
      <alignment/>
      <protection/>
    </xf>
    <xf numFmtId="0" fontId="28" fillId="0" borderId="15" xfId="57" applyFont="1" applyBorder="1">
      <alignment/>
      <protection/>
    </xf>
    <xf numFmtId="9" fontId="26" fillId="0" borderId="15" xfId="57" applyNumberFormat="1" applyFont="1" applyBorder="1">
      <alignment/>
      <protection/>
    </xf>
    <xf numFmtId="0" fontId="26" fillId="0" borderId="0" xfId="57" applyFont="1" applyFill="1" applyBorder="1">
      <alignment/>
      <protection/>
    </xf>
    <xf numFmtId="0" fontId="8" fillId="0" borderId="16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left" vertical="center" wrapText="1"/>
      <protection/>
    </xf>
    <xf numFmtId="0" fontId="2" fillId="0" borderId="15" xfId="57" applyFont="1" applyBorder="1">
      <alignment/>
      <protection/>
    </xf>
    <xf numFmtId="0" fontId="8" fillId="0" borderId="15" xfId="57" applyFont="1" applyBorder="1">
      <alignment/>
      <protection/>
    </xf>
    <xf numFmtId="3" fontId="2" fillId="0" borderId="15" xfId="57" applyNumberFormat="1" applyFont="1" applyBorder="1">
      <alignment/>
      <protection/>
    </xf>
    <xf numFmtId="0" fontId="2" fillId="0" borderId="15" xfId="57" applyFont="1" applyBorder="1" applyAlignment="1">
      <alignment horizontal="left" vertical="center" wrapText="1"/>
      <protection/>
    </xf>
    <xf numFmtId="0" fontId="2" fillId="0" borderId="15" xfId="57" applyFont="1" applyBorder="1" applyAlignment="1">
      <alignment horizontal="right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vertical="center"/>
      <protection/>
    </xf>
    <xf numFmtId="3" fontId="2" fillId="0" borderId="15" xfId="57" applyNumberFormat="1" applyFont="1" applyBorder="1">
      <alignment/>
      <protection/>
    </xf>
    <xf numFmtId="0" fontId="2" fillId="0" borderId="10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0" fillId="0" borderId="0" xfId="58" applyFont="1" applyFill="1" applyBorder="1" applyAlignment="1">
      <alignment horizontal="left" vertical="center" wrapText="1"/>
      <protection/>
    </xf>
    <xf numFmtId="3" fontId="0" fillId="0" borderId="0" xfId="58" applyNumberFormat="1" applyFont="1" applyBorder="1" applyAlignment="1">
      <alignment horizontal="center" vertical="center"/>
      <protection/>
    </xf>
    <xf numFmtId="0" fontId="0" fillId="24" borderId="13" xfId="58" applyFont="1" applyFill="1" applyBorder="1" applyAlignment="1">
      <alignment vertical="top"/>
      <protection/>
    </xf>
    <xf numFmtId="0" fontId="5" fillId="0" borderId="20" xfId="57" applyFont="1" applyBorder="1">
      <alignment/>
      <protection/>
    </xf>
    <xf numFmtId="0" fontId="5" fillId="0" borderId="27" xfId="57" applyFont="1" applyBorder="1">
      <alignment/>
      <protection/>
    </xf>
    <xf numFmtId="3" fontId="4" fillId="0" borderId="14" xfId="57" applyNumberFormat="1" applyFont="1" applyBorder="1">
      <alignment/>
      <protection/>
    </xf>
    <xf numFmtId="0" fontId="6" fillId="0" borderId="20" xfId="57" applyFont="1" applyBorder="1">
      <alignment/>
      <protection/>
    </xf>
    <xf numFmtId="0" fontId="6" fillId="0" borderId="23" xfId="57" applyFont="1" applyBorder="1">
      <alignment/>
      <protection/>
    </xf>
    <xf numFmtId="0" fontId="4" fillId="0" borderId="27" xfId="57" applyFont="1" applyBorder="1" applyAlignment="1">
      <alignment horizontal="left" vertical="center" wrapText="1"/>
      <protection/>
    </xf>
    <xf numFmtId="0" fontId="2" fillId="0" borderId="27" xfId="57" applyFont="1" applyBorder="1">
      <alignment/>
      <protection/>
    </xf>
    <xf numFmtId="0" fontId="0" fillId="0" borderId="27" xfId="57" applyBorder="1">
      <alignment/>
      <protection/>
    </xf>
    <xf numFmtId="0" fontId="5" fillId="0" borderId="27" xfId="57" applyFont="1" applyBorder="1" applyAlignment="1">
      <alignment horizontal="right" vertical="center"/>
      <protection/>
    </xf>
    <xf numFmtId="0" fontId="8" fillId="0" borderId="27" xfId="57" applyFont="1" applyBorder="1">
      <alignment/>
      <protection/>
    </xf>
    <xf numFmtId="0" fontId="6" fillId="0" borderId="27" xfId="57" applyFont="1" applyBorder="1">
      <alignment/>
      <protection/>
    </xf>
    <xf numFmtId="0" fontId="5" fillId="0" borderId="33" xfId="57" applyFont="1" applyBorder="1" applyAlignment="1">
      <alignment horizontal="right" vertical="center"/>
      <protection/>
    </xf>
    <xf numFmtId="0" fontId="5" fillId="0" borderId="33" xfId="57" applyFont="1" applyBorder="1">
      <alignment/>
      <protection/>
    </xf>
    <xf numFmtId="0" fontId="5" fillId="0" borderId="34" xfId="57" applyFont="1" applyBorder="1">
      <alignment/>
      <protection/>
    </xf>
    <xf numFmtId="0" fontId="4" fillId="0" borderId="35" xfId="57" applyFont="1" applyBorder="1" applyAlignment="1">
      <alignment horizontal="left" vertical="center" wrapText="1"/>
      <protection/>
    </xf>
    <xf numFmtId="0" fontId="4" fillId="0" borderId="34" xfId="57" applyFont="1" applyBorder="1" applyAlignment="1">
      <alignment horizontal="left" vertical="center" wrapText="1"/>
      <protection/>
    </xf>
    <xf numFmtId="0" fontId="0" fillId="0" borderId="36" xfId="57" applyBorder="1">
      <alignment/>
      <protection/>
    </xf>
    <xf numFmtId="0" fontId="0" fillId="0" borderId="33" xfId="57" applyBorder="1">
      <alignment/>
      <protection/>
    </xf>
    <xf numFmtId="0" fontId="0" fillId="0" borderId="35" xfId="57" applyBorder="1">
      <alignment/>
      <protection/>
    </xf>
    <xf numFmtId="0" fontId="6" fillId="0" borderId="33" xfId="57" applyFont="1" applyBorder="1">
      <alignment/>
      <protection/>
    </xf>
    <xf numFmtId="0" fontId="4" fillId="0" borderId="33" xfId="57" applyFont="1" applyBorder="1">
      <alignment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right" vertical="center" wrapText="1"/>
      <protection/>
    </xf>
    <xf numFmtId="0" fontId="5" fillId="0" borderId="20" xfId="57" applyFont="1" applyBorder="1" applyAlignment="1">
      <alignment horizontal="right" vertical="center"/>
      <protection/>
    </xf>
    <xf numFmtId="0" fontId="8" fillId="0" borderId="20" xfId="57" applyFont="1" applyBorder="1">
      <alignment/>
      <protection/>
    </xf>
    <xf numFmtId="0" fontId="0" fillId="0" borderId="20" xfId="57" applyBorder="1">
      <alignment/>
      <protection/>
    </xf>
    <xf numFmtId="0" fontId="2" fillId="0" borderId="20" xfId="57" applyFont="1" applyBorder="1">
      <alignment/>
      <protection/>
    </xf>
    <xf numFmtId="0" fontId="2" fillId="0" borderId="27" xfId="57" applyFont="1" applyBorder="1">
      <alignment/>
      <protection/>
    </xf>
    <xf numFmtId="0" fontId="4" fillId="0" borderId="33" xfId="57" applyFont="1" applyBorder="1">
      <alignment/>
      <protection/>
    </xf>
    <xf numFmtId="0" fontId="2" fillId="0" borderId="33" xfId="57" applyFont="1" applyBorder="1" applyAlignment="1">
      <alignment vertical="center"/>
      <protection/>
    </xf>
    <xf numFmtId="0" fontId="4" fillId="0" borderId="33" xfId="57" applyFont="1" applyBorder="1" applyAlignment="1">
      <alignment vertical="center"/>
      <protection/>
    </xf>
    <xf numFmtId="0" fontId="4" fillId="0" borderId="33" xfId="57" applyFont="1" applyBorder="1" applyAlignment="1">
      <alignment horizontal="left" vertical="center"/>
      <protection/>
    </xf>
    <xf numFmtId="0" fontId="2" fillId="0" borderId="20" xfId="57" applyFont="1" applyBorder="1">
      <alignment/>
      <protection/>
    </xf>
    <xf numFmtId="0" fontId="2" fillId="0" borderId="27" xfId="57" applyFont="1" applyBorder="1" applyAlignment="1">
      <alignment vertical="center"/>
      <protection/>
    </xf>
    <xf numFmtId="0" fontId="2" fillId="0" borderId="33" xfId="57" applyFont="1" applyBorder="1">
      <alignment/>
      <protection/>
    </xf>
    <xf numFmtId="0" fontId="2" fillId="0" borderId="20" xfId="57" applyFont="1" applyBorder="1" applyAlignment="1">
      <alignment vertical="center"/>
      <protection/>
    </xf>
    <xf numFmtId="0" fontId="0" fillId="0" borderId="33" xfId="57" applyFont="1" applyBorder="1">
      <alignment/>
      <protection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2" fillId="0" borderId="13" xfId="57" applyNumberFormat="1" applyFont="1" applyBorder="1">
      <alignment/>
      <protection/>
    </xf>
    <xf numFmtId="0" fontId="2" fillId="0" borderId="13" xfId="57" applyFont="1" applyBorder="1">
      <alignment/>
      <protection/>
    </xf>
    <xf numFmtId="0" fontId="2" fillId="0" borderId="16" xfId="57" applyFont="1" applyBorder="1">
      <alignment/>
      <protection/>
    </xf>
    <xf numFmtId="0" fontId="26" fillId="0" borderId="15" xfId="57" applyFont="1" applyFill="1" applyBorder="1">
      <alignment/>
      <protection/>
    </xf>
    <xf numFmtId="3" fontId="26" fillId="0" borderId="15" xfId="57" applyNumberFormat="1" applyFont="1" applyFill="1" applyBorder="1">
      <alignment/>
      <protection/>
    </xf>
    <xf numFmtId="0" fontId="26" fillId="0" borderId="0" xfId="57" applyFont="1" applyFill="1">
      <alignment/>
      <protection/>
    </xf>
    <xf numFmtId="0" fontId="7" fillId="0" borderId="0" xfId="57" applyFont="1" applyAlignment="1">
      <alignment horizontal="right"/>
      <protection/>
    </xf>
    <xf numFmtId="0" fontId="6" fillId="0" borderId="15" xfId="57" applyFont="1" applyBorder="1" applyAlignment="1">
      <alignment horizontal="center"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4" fillId="0" borderId="19" xfId="57" applyFont="1" applyBorder="1">
      <alignment/>
      <protection/>
    </xf>
    <xf numFmtId="3" fontId="4" fillId="0" borderId="27" xfId="57" applyNumberFormat="1" applyFont="1" applyBorder="1">
      <alignment/>
      <protection/>
    </xf>
    <xf numFmtId="3" fontId="2" fillId="0" borderId="22" xfId="57" applyNumberFormat="1" applyFont="1" applyBorder="1">
      <alignment/>
      <protection/>
    </xf>
    <xf numFmtId="3" fontId="3" fillId="0" borderId="24" xfId="57" applyNumberFormat="1" applyFont="1" applyBorder="1">
      <alignment/>
      <protection/>
    </xf>
    <xf numFmtId="3" fontId="4" fillId="0" borderId="15" xfId="57" applyNumberFormat="1" applyFont="1" applyBorder="1">
      <alignment/>
      <protection/>
    </xf>
    <xf numFmtId="3" fontId="2" fillId="0" borderId="14" xfId="57" applyNumberFormat="1" applyFont="1" applyBorder="1">
      <alignment/>
      <protection/>
    </xf>
    <xf numFmtId="3" fontId="2" fillId="0" borderId="16" xfId="57" applyNumberFormat="1" applyFont="1" applyFill="1" applyBorder="1">
      <alignment/>
      <protection/>
    </xf>
    <xf numFmtId="3" fontId="2" fillId="0" borderId="16" xfId="57" applyNumberFormat="1" applyFont="1" applyBorder="1">
      <alignment/>
      <protection/>
    </xf>
    <xf numFmtId="3" fontId="26" fillId="0" borderId="25" xfId="57" applyNumberFormat="1" applyFont="1" applyBorder="1">
      <alignment/>
      <protection/>
    </xf>
    <xf numFmtId="0" fontId="28" fillId="0" borderId="15" xfId="57" applyFont="1" applyBorder="1" applyAlignment="1">
      <alignment vertical="center" wrapText="1"/>
      <protection/>
    </xf>
    <xf numFmtId="0" fontId="28" fillId="0" borderId="15" xfId="57" applyFont="1" applyBorder="1" applyAlignment="1">
      <alignment wrapText="1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left" vertical="center" wrapText="1"/>
      <protection/>
    </xf>
    <xf numFmtId="0" fontId="0" fillId="0" borderId="15" xfId="57" applyFont="1" applyBorder="1">
      <alignment/>
      <protection/>
    </xf>
    <xf numFmtId="3" fontId="0" fillId="0" borderId="20" xfId="57" applyNumberFormat="1" applyFont="1" applyBorder="1" applyAlignment="1">
      <alignment horizontal="right" vertical="center"/>
      <protection/>
    </xf>
    <xf numFmtId="3" fontId="0" fillId="0" borderId="15" xfId="57" applyNumberFormat="1" applyFont="1" applyBorder="1" applyAlignment="1">
      <alignment horizontal="right" vertical="center"/>
      <protection/>
    </xf>
    <xf numFmtId="0" fontId="18" fillId="0" borderId="15" xfId="61" applyFont="1" applyBorder="1" applyAlignment="1">
      <alignment horizontal="left" vertical="center" wrapText="1"/>
      <protection/>
    </xf>
    <xf numFmtId="0" fontId="18" fillId="0" borderId="15" xfId="6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3" fontId="6" fillId="0" borderId="15" xfId="57" applyNumberFormat="1" applyFont="1" applyBorder="1">
      <alignment/>
      <protection/>
    </xf>
    <xf numFmtId="3" fontId="0" fillId="0" borderId="0" xfId="57" applyNumberFormat="1">
      <alignment/>
      <protection/>
    </xf>
    <xf numFmtId="0" fontId="7" fillId="0" borderId="0" xfId="57" applyFont="1" applyAlignment="1">
      <alignment horizontal="right"/>
      <protection/>
    </xf>
    <xf numFmtId="0" fontId="0" fillId="0" borderId="15" xfId="57" applyBorder="1" applyAlignment="1">
      <alignment horizontal="center"/>
      <protection/>
    </xf>
    <xf numFmtId="3" fontId="0" fillId="0" borderId="15" xfId="57" applyNumberFormat="1" applyBorder="1" applyAlignment="1">
      <alignment horizontal="center"/>
      <protection/>
    </xf>
    <xf numFmtId="0" fontId="6" fillId="0" borderId="15" xfId="57" applyFont="1" applyBorder="1">
      <alignment/>
      <protection/>
    </xf>
    <xf numFmtId="3" fontId="0" fillId="0" borderId="15" xfId="57" applyNumberFormat="1" applyBorder="1">
      <alignment/>
      <protection/>
    </xf>
    <xf numFmtId="0" fontId="10" fillId="0" borderId="15" xfId="57" applyFont="1" applyBorder="1">
      <alignment/>
      <protection/>
    </xf>
    <xf numFmtId="3" fontId="0" fillId="0" borderId="25" xfId="57" applyNumberFormat="1" applyFill="1" applyBorder="1">
      <alignment/>
      <protection/>
    </xf>
    <xf numFmtId="0" fontId="0" fillId="0" borderId="15" xfId="57" applyFont="1" applyBorder="1">
      <alignment/>
      <protection/>
    </xf>
    <xf numFmtId="0" fontId="0" fillId="0" borderId="16" xfId="57" applyFont="1" applyBorder="1" applyAlignment="1">
      <alignment horizontal="center"/>
      <protection/>
    </xf>
    <xf numFmtId="0" fontId="7" fillId="0" borderId="0" xfId="57" applyFont="1" applyAlignment="1">
      <alignment horizontal="left"/>
      <protection/>
    </xf>
    <xf numFmtId="3" fontId="0" fillId="0" borderId="0" xfId="57" applyNumberFormat="1" applyFont="1" applyBorder="1" applyAlignment="1">
      <alignment horizontal="center"/>
      <protection/>
    </xf>
    <xf numFmtId="3" fontId="6" fillId="0" borderId="0" xfId="57" applyNumberFormat="1" applyFont="1" applyAlignment="1">
      <alignment horizontal="center" vertical="center"/>
      <protection/>
    </xf>
    <xf numFmtId="0" fontId="0" fillId="0" borderId="0" xfId="57" applyFont="1" applyAlignment="1">
      <alignment horizontal="center" vertical="top"/>
      <protection/>
    </xf>
    <xf numFmtId="0" fontId="6" fillId="0" borderId="16" xfId="57" applyFont="1" applyBorder="1" applyAlignment="1">
      <alignment horizontal="center"/>
      <protection/>
    </xf>
    <xf numFmtId="3" fontId="6" fillId="0" borderId="16" xfId="57" applyNumberFormat="1" applyFont="1" applyBorder="1">
      <alignment/>
      <protection/>
    </xf>
    <xf numFmtId="0" fontId="6" fillId="0" borderId="17" xfId="57" applyFont="1" applyBorder="1" applyAlignment="1">
      <alignment horizontal="center"/>
      <protection/>
    </xf>
    <xf numFmtId="3" fontId="6" fillId="0" borderId="28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0" fillId="0" borderId="16" xfId="57" applyFont="1" applyBorder="1">
      <alignment/>
      <protection/>
    </xf>
    <xf numFmtId="0" fontId="1" fillId="0" borderId="0" xfId="0" applyFont="1" applyAlignment="1">
      <alignment/>
    </xf>
    <xf numFmtId="0" fontId="0" fillId="0" borderId="0" xfId="57" applyFont="1" applyAlignment="1">
      <alignment/>
      <protection/>
    </xf>
    <xf numFmtId="0" fontId="0" fillId="0" borderId="17" xfId="57" applyFont="1" applyBorder="1" applyAlignment="1">
      <alignment horizontal="center"/>
      <protection/>
    </xf>
    <xf numFmtId="3" fontId="6" fillId="0" borderId="17" xfId="57" applyNumberFormat="1" applyFont="1" applyBorder="1">
      <alignment/>
      <protection/>
    </xf>
    <xf numFmtId="0" fontId="5" fillId="0" borderId="16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9" fillId="0" borderId="0" xfId="57" applyFont="1">
      <alignment/>
      <protection/>
    </xf>
    <xf numFmtId="0" fontId="7" fillId="0" borderId="0" xfId="57" applyFont="1" applyAlignment="1">
      <alignment/>
      <protection/>
    </xf>
    <xf numFmtId="0" fontId="30" fillId="0" borderId="0" xfId="57" applyFont="1" applyAlignment="1">
      <alignment/>
      <protection/>
    </xf>
    <xf numFmtId="0" fontId="30" fillId="0" borderId="0" xfId="57" applyFont="1">
      <alignment/>
      <protection/>
    </xf>
    <xf numFmtId="0" fontId="30" fillId="0" borderId="20" xfId="57" applyFont="1" applyBorder="1" applyAlignment="1">
      <alignment horizontal="center" vertical="center" wrapText="1"/>
      <protection/>
    </xf>
    <xf numFmtId="0" fontId="31" fillId="0" borderId="20" xfId="57" applyFont="1" applyBorder="1" applyAlignment="1">
      <alignment horizontal="center" vertical="center" wrapText="1"/>
      <protection/>
    </xf>
    <xf numFmtId="0" fontId="30" fillId="0" borderId="27" xfId="57" applyFont="1" applyBorder="1" applyAlignment="1">
      <alignment horizontal="center" vertical="center" wrapText="1"/>
      <protection/>
    </xf>
    <xf numFmtId="0" fontId="29" fillId="0" borderId="15" xfId="57" applyFont="1" applyBorder="1">
      <alignment/>
      <protection/>
    </xf>
    <xf numFmtId="3" fontId="29" fillId="0" borderId="15" xfId="57" applyNumberFormat="1" applyFont="1" applyBorder="1">
      <alignment/>
      <protection/>
    </xf>
    <xf numFmtId="3" fontId="30" fillId="0" borderId="15" xfId="57" applyNumberFormat="1" applyFont="1" applyBorder="1" applyAlignment="1">
      <alignment wrapText="1"/>
      <protection/>
    </xf>
    <xf numFmtId="0" fontId="29" fillId="0" borderId="20" xfId="57" applyFont="1" applyBorder="1">
      <alignment/>
      <protection/>
    </xf>
    <xf numFmtId="3" fontId="29" fillId="0" borderId="20" xfId="57" applyNumberFormat="1" applyFont="1" applyBorder="1">
      <alignment/>
      <protection/>
    </xf>
    <xf numFmtId="0" fontId="29" fillId="0" borderId="29" xfId="57" applyFont="1" applyBorder="1">
      <alignment/>
      <protection/>
    </xf>
    <xf numFmtId="3" fontId="29" fillId="0" borderId="29" xfId="57" applyNumberFormat="1" applyFont="1" applyBorder="1">
      <alignment/>
      <protection/>
    </xf>
    <xf numFmtId="3" fontId="30" fillId="0" borderId="29" xfId="57" applyNumberFormat="1" applyFont="1" applyBorder="1" applyAlignment="1">
      <alignment wrapText="1"/>
      <protection/>
    </xf>
    <xf numFmtId="0" fontId="30" fillId="0" borderId="30" xfId="57" applyFont="1" applyBorder="1">
      <alignment/>
      <protection/>
    </xf>
    <xf numFmtId="3" fontId="30" fillId="0" borderId="31" xfId="57" applyNumberFormat="1" applyFont="1" applyBorder="1">
      <alignment/>
      <protection/>
    </xf>
    <xf numFmtId="0" fontId="29" fillId="0" borderId="27" xfId="57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29" fillId="0" borderId="25" xfId="57" applyNumberFormat="1" applyFont="1" applyBorder="1">
      <alignment/>
      <protection/>
    </xf>
    <xf numFmtId="3" fontId="29" fillId="0" borderId="13" xfId="57" applyNumberFormat="1" applyFont="1" applyBorder="1">
      <alignment/>
      <protection/>
    </xf>
    <xf numFmtId="3" fontId="29" fillId="0" borderId="14" xfId="57" applyNumberFormat="1" applyFont="1" applyBorder="1">
      <alignment/>
      <protection/>
    </xf>
    <xf numFmtId="0" fontId="30" fillId="0" borderId="32" xfId="57" applyFont="1" applyBorder="1">
      <alignment/>
      <protection/>
    </xf>
    <xf numFmtId="3" fontId="29" fillId="0" borderId="33" xfId="57" applyNumberFormat="1" applyFont="1" applyBorder="1">
      <alignment/>
      <protection/>
    </xf>
    <xf numFmtId="0" fontId="30" fillId="0" borderId="33" xfId="57" applyFont="1" applyBorder="1">
      <alignment/>
      <protection/>
    </xf>
    <xf numFmtId="3" fontId="30" fillId="0" borderId="33" xfId="57" applyNumberFormat="1" applyFont="1" applyBorder="1">
      <alignment/>
      <protection/>
    </xf>
    <xf numFmtId="0" fontId="30" fillId="0" borderId="0" xfId="57" applyFont="1" applyBorder="1">
      <alignment/>
      <protection/>
    </xf>
    <xf numFmtId="0" fontId="30" fillId="0" borderId="27" xfId="57" applyFont="1" applyBorder="1">
      <alignment/>
      <protection/>
    </xf>
    <xf numFmtId="0" fontId="29" fillId="0" borderId="0" xfId="57" applyFont="1" applyBorder="1">
      <alignment/>
      <protection/>
    </xf>
    <xf numFmtId="0" fontId="30" fillId="0" borderId="15" xfId="57" applyFont="1" applyBorder="1">
      <alignment/>
      <protection/>
    </xf>
    <xf numFmtId="9" fontId="29" fillId="0" borderId="15" xfId="57" applyNumberFormat="1" applyFont="1" applyBorder="1">
      <alignment/>
      <protection/>
    </xf>
    <xf numFmtId="0" fontId="29" fillId="0" borderId="0" xfId="57" applyFont="1" applyFill="1" applyBorder="1">
      <alignment/>
      <protection/>
    </xf>
    <xf numFmtId="0" fontId="30" fillId="0" borderId="0" xfId="57" applyFont="1">
      <alignment/>
      <protection/>
    </xf>
    <xf numFmtId="0" fontId="30" fillId="0" borderId="20" xfId="57" applyFont="1" applyBorder="1" applyAlignment="1">
      <alignment vertical="center" wrapText="1"/>
      <protection/>
    </xf>
    <xf numFmtId="3" fontId="5" fillId="0" borderId="18" xfId="0" applyNumberFormat="1" applyFont="1" applyFill="1" applyBorder="1" applyAlignment="1">
      <alignment/>
    </xf>
    <xf numFmtId="1" fontId="4" fillId="0" borderId="17" xfId="0" applyNumberFormat="1" applyFont="1" applyBorder="1" applyAlignment="1">
      <alignment horizontal="right"/>
    </xf>
    <xf numFmtId="3" fontId="26" fillId="0" borderId="20" xfId="57" applyNumberFormat="1" applyFont="1" applyFill="1" applyBorder="1">
      <alignment/>
      <protection/>
    </xf>
    <xf numFmtId="0" fontId="8" fillId="0" borderId="11" xfId="0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3" fontId="0" fillId="0" borderId="15" xfId="57" applyNumberFormat="1" applyFont="1" applyBorder="1">
      <alignment/>
      <protection/>
    </xf>
    <xf numFmtId="3" fontId="18" fillId="0" borderId="15" xfId="56" applyNumberFormat="1" applyFont="1" applyBorder="1" applyAlignment="1">
      <alignment horizontal="right"/>
      <protection/>
    </xf>
    <xf numFmtId="3" fontId="20" fillId="0" borderId="15" xfId="56" applyNumberFormat="1" applyFont="1" applyFill="1" applyBorder="1">
      <alignment/>
      <protection/>
    </xf>
    <xf numFmtId="0" fontId="18" fillId="0" borderId="15" xfId="56" applyFont="1" applyBorder="1" applyAlignment="1">
      <alignment horizontal="left"/>
      <protection/>
    </xf>
    <xf numFmtId="3" fontId="18" fillId="0" borderId="15" xfId="56" applyNumberFormat="1" applyFont="1" applyFill="1" applyBorder="1">
      <alignment/>
      <protection/>
    </xf>
    <xf numFmtId="0" fontId="18" fillId="0" borderId="15" xfId="56" applyFont="1" applyFill="1" applyBorder="1">
      <alignment/>
      <protection/>
    </xf>
    <xf numFmtId="3" fontId="32" fillId="0" borderId="15" xfId="56" applyNumberFormat="1" applyFont="1" applyFill="1" applyBorder="1">
      <alignment/>
      <protection/>
    </xf>
    <xf numFmtId="0" fontId="18" fillId="0" borderId="15" xfId="56" applyFont="1" applyBorder="1">
      <alignment/>
      <protection/>
    </xf>
    <xf numFmtId="0" fontId="18" fillId="0" borderId="15" xfId="56" applyFont="1" applyFill="1" applyBorder="1" applyAlignment="1">
      <alignment horizontal="left"/>
      <protection/>
    </xf>
    <xf numFmtId="0" fontId="32" fillId="0" borderId="15" xfId="56" applyFont="1" applyFill="1" applyBorder="1">
      <alignment/>
      <protection/>
    </xf>
    <xf numFmtId="3" fontId="32" fillId="0" borderId="15" xfId="56" applyNumberFormat="1" applyFont="1" applyFill="1" applyBorder="1" applyAlignment="1">
      <alignment horizontal="right" wrapText="1"/>
      <protection/>
    </xf>
    <xf numFmtId="3" fontId="32" fillId="0" borderId="15" xfId="56" applyNumberFormat="1" applyFont="1" applyFill="1" applyBorder="1" applyAlignment="1">
      <alignment horizontal="right"/>
      <protection/>
    </xf>
    <xf numFmtId="0" fontId="33" fillId="0" borderId="15" xfId="56" applyFont="1" applyFill="1" applyBorder="1">
      <alignment/>
      <protection/>
    </xf>
    <xf numFmtId="3" fontId="33" fillId="0" borderId="15" xfId="56" applyNumberFormat="1" applyFont="1" applyFill="1" applyBorder="1" applyAlignment="1">
      <alignment horizontal="right" wrapText="1"/>
      <protection/>
    </xf>
    <xf numFmtId="3" fontId="33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 wrapText="1"/>
      <protection/>
    </xf>
    <xf numFmtId="3" fontId="18" fillId="0" borderId="15" xfId="59" applyNumberFormat="1" applyFont="1" applyFill="1" applyBorder="1">
      <alignment/>
      <protection/>
    </xf>
    <xf numFmtId="3" fontId="18" fillId="0" borderId="15" xfId="56" applyNumberFormat="1" applyFont="1" applyFill="1" applyBorder="1" applyAlignment="1">
      <alignment horizontal="left"/>
      <protection/>
    </xf>
    <xf numFmtId="0" fontId="34" fillId="0" borderId="15" xfId="56" applyFont="1" applyFill="1" applyBorder="1">
      <alignment/>
      <protection/>
    </xf>
    <xf numFmtId="0" fontId="20" fillId="0" borderId="15" xfId="56" applyFont="1" applyBorder="1">
      <alignment/>
      <protection/>
    </xf>
    <xf numFmtId="3" fontId="18" fillId="0" borderId="15" xfId="56" applyNumberFormat="1" applyFont="1" applyBorder="1">
      <alignment/>
      <protection/>
    </xf>
    <xf numFmtId="3" fontId="34" fillId="0" borderId="15" xfId="56" applyNumberFormat="1" applyFont="1" applyBorder="1">
      <alignment/>
      <protection/>
    </xf>
    <xf numFmtId="0" fontId="2" fillId="0" borderId="24" xfId="57" applyFont="1" applyBorder="1">
      <alignment/>
      <protection/>
    </xf>
    <xf numFmtId="0" fontId="2" fillId="0" borderId="17" xfId="57" applyFont="1" applyBorder="1">
      <alignment/>
      <protection/>
    </xf>
    <xf numFmtId="0" fontId="32" fillId="0" borderId="15" xfId="56" applyFont="1" applyBorder="1" applyAlignment="1">
      <alignment horizontal="left"/>
      <protection/>
    </xf>
    <xf numFmtId="0" fontId="1" fillId="0" borderId="0" xfId="60">
      <alignment/>
      <protection/>
    </xf>
    <xf numFmtId="0" fontId="1" fillId="0" borderId="0" xfId="60" applyFill="1">
      <alignment/>
      <protection/>
    </xf>
    <xf numFmtId="0" fontId="54" fillId="0" borderId="15" xfId="60" applyFont="1" applyBorder="1" applyAlignment="1">
      <alignment horizontal="center" vertical="center" wrapText="1"/>
      <protection/>
    </xf>
    <xf numFmtId="0" fontId="54" fillId="0" borderId="15" xfId="60" applyFont="1" applyFill="1" applyBorder="1" applyAlignment="1">
      <alignment horizontal="center" vertical="center" wrapText="1"/>
      <protection/>
    </xf>
    <xf numFmtId="0" fontId="1" fillId="0" borderId="15" xfId="60" applyFill="1" applyBorder="1" applyAlignment="1">
      <alignment wrapText="1"/>
      <protection/>
    </xf>
    <xf numFmtId="3" fontId="1" fillId="0" borderId="15" xfId="60" applyNumberFormat="1" applyFill="1" applyBorder="1">
      <alignment/>
      <protection/>
    </xf>
    <xf numFmtId="3" fontId="1" fillId="0" borderId="15" xfId="60" applyNumberFormat="1" applyFont="1" applyFill="1" applyBorder="1">
      <alignment/>
      <protection/>
    </xf>
    <xf numFmtId="0" fontId="1" fillId="0" borderId="15" xfId="60" applyFont="1" applyFill="1" applyBorder="1" applyAlignment="1">
      <alignment wrapText="1"/>
      <protection/>
    </xf>
    <xf numFmtId="3" fontId="1" fillId="0" borderId="15" xfId="60" applyNumberFormat="1" applyFont="1" applyFill="1" applyBorder="1">
      <alignment/>
      <protection/>
    </xf>
    <xf numFmtId="0" fontId="1" fillId="0" borderId="0" xfId="60" applyFont="1" applyFill="1">
      <alignment/>
      <protection/>
    </xf>
    <xf numFmtId="0" fontId="1" fillId="0" borderId="13" xfId="60" applyFill="1" applyBorder="1" applyAlignment="1">
      <alignment wrapText="1"/>
      <protection/>
    </xf>
    <xf numFmtId="3" fontId="9" fillId="0" borderId="15" xfId="60" applyNumberFormat="1" applyFont="1" applyBorder="1">
      <alignment/>
      <protection/>
    </xf>
    <xf numFmtId="0" fontId="2" fillId="0" borderId="0" xfId="0" applyFont="1" applyAlignment="1">
      <alignment/>
    </xf>
    <xf numFmtId="0" fontId="3" fillId="0" borderId="0" xfId="58" applyFont="1" applyAlignment="1">
      <alignment horizontal="center" vertical="top"/>
      <protection/>
    </xf>
    <xf numFmtId="14" fontId="0" fillId="0" borderId="17" xfId="58" applyNumberFormat="1" applyFont="1" applyBorder="1" applyAlignment="1">
      <alignment horizontal="left"/>
      <protection/>
    </xf>
    <xf numFmtId="14" fontId="0" fillId="0" borderId="17" xfId="58" applyNumberFormat="1" applyBorder="1" applyAlignment="1">
      <alignment horizontal="left"/>
      <protection/>
    </xf>
    <xf numFmtId="3" fontId="0" fillId="0" borderId="16" xfId="58" applyNumberFormat="1" applyFont="1" applyBorder="1" applyAlignment="1">
      <alignment horizontal="left"/>
      <protection/>
    </xf>
    <xf numFmtId="3" fontId="0" fillId="0" borderId="16" xfId="58" applyNumberFormat="1" applyBorder="1" applyAlignment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17" xfId="0" applyFont="1" applyBorder="1" applyAlignment="1">
      <alignment horizontal="right"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3" fontId="6" fillId="0" borderId="15" xfId="58" applyNumberFormat="1" applyFont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left" vertical="center" wrapText="1"/>
      <protection/>
    </xf>
    <xf numFmtId="0" fontId="6" fillId="0" borderId="14" xfId="58" applyFont="1" applyFill="1" applyBorder="1" applyAlignment="1">
      <alignment horizontal="left" vertical="center" wrapText="1"/>
      <protection/>
    </xf>
    <xf numFmtId="0" fontId="6" fillId="0" borderId="15" xfId="58" applyFont="1" applyBorder="1" applyAlignment="1">
      <alignment horizontal="center" vertical="top" wrapText="1"/>
      <protection/>
    </xf>
    <xf numFmtId="0" fontId="7" fillId="0" borderId="0" xfId="58" applyFont="1" applyAlignment="1">
      <alignment horizontal="right"/>
      <protection/>
    </xf>
    <xf numFmtId="0" fontId="7" fillId="0" borderId="0" xfId="58" applyFont="1" applyAlignment="1">
      <alignment horizontal="right"/>
      <protection/>
    </xf>
    <xf numFmtId="0" fontId="6" fillId="0" borderId="0" xfId="58" applyFont="1" applyBorder="1" applyAlignment="1">
      <alignment horizontal="right" vertical="top"/>
      <protection/>
    </xf>
    <xf numFmtId="3" fontId="6" fillId="0" borderId="15" xfId="58" applyNumberFormat="1" applyFont="1" applyBorder="1" applyAlignment="1">
      <alignment horizontal="center" vertical="center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left" vertical="top" wrapText="1"/>
      <protection/>
    </xf>
    <xf numFmtId="0" fontId="6" fillId="0" borderId="14" xfId="58" applyFont="1" applyBorder="1" applyAlignment="1">
      <alignment horizontal="left" vertical="top" wrapText="1"/>
      <protection/>
    </xf>
    <xf numFmtId="0" fontId="4" fillId="0" borderId="0" xfId="58" applyFont="1" applyAlignment="1">
      <alignment horizontal="center" vertical="top"/>
      <protection/>
    </xf>
    <xf numFmtId="0" fontId="6" fillId="0" borderId="0" xfId="58" applyFont="1" applyFill="1" applyBorder="1" applyAlignment="1">
      <alignment horizontal="left" vertical="center" wrapText="1"/>
      <protection/>
    </xf>
    <xf numFmtId="0" fontId="0" fillId="0" borderId="13" xfId="58" applyFont="1" applyFill="1" applyBorder="1" applyAlignment="1">
      <alignment horizontal="left" vertical="center" wrapText="1"/>
      <protection/>
    </xf>
    <xf numFmtId="0" fontId="0" fillId="0" borderId="14" xfId="58" applyFont="1" applyFill="1" applyBorder="1" applyAlignment="1">
      <alignment horizontal="left" vertical="center" wrapText="1"/>
      <protection/>
    </xf>
    <xf numFmtId="3" fontId="0" fillId="0" borderId="13" xfId="58" applyNumberFormat="1" applyFont="1" applyBorder="1" applyAlignment="1">
      <alignment horizontal="center" vertical="center"/>
      <protection/>
    </xf>
    <xf numFmtId="3" fontId="0" fillId="0" borderId="16" xfId="58" applyNumberFormat="1" applyFont="1" applyBorder="1" applyAlignment="1">
      <alignment horizontal="center" vertical="center"/>
      <protection/>
    </xf>
    <xf numFmtId="3" fontId="0" fillId="0" borderId="14" xfId="58" applyNumberFormat="1" applyFont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3" fontId="0" fillId="0" borderId="15" xfId="58" applyNumberFormat="1" applyFont="1" applyBorder="1" applyAlignment="1">
      <alignment horizontal="center" vertical="center"/>
      <protection/>
    </xf>
    <xf numFmtId="0" fontId="3" fillId="0" borderId="0" xfId="57" applyFont="1" applyAlignment="1">
      <alignment horizontal="right"/>
      <protection/>
    </xf>
    <xf numFmtId="0" fontId="4" fillId="0" borderId="0" xfId="57" applyFont="1" applyAlignment="1">
      <alignment horizontal="center" wrapText="1"/>
      <protection/>
    </xf>
    <xf numFmtId="3" fontId="4" fillId="0" borderId="17" xfId="57" applyNumberFormat="1" applyFont="1" applyBorder="1" applyAlignment="1">
      <alignment horizontal="right"/>
      <protection/>
    </xf>
    <xf numFmtId="0" fontId="23" fillId="0" borderId="0" xfId="57" applyFont="1" applyAlignment="1">
      <alignment horizontal="right"/>
      <protection/>
    </xf>
    <xf numFmtId="0" fontId="6" fillId="0" borderId="17" xfId="57" applyFont="1" applyBorder="1" applyAlignment="1">
      <alignment horizontal="right"/>
      <protection/>
    </xf>
    <xf numFmtId="0" fontId="8" fillId="0" borderId="28" xfId="57" applyFont="1" applyBorder="1" applyAlignment="1">
      <alignment horizontal="left" wrapText="1"/>
      <protection/>
    </xf>
    <xf numFmtId="0" fontId="8" fillId="0" borderId="16" xfId="57" applyFont="1" applyBorder="1" applyAlignment="1">
      <alignment horizontal="center" vertical="top" wrapText="1"/>
      <protection/>
    </xf>
    <xf numFmtId="0" fontId="7" fillId="0" borderId="0" xfId="57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0" xfId="57" applyFont="1" applyAlignment="1">
      <alignment horizontal="right"/>
      <protection/>
    </xf>
    <xf numFmtId="0" fontId="0" fillId="0" borderId="0" xfId="0" applyFont="1" applyAlignment="1">
      <alignment/>
    </xf>
    <xf numFmtId="0" fontId="7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3" fontId="6" fillId="0" borderId="13" xfId="57" applyNumberFormat="1" applyFont="1" applyBorder="1" applyAlignment="1">
      <alignment horizontal="center" vertical="center" wrapText="1"/>
      <protection/>
    </xf>
    <xf numFmtId="3" fontId="6" fillId="0" borderId="16" xfId="57" applyNumberFormat="1" applyFont="1" applyBorder="1" applyAlignment="1">
      <alignment horizontal="center" vertical="center" wrapText="1"/>
      <protection/>
    </xf>
    <xf numFmtId="3" fontId="6" fillId="0" borderId="14" xfId="57" applyNumberFormat="1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right"/>
      <protection/>
    </xf>
    <xf numFmtId="3" fontId="6" fillId="0" borderId="27" xfId="57" applyNumberFormat="1" applyFont="1" applyBorder="1" applyAlignment="1">
      <alignment horizontal="center" vertical="center" wrapText="1"/>
      <protection/>
    </xf>
    <xf numFmtId="3" fontId="6" fillId="0" borderId="15" xfId="57" applyNumberFormat="1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top" wrapText="1"/>
      <protection/>
    </xf>
    <xf numFmtId="0" fontId="6" fillId="0" borderId="25" xfId="57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/>
      <protection/>
    </xf>
    <xf numFmtId="3" fontId="6" fillId="0" borderId="20" xfId="57" applyNumberFormat="1" applyFont="1" applyBorder="1" applyAlignment="1">
      <alignment horizontal="center" vertical="center"/>
      <protection/>
    </xf>
    <xf numFmtId="3" fontId="6" fillId="0" borderId="27" xfId="57" applyNumberFormat="1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 wrapText="1"/>
      <protection/>
    </xf>
    <xf numFmtId="3" fontId="6" fillId="0" borderId="0" xfId="57" applyNumberFormat="1" applyFont="1" applyAlignment="1">
      <alignment horizontal="right"/>
      <protection/>
    </xf>
    <xf numFmtId="3" fontId="7" fillId="0" borderId="0" xfId="57" applyNumberFormat="1" applyFont="1" applyAlignment="1">
      <alignment horizontal="right"/>
      <protection/>
    </xf>
    <xf numFmtId="0" fontId="0" fillId="0" borderId="16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" fillId="0" borderId="32" xfId="57" applyFont="1" applyBorder="1" applyAlignment="1">
      <alignment horizontal="left"/>
      <protection/>
    </xf>
    <xf numFmtId="0" fontId="4" fillId="0" borderId="33" xfId="57" applyFont="1" applyBorder="1" applyAlignment="1">
      <alignment horizontal="left"/>
      <protection/>
    </xf>
    <xf numFmtId="0" fontId="4" fillId="0" borderId="32" xfId="57" applyFont="1" applyBorder="1" applyAlignment="1">
      <alignment horizontal="left" vertical="center"/>
      <protection/>
    </xf>
    <xf numFmtId="0" fontId="0" fillId="0" borderId="33" xfId="0" applyBorder="1" applyAlignment="1">
      <alignment horizontal="left" vertical="center"/>
    </xf>
    <xf numFmtId="0" fontId="4" fillId="0" borderId="37" xfId="57" applyFont="1" applyBorder="1" applyAlignment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6" xfId="57" applyFont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25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8" fillId="0" borderId="16" xfId="57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16" xfId="57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2" fillId="0" borderId="16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4" fillId="0" borderId="17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2" fillId="0" borderId="13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28" fillId="0" borderId="23" xfId="57" applyFont="1" applyBorder="1" applyAlignment="1">
      <alignment horizontal="center" vertical="center" wrapText="1"/>
      <protection/>
    </xf>
    <xf numFmtId="0" fontId="28" fillId="0" borderId="28" xfId="57" applyFont="1" applyBorder="1" applyAlignment="1">
      <alignment horizontal="center" vertical="center" wrapText="1"/>
      <protection/>
    </xf>
    <xf numFmtId="0" fontId="28" fillId="0" borderId="21" xfId="57" applyFont="1" applyBorder="1" applyAlignment="1">
      <alignment horizontal="center" vertical="center" wrapText="1"/>
      <protection/>
    </xf>
    <xf numFmtId="0" fontId="28" fillId="0" borderId="23" xfId="57" applyFont="1" applyBorder="1" applyAlignment="1">
      <alignment horizontal="center" wrapText="1"/>
      <protection/>
    </xf>
    <xf numFmtId="0" fontId="28" fillId="0" borderId="28" xfId="57" applyFont="1" applyBorder="1" applyAlignment="1">
      <alignment horizontal="center" wrapText="1"/>
      <protection/>
    </xf>
    <xf numFmtId="0" fontId="28" fillId="0" borderId="21" xfId="57" applyFont="1" applyBorder="1" applyAlignment="1">
      <alignment horizontal="center" wrapText="1"/>
      <protection/>
    </xf>
    <xf numFmtId="0" fontId="27" fillId="0" borderId="0" xfId="57" applyFont="1" applyAlignment="1">
      <alignment horizontal="right"/>
      <protection/>
    </xf>
    <xf numFmtId="0" fontId="28" fillId="0" borderId="0" xfId="57" applyFont="1" applyAlignment="1">
      <alignment horizontal="center"/>
      <protection/>
    </xf>
    <xf numFmtId="0" fontId="28" fillId="0" borderId="17" xfId="57" applyFont="1" applyBorder="1" applyAlignment="1">
      <alignment horizontal="right"/>
      <protection/>
    </xf>
    <xf numFmtId="0" fontId="28" fillId="0" borderId="15" xfId="57" applyFont="1" applyBorder="1" applyAlignment="1">
      <alignment horizontal="center" vertical="center"/>
      <protection/>
    </xf>
    <xf numFmtId="0" fontId="28" fillId="0" borderId="20" xfId="57" applyFont="1" applyBorder="1" applyAlignment="1">
      <alignment horizontal="center" wrapText="1"/>
      <protection/>
    </xf>
    <xf numFmtId="0" fontId="28" fillId="0" borderId="27" xfId="57" applyFont="1" applyBorder="1" applyAlignment="1">
      <alignment horizontal="center" wrapText="1"/>
      <protection/>
    </xf>
    <xf numFmtId="0" fontId="28" fillId="0" borderId="20" xfId="57" applyFont="1" applyBorder="1" applyAlignment="1">
      <alignment horizontal="center" vertical="center" wrapText="1"/>
      <protection/>
    </xf>
    <xf numFmtId="0" fontId="28" fillId="0" borderId="27" xfId="57" applyFont="1" applyBorder="1" applyAlignment="1">
      <alignment horizontal="center" vertical="center" wrapText="1"/>
      <protection/>
    </xf>
    <xf numFmtId="0" fontId="30" fillId="0" borderId="15" xfId="57" applyFont="1" applyBorder="1" applyAlignment="1">
      <alignment horizontal="center" wrapText="1"/>
      <protection/>
    </xf>
    <xf numFmtId="0" fontId="30" fillId="0" borderId="20" xfId="57" applyFont="1" applyBorder="1" applyAlignment="1">
      <alignment horizontal="center" vertical="center" wrapText="1"/>
      <protection/>
    </xf>
    <xf numFmtId="0" fontId="30" fillId="0" borderId="27" xfId="57" applyFont="1" applyBorder="1" applyAlignment="1">
      <alignment horizontal="center" vertical="center" wrapText="1"/>
      <protection/>
    </xf>
    <xf numFmtId="0" fontId="30" fillId="0" borderId="20" xfId="57" applyFont="1" applyBorder="1" applyAlignment="1">
      <alignment horizontal="center" vertical="center" wrapText="1"/>
      <protection/>
    </xf>
    <xf numFmtId="0" fontId="30" fillId="0" borderId="27" xfId="57" applyFont="1" applyBorder="1" applyAlignment="1">
      <alignment horizontal="center" vertical="center" wrapText="1"/>
      <protection/>
    </xf>
    <xf numFmtId="0" fontId="30" fillId="0" borderId="17" xfId="57" applyFont="1" applyBorder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0" fontId="30" fillId="0" borderId="20" xfId="57" applyFont="1" applyBorder="1" applyAlignment="1">
      <alignment horizontal="center" wrapText="1"/>
      <protection/>
    </xf>
    <xf numFmtId="0" fontId="30" fillId="0" borderId="27" xfId="57" applyFont="1" applyBorder="1" applyAlignment="1">
      <alignment horizontal="center" wrapText="1"/>
      <protection/>
    </xf>
    <xf numFmtId="0" fontId="30" fillId="0" borderId="23" xfId="57" applyFont="1" applyBorder="1" applyAlignment="1">
      <alignment horizontal="center" vertical="center" wrapText="1"/>
      <protection/>
    </xf>
    <xf numFmtId="0" fontId="30" fillId="0" borderId="28" xfId="57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right"/>
      <protection/>
    </xf>
    <xf numFmtId="0" fontId="20" fillId="0" borderId="0" xfId="56" applyFont="1" applyBorder="1" applyAlignment="1">
      <alignment horizontal="center"/>
      <protection/>
    </xf>
    <xf numFmtId="0" fontId="20" fillId="0" borderId="15" xfId="56" applyFont="1" applyBorder="1" applyAlignment="1">
      <alignment horizontal="left"/>
      <protection/>
    </xf>
    <xf numFmtId="0" fontId="4" fillId="0" borderId="0" xfId="57" applyFont="1" applyBorder="1" applyAlignment="1">
      <alignment horizontal="center"/>
      <protection/>
    </xf>
    <xf numFmtId="0" fontId="4" fillId="0" borderId="13" xfId="57" applyFont="1" applyBorder="1" applyAlignment="1">
      <alignment horizontal="left" vertical="center"/>
      <protection/>
    </xf>
    <xf numFmtId="0" fontId="4" fillId="0" borderId="16" xfId="57" applyFont="1" applyBorder="1" applyAlignment="1">
      <alignment horizontal="left" vertical="center"/>
      <protection/>
    </xf>
    <xf numFmtId="0" fontId="14" fillId="0" borderId="0" xfId="56" applyFont="1" applyBorder="1" applyAlignment="1">
      <alignment horizontal="right"/>
      <protection/>
    </xf>
    <xf numFmtId="0" fontId="9" fillId="0" borderId="0" xfId="60" applyFont="1" applyAlignment="1">
      <alignment horizontal="center"/>
      <protection/>
    </xf>
    <xf numFmtId="0" fontId="9" fillId="0" borderId="13" xfId="60" applyFont="1" applyBorder="1" applyAlignment="1">
      <alignment horizontal="left"/>
      <protection/>
    </xf>
    <xf numFmtId="0" fontId="9" fillId="0" borderId="14" xfId="60" applyFont="1" applyBorder="1" applyAlignment="1">
      <alignment horizontal="left"/>
      <protection/>
    </xf>
    <xf numFmtId="0" fontId="27" fillId="0" borderId="0" xfId="60" applyFont="1" applyAlignment="1">
      <alignment horizontal="right"/>
      <protection/>
    </xf>
    <xf numFmtId="0" fontId="4" fillId="0" borderId="0" xfId="57" applyFont="1" applyAlignment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 I. névi rendmód" xfId="56"/>
    <cellStyle name="Normál_2012 évi kv. II. forduló" xfId="57"/>
    <cellStyle name="Normál_2013 hitel tábla" xfId="58"/>
    <cellStyle name="Normál_39212201 - 2009_ev" xfId="59"/>
    <cellStyle name="Normál_Európai Uniós támogatással megvalósuló projektek 2014.önk.r" xfId="60"/>
    <cellStyle name="Normál_mellékletek (uniós,közvetett)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57200" y="6162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57200" y="6162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71450" y="1362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19050</xdr:colOff>
      <xdr:row>31</xdr:row>
      <xdr:rowOff>0</xdr:rowOff>
    </xdr:from>
    <xdr:to>
      <xdr:col>5</xdr:col>
      <xdr:colOff>200025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620375" y="616267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HIVATAL\4PENZUGY\Kozos_penzugy\KISZELNE\2013\k&#246;lts&#233;gvet&#233;s\2013%20&#233;vi%20kv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szeln&#233;\Documents\kv.besz&#225;molo\2012\k&#246;lts&#233;gvet&#233;s\k&#246;lts&#233;gvet&#233;s\2012%20&#233;vi%20kv.%20II.%20fordu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bevétel"/>
      <sheetName val="címrendes kiadás"/>
      <sheetName val="Önkorm.bevétel"/>
      <sheetName val="Hivatal bevétel"/>
      <sheetName val="Önkorm.kiadás"/>
      <sheetName val="Hivatal kiad."/>
      <sheetName val="hitel 3.sz."/>
      <sheetName val="4.sz.mell. (2)"/>
      <sheetName val="5.mell. (2)"/>
      <sheetName val="kötelező-nem kötelező"/>
      <sheetName val="6.mell.(2)"/>
      <sheetName val="7.mell (2)"/>
      <sheetName val="9.m.II.f."/>
      <sheetName val="10.mell "/>
      <sheetName val="10.mell  összehasonlító"/>
      <sheetName val="11a melléklet"/>
      <sheetName val="11b melléklet"/>
      <sheetName val="12. melléklet"/>
      <sheetName val="13.mell."/>
    </sheetNames>
    <sheetDataSet>
      <sheetData sheetId="8">
        <row r="21">
          <cell r="F21">
            <v>0</v>
          </cell>
        </row>
        <row r="22">
          <cell r="F22">
            <v>500</v>
          </cell>
        </row>
        <row r="24">
          <cell r="F24">
            <v>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bevétel"/>
      <sheetName val="címrendes kiadás"/>
      <sheetName val="Önkorm.bevétel"/>
      <sheetName val="Hivatal bevétel"/>
      <sheetName val="Önkorm.kiadás"/>
      <sheetName val="Hivatal kiad."/>
      <sheetName val="hitel 3.sz. (jó)"/>
      <sheetName val="kisebbs.eredeti "/>
      <sheetName val="4.sz.mell. (2)"/>
      <sheetName val="5.mell. (2)"/>
      <sheetName val="6.mell.(2)"/>
      <sheetName val="7.mell (2)"/>
      <sheetName val="9.m.II.f."/>
      <sheetName val="10.mell (2)"/>
      <sheetName val="10.mell"/>
      <sheetName val="11a melléklet"/>
      <sheetName val="11b melléklet"/>
      <sheetName val="12.mell."/>
      <sheetName val="13.mell."/>
    </sheetNames>
    <sheetDataSet>
      <sheetData sheetId="0">
        <row r="160">
          <cell r="M160">
            <v>0</v>
          </cell>
        </row>
      </sheetData>
      <sheetData sheetId="9">
        <row r="41">
          <cell r="F41">
            <v>0</v>
          </cell>
        </row>
        <row r="42">
          <cell r="F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9"/>
  <sheetViews>
    <sheetView tabSelected="1" zoomScaleSheetLayoutView="75" zoomScalePageLayoutView="0" workbookViewId="0" topLeftCell="A121">
      <selection activeCell="L126" sqref="L126"/>
    </sheetView>
  </sheetViews>
  <sheetFormatPr defaultColWidth="9.00390625" defaultRowHeight="12.75"/>
  <cols>
    <col min="1" max="1" width="2.75390625" style="1" customWidth="1"/>
    <col min="2" max="2" width="3.125" style="1" customWidth="1"/>
    <col min="3" max="3" width="4.625" style="1" customWidth="1"/>
    <col min="4" max="4" width="4.00390625" style="1" customWidth="1"/>
    <col min="5" max="5" width="3.375" style="1" customWidth="1"/>
    <col min="6" max="6" width="2.75390625" style="2" customWidth="1"/>
    <col min="7" max="7" width="3.25390625" style="2" customWidth="1"/>
    <col min="8" max="8" width="3.125" style="2" customWidth="1"/>
    <col min="9" max="9" width="4.875" style="2" customWidth="1"/>
    <col min="10" max="10" width="2.375" style="2" customWidth="1"/>
    <col min="11" max="11" width="2.875" style="2" customWidth="1"/>
    <col min="12" max="12" width="52.75390625" style="2" customWidth="1"/>
    <col min="13" max="13" width="16.625" style="3" customWidth="1"/>
    <col min="14" max="14" width="10.125" style="3" hidden="1" customWidth="1"/>
    <col min="15" max="15" width="12.25390625" style="3" hidden="1" customWidth="1"/>
    <col min="16" max="16" width="10.25390625" style="3" hidden="1" customWidth="1"/>
    <col min="17" max="17" width="9.00390625" style="3" hidden="1" customWidth="1"/>
    <col min="18" max="18" width="11.25390625" style="461" hidden="1" customWidth="1"/>
    <col min="19" max="19" width="12.25390625" style="461" hidden="1" customWidth="1"/>
    <col min="20" max="20" width="10.75390625" style="3" hidden="1" customWidth="1"/>
    <col min="21" max="21" width="9.125" style="481" hidden="1" customWidth="1"/>
    <col min="22" max="22" width="9.125" style="85" hidden="1" customWidth="1"/>
    <col min="23" max="16384" width="9.125" style="2" customWidth="1"/>
  </cols>
  <sheetData>
    <row r="1" ht="15.75">
      <c r="M1" s="185"/>
    </row>
    <row r="2" spans="12:22" ht="15" customHeight="1">
      <c r="L2" s="822" t="s">
        <v>694</v>
      </c>
      <c r="M2" s="822"/>
      <c r="N2" s="823"/>
      <c r="O2" s="823"/>
      <c r="P2" s="824"/>
      <c r="Q2" s="824"/>
      <c r="R2" s="824"/>
      <c r="S2" s="824"/>
      <c r="T2" s="824"/>
      <c r="U2" s="824"/>
      <c r="V2" s="824"/>
    </row>
    <row r="3" spans="12:13" ht="15" customHeight="1">
      <c r="L3" s="185"/>
      <c r="M3" s="185"/>
    </row>
    <row r="4" spans="12:13" ht="15" customHeight="1">
      <c r="L4" s="185"/>
      <c r="M4" s="185"/>
    </row>
    <row r="5" spans="1:22" ht="15.75">
      <c r="A5" s="825" t="s">
        <v>515</v>
      </c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4"/>
      <c r="N5" s="824"/>
      <c r="O5" s="824"/>
      <c r="P5" s="824"/>
      <c r="Q5" s="824"/>
      <c r="R5" s="824"/>
      <c r="S5" s="824"/>
      <c r="T5" s="824"/>
      <c r="U5" s="824"/>
      <c r="V5" s="824"/>
    </row>
    <row r="6" spans="1:12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2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826" t="s">
        <v>60</v>
      </c>
      <c r="M8" s="826"/>
      <c r="N8" s="827"/>
      <c r="O8" s="827"/>
      <c r="P8" s="827"/>
      <c r="Q8" s="827"/>
      <c r="R8" s="827"/>
      <c r="S8" s="827"/>
      <c r="T8" s="827"/>
      <c r="U8" s="827"/>
      <c r="V8" s="827"/>
    </row>
    <row r="9" spans="1:22" s="7" customFormat="1" ht="95.25">
      <c r="A9" s="6" t="s">
        <v>61</v>
      </c>
      <c r="B9" s="6" t="s">
        <v>62</v>
      </c>
      <c r="C9" s="6" t="s">
        <v>63</v>
      </c>
      <c r="D9" s="6" t="s">
        <v>64</v>
      </c>
      <c r="E9" s="6" t="s">
        <v>65</v>
      </c>
      <c r="F9" s="6" t="s">
        <v>66</v>
      </c>
      <c r="G9" s="6" t="s">
        <v>67</v>
      </c>
      <c r="H9" s="6" t="s">
        <v>68</v>
      </c>
      <c r="I9" s="6" t="s">
        <v>69</v>
      </c>
      <c r="J9" s="6" t="s">
        <v>70</v>
      </c>
      <c r="K9" s="6" t="s">
        <v>71</v>
      </c>
      <c r="L9" s="117" t="s">
        <v>72</v>
      </c>
      <c r="M9" s="118" t="s">
        <v>437</v>
      </c>
      <c r="N9" s="118" t="s">
        <v>358</v>
      </c>
      <c r="O9" s="118" t="s">
        <v>212</v>
      </c>
      <c r="P9" s="118" t="s">
        <v>448</v>
      </c>
      <c r="Q9" s="118" t="s">
        <v>449</v>
      </c>
      <c r="R9" s="460" t="s">
        <v>358</v>
      </c>
      <c r="S9" s="460" t="s">
        <v>454</v>
      </c>
      <c r="T9" s="118" t="s">
        <v>459</v>
      </c>
      <c r="U9" s="482" t="s">
        <v>449</v>
      </c>
      <c r="V9" s="121" t="s">
        <v>358</v>
      </c>
    </row>
    <row r="10" spans="1:37" s="7" customFormat="1" ht="15">
      <c r="A10" s="117" t="s">
        <v>303</v>
      </c>
      <c r="B10" s="117" t="s">
        <v>304</v>
      </c>
      <c r="C10" s="117" t="s">
        <v>305</v>
      </c>
      <c r="D10" s="117" t="s">
        <v>306</v>
      </c>
      <c r="E10" s="117" t="s">
        <v>307</v>
      </c>
      <c r="F10" s="117" t="s">
        <v>308</v>
      </c>
      <c r="G10" s="117" t="s">
        <v>309</v>
      </c>
      <c r="H10" s="117" t="s">
        <v>310</v>
      </c>
      <c r="I10" s="117" t="s">
        <v>311</v>
      </c>
      <c r="J10" s="117" t="s">
        <v>312</v>
      </c>
      <c r="K10" s="117" t="s">
        <v>313</v>
      </c>
      <c r="L10" s="641" t="s">
        <v>314</v>
      </c>
      <c r="M10" s="115" t="s">
        <v>315</v>
      </c>
      <c r="N10" s="115" t="s">
        <v>316</v>
      </c>
      <c r="O10" s="115" t="s">
        <v>450</v>
      </c>
      <c r="P10" s="115" t="s">
        <v>317</v>
      </c>
      <c r="Q10" s="115" t="s">
        <v>447</v>
      </c>
      <c r="R10" s="642" t="s">
        <v>317</v>
      </c>
      <c r="S10" s="642" t="s">
        <v>316</v>
      </c>
      <c r="T10" s="115" t="s">
        <v>317</v>
      </c>
      <c r="U10" s="537" t="s">
        <v>447</v>
      </c>
      <c r="V10" s="643" t="s">
        <v>317</v>
      </c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</row>
    <row r="11" spans="1:37" ht="15">
      <c r="A11" s="8" t="s">
        <v>74</v>
      </c>
      <c r="B11" s="8"/>
      <c r="C11" s="8"/>
      <c r="D11" s="8"/>
      <c r="E11" s="8"/>
      <c r="F11" s="9"/>
      <c r="G11" s="9" t="s">
        <v>75</v>
      </c>
      <c r="H11" s="9"/>
      <c r="I11" s="9"/>
      <c r="J11" s="9"/>
      <c r="K11" s="9"/>
      <c r="L11" s="9"/>
      <c r="N11" s="20"/>
      <c r="O11" s="20"/>
      <c r="P11" s="20"/>
      <c r="Q11" s="20"/>
      <c r="R11" s="21"/>
      <c r="S11" s="21"/>
      <c r="T11" s="20"/>
      <c r="U11" s="483"/>
      <c r="V11" s="3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5">
      <c r="A12" s="10"/>
      <c r="B12" s="10"/>
      <c r="C12" s="10" t="s">
        <v>76</v>
      </c>
      <c r="D12" s="10"/>
      <c r="E12" s="10"/>
      <c r="F12" s="11"/>
      <c r="G12" s="11"/>
      <c r="H12" s="11"/>
      <c r="I12" s="11" t="s">
        <v>77</v>
      </c>
      <c r="J12" s="11"/>
      <c r="K12" s="11"/>
      <c r="L12" s="11"/>
      <c r="M12" s="3">
        <v>118530</v>
      </c>
      <c r="N12" s="111">
        <v>0</v>
      </c>
      <c r="O12" s="111">
        <f>M12+N12</f>
        <v>118530</v>
      </c>
      <c r="P12" s="264">
        <v>66771</v>
      </c>
      <c r="Q12" s="111">
        <f>SUM(P12/O12)*100</f>
        <v>56.33257403189066</v>
      </c>
      <c r="R12" s="21">
        <v>68477</v>
      </c>
      <c r="S12" s="21">
        <f>O12+R12</f>
        <v>187007</v>
      </c>
      <c r="T12" s="111">
        <v>204420</v>
      </c>
      <c r="U12" s="484">
        <f>SUM(T12/S12)*100</f>
        <v>109.31141615019759</v>
      </c>
      <c r="V12" s="363">
        <v>170730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22" s="16" customFormat="1" ht="15.75">
      <c r="A13" s="13"/>
      <c r="B13" s="13"/>
      <c r="C13" s="13"/>
      <c r="D13" s="13" t="s">
        <v>74</v>
      </c>
      <c r="E13" s="13"/>
      <c r="F13" s="14"/>
      <c r="G13" s="14"/>
      <c r="H13" s="14"/>
      <c r="I13" s="14"/>
      <c r="J13" s="14" t="s">
        <v>78</v>
      </c>
      <c r="K13" s="14"/>
      <c r="L13" s="14"/>
      <c r="M13" s="15">
        <f>SUM(M12)</f>
        <v>118530</v>
      </c>
      <c r="N13" s="263">
        <f>SUM(N12)</f>
        <v>0</v>
      </c>
      <c r="O13" s="263">
        <f>M13+N13</f>
        <v>118530</v>
      </c>
      <c r="P13" s="263">
        <f>SUM(P12)</f>
        <v>66771</v>
      </c>
      <c r="Q13" s="263">
        <f aca="true" t="shared" si="0" ref="Q13:Q78">SUM(P13/O13)*100</f>
        <v>56.33257403189066</v>
      </c>
      <c r="R13" s="418">
        <f>SUM(R12)</f>
        <v>68477</v>
      </c>
      <c r="S13" s="418">
        <f aca="true" t="shared" si="1" ref="S13:S78">O13+R13</f>
        <v>187007</v>
      </c>
      <c r="T13" s="260">
        <f>SUM(T12)</f>
        <v>204420</v>
      </c>
      <c r="U13" s="489">
        <f aca="true" t="shared" si="2" ref="U13:U78">SUM(T13/S13)*100</f>
        <v>109.31141615019759</v>
      </c>
      <c r="V13" s="263">
        <f>SUM(V12)</f>
        <v>170730</v>
      </c>
    </row>
    <row r="14" spans="1:21" ht="15">
      <c r="A14" s="8"/>
      <c r="B14" s="8"/>
      <c r="C14" s="8"/>
      <c r="D14" s="8" t="s">
        <v>79</v>
      </c>
      <c r="E14" s="8"/>
      <c r="F14" s="9"/>
      <c r="G14" s="9"/>
      <c r="H14" s="9"/>
      <c r="I14" s="9"/>
      <c r="J14" s="9" t="s">
        <v>80</v>
      </c>
      <c r="K14" s="9"/>
      <c r="L14" s="9"/>
      <c r="O14" s="20"/>
      <c r="Q14" s="20"/>
      <c r="S14" s="21"/>
      <c r="U14" s="483"/>
    </row>
    <row r="15" spans="1:21" ht="15">
      <c r="A15" s="17"/>
      <c r="B15" s="17"/>
      <c r="C15" s="17"/>
      <c r="D15" s="17"/>
      <c r="E15" s="18" t="s">
        <v>81</v>
      </c>
      <c r="F15" s="19"/>
      <c r="G15" s="19"/>
      <c r="H15" s="19"/>
      <c r="I15" s="19"/>
      <c r="J15" s="19"/>
      <c r="K15" s="19" t="s">
        <v>82</v>
      </c>
      <c r="L15" s="19"/>
      <c r="O15" s="20"/>
      <c r="Q15" s="20"/>
      <c r="S15" s="21"/>
      <c r="U15" s="483"/>
    </row>
    <row r="16" spans="1:22" ht="15">
      <c r="A16" s="17"/>
      <c r="B16" s="17"/>
      <c r="C16" s="17"/>
      <c r="D16" s="17"/>
      <c r="E16" s="17"/>
      <c r="F16" s="19" t="s">
        <v>83</v>
      </c>
      <c r="G16" s="19"/>
      <c r="H16" s="19"/>
      <c r="I16" s="19"/>
      <c r="J16" s="19"/>
      <c r="K16" s="19"/>
      <c r="L16" s="19" t="s">
        <v>84</v>
      </c>
      <c r="M16" s="3">
        <v>125000</v>
      </c>
      <c r="N16" s="3">
        <v>0</v>
      </c>
      <c r="O16" s="20">
        <f>M16+N16</f>
        <v>125000</v>
      </c>
      <c r="P16" s="3">
        <v>60495</v>
      </c>
      <c r="Q16" s="20">
        <f t="shared" si="0"/>
        <v>48.396</v>
      </c>
      <c r="R16" s="461">
        <v>0</v>
      </c>
      <c r="S16" s="21">
        <f t="shared" si="1"/>
        <v>125000</v>
      </c>
      <c r="T16" s="20">
        <v>69747</v>
      </c>
      <c r="U16" s="483">
        <f t="shared" si="2"/>
        <v>55.7976</v>
      </c>
      <c r="V16" s="85">
        <v>0</v>
      </c>
    </row>
    <row r="17" spans="1:22" ht="15">
      <c r="A17" s="17"/>
      <c r="B17" s="17"/>
      <c r="C17" s="17"/>
      <c r="D17" s="17"/>
      <c r="E17" s="17"/>
      <c r="F17" s="19" t="s">
        <v>85</v>
      </c>
      <c r="G17" s="19"/>
      <c r="H17" s="19"/>
      <c r="I17" s="19"/>
      <c r="J17" s="19"/>
      <c r="K17" s="19"/>
      <c r="L17" s="19" t="s">
        <v>86</v>
      </c>
      <c r="M17" s="3">
        <v>12000</v>
      </c>
      <c r="N17" s="3">
        <v>0</v>
      </c>
      <c r="O17" s="20">
        <f>M17+N17</f>
        <v>12000</v>
      </c>
      <c r="P17" s="3">
        <v>2543</v>
      </c>
      <c r="Q17" s="20">
        <f t="shared" si="0"/>
        <v>21.191666666666666</v>
      </c>
      <c r="R17" s="461">
        <v>0</v>
      </c>
      <c r="S17" s="21">
        <f t="shared" si="1"/>
        <v>12000</v>
      </c>
      <c r="T17" s="20">
        <v>5209</v>
      </c>
      <c r="U17" s="483">
        <f t="shared" si="2"/>
        <v>43.40833333333333</v>
      </c>
      <c r="V17" s="85">
        <v>190</v>
      </c>
    </row>
    <row r="18" spans="1:22" ht="15">
      <c r="A18" s="17"/>
      <c r="B18" s="17"/>
      <c r="C18" s="17"/>
      <c r="D18" s="17"/>
      <c r="E18" s="17"/>
      <c r="F18" s="19" t="s">
        <v>87</v>
      </c>
      <c r="G18" s="19"/>
      <c r="H18" s="19"/>
      <c r="I18" s="19"/>
      <c r="J18" s="19"/>
      <c r="K18" s="19"/>
      <c r="L18" s="19" t="s">
        <v>88</v>
      </c>
      <c r="M18" s="3">
        <v>520000</v>
      </c>
      <c r="N18" s="111">
        <v>0</v>
      </c>
      <c r="O18" s="111">
        <f>M18+N18</f>
        <v>520000</v>
      </c>
      <c r="P18" s="111">
        <v>179797</v>
      </c>
      <c r="Q18" s="111">
        <f t="shared" si="0"/>
        <v>34.57634615384615</v>
      </c>
      <c r="R18" s="461">
        <v>0</v>
      </c>
      <c r="S18" s="21">
        <f t="shared" si="1"/>
        <v>520000</v>
      </c>
      <c r="T18" s="20">
        <v>275717</v>
      </c>
      <c r="U18" s="483">
        <f t="shared" si="2"/>
        <v>53.022499999999994</v>
      </c>
      <c r="V18" s="85">
        <v>0</v>
      </c>
    </row>
    <row r="19" spans="1:22" ht="15">
      <c r="A19" s="17"/>
      <c r="B19" s="17"/>
      <c r="C19" s="17"/>
      <c r="D19" s="17"/>
      <c r="E19" s="17"/>
      <c r="F19" s="19" t="s">
        <v>462</v>
      </c>
      <c r="G19" s="19"/>
      <c r="H19" s="19"/>
      <c r="I19" s="19"/>
      <c r="J19" s="19"/>
      <c r="K19" s="19"/>
      <c r="L19" s="19" t="s">
        <v>463</v>
      </c>
      <c r="M19" s="3">
        <v>0</v>
      </c>
      <c r="N19" s="111"/>
      <c r="O19" s="111"/>
      <c r="P19" s="111"/>
      <c r="Q19" s="111"/>
      <c r="S19" s="21">
        <v>0</v>
      </c>
      <c r="T19" s="111">
        <v>4</v>
      </c>
      <c r="U19" s="484">
        <v>0</v>
      </c>
      <c r="V19" s="85">
        <v>0</v>
      </c>
    </row>
    <row r="20" spans="1:22" s="16" customFormat="1" ht="15.75">
      <c r="A20" s="13"/>
      <c r="B20" s="13"/>
      <c r="C20" s="13"/>
      <c r="D20" s="13"/>
      <c r="E20" s="13" t="s">
        <v>81</v>
      </c>
      <c r="F20" s="14"/>
      <c r="G20" s="14"/>
      <c r="H20" s="14"/>
      <c r="I20" s="14"/>
      <c r="J20" s="14"/>
      <c r="K20" s="14" t="s">
        <v>89</v>
      </c>
      <c r="L20" s="14"/>
      <c r="M20" s="15">
        <f>SUM(M16:M19)</f>
        <v>657000</v>
      </c>
      <c r="N20" s="263">
        <f>SUM(N16:N18)</f>
        <v>0</v>
      </c>
      <c r="O20" s="263">
        <f>M20+N20</f>
        <v>657000</v>
      </c>
      <c r="P20" s="260">
        <f>SUM(P16:P18)</f>
        <v>242835</v>
      </c>
      <c r="Q20" s="407">
        <f t="shared" si="0"/>
        <v>36.961187214611876</v>
      </c>
      <c r="R20" s="418">
        <v>0</v>
      </c>
      <c r="S20" s="418">
        <f t="shared" si="1"/>
        <v>657000</v>
      </c>
      <c r="T20" s="260">
        <f>SUM(T16:T19)</f>
        <v>350677</v>
      </c>
      <c r="U20" s="489">
        <f t="shared" si="2"/>
        <v>53.37549467275494</v>
      </c>
      <c r="V20" s="263">
        <f>SUM(V16:V19)</f>
        <v>190</v>
      </c>
    </row>
    <row r="21" spans="1:21" ht="15">
      <c r="A21" s="8"/>
      <c r="B21" s="8"/>
      <c r="C21" s="8"/>
      <c r="D21" s="8"/>
      <c r="E21" s="8" t="s">
        <v>90</v>
      </c>
      <c r="F21" s="9"/>
      <c r="G21" s="9"/>
      <c r="H21" s="9"/>
      <c r="I21" s="9"/>
      <c r="J21" s="9"/>
      <c r="K21" s="9" t="s">
        <v>91</v>
      </c>
      <c r="L21" s="9"/>
      <c r="O21" s="20"/>
      <c r="Q21" s="20"/>
      <c r="S21" s="21"/>
      <c r="U21" s="483"/>
    </row>
    <row r="22" spans="1:22" ht="15">
      <c r="A22" s="17"/>
      <c r="B22" s="17"/>
      <c r="C22" s="17"/>
      <c r="D22" s="17"/>
      <c r="E22" s="17"/>
      <c r="F22" s="19" t="s">
        <v>92</v>
      </c>
      <c r="G22" s="19"/>
      <c r="H22" s="19"/>
      <c r="I22" s="19"/>
      <c r="J22" s="19"/>
      <c r="K22" s="19"/>
      <c r="L22" s="19" t="s">
        <v>93</v>
      </c>
      <c r="M22" s="3">
        <v>42000</v>
      </c>
      <c r="N22" s="111">
        <v>0</v>
      </c>
      <c r="O22" s="111">
        <f>M22+N22</f>
        <v>42000</v>
      </c>
      <c r="P22" s="111">
        <v>1223</v>
      </c>
      <c r="Q22" s="111">
        <f t="shared" si="0"/>
        <v>2.9119047619047618</v>
      </c>
      <c r="R22" s="461">
        <v>0</v>
      </c>
      <c r="S22" s="21">
        <f t="shared" si="1"/>
        <v>42000</v>
      </c>
      <c r="T22" s="3">
        <v>21529</v>
      </c>
      <c r="U22" s="484">
        <f t="shared" si="2"/>
        <v>51.25952380952381</v>
      </c>
      <c r="V22" s="85">
        <v>0</v>
      </c>
    </row>
    <row r="23" spans="1:22" s="16" customFormat="1" ht="15.75">
      <c r="A23" s="13"/>
      <c r="B23" s="13"/>
      <c r="C23" s="13"/>
      <c r="D23" s="13"/>
      <c r="E23" s="13" t="s">
        <v>90</v>
      </c>
      <c r="F23" s="14"/>
      <c r="G23" s="14"/>
      <c r="H23" s="14"/>
      <c r="I23" s="14"/>
      <c r="J23" s="14"/>
      <c r="K23" s="14" t="s">
        <v>89</v>
      </c>
      <c r="L23" s="14"/>
      <c r="M23" s="15">
        <f>SUM(M22:M22)</f>
        <v>42000</v>
      </c>
      <c r="N23" s="263">
        <f>SUM(N22)</f>
        <v>0</v>
      </c>
      <c r="O23" s="263">
        <f>M23+N23</f>
        <v>42000</v>
      </c>
      <c r="P23" s="260">
        <f>SUM(P22)</f>
        <v>1223</v>
      </c>
      <c r="Q23" s="407">
        <f t="shared" si="0"/>
        <v>2.9119047619047618</v>
      </c>
      <c r="R23" s="418">
        <v>0</v>
      </c>
      <c r="S23" s="418">
        <f t="shared" si="1"/>
        <v>42000</v>
      </c>
      <c r="T23" s="260">
        <f>SUM(T22)</f>
        <v>21529</v>
      </c>
      <c r="U23" s="489">
        <f t="shared" si="2"/>
        <v>51.25952380952381</v>
      </c>
      <c r="V23" s="263">
        <f>SUM(V22)</f>
        <v>0</v>
      </c>
    </row>
    <row r="24" spans="1:21" ht="15">
      <c r="A24" s="17"/>
      <c r="B24" s="17"/>
      <c r="C24" s="17"/>
      <c r="D24" s="17"/>
      <c r="E24" s="17" t="s">
        <v>94</v>
      </c>
      <c r="F24" s="19"/>
      <c r="G24" s="19"/>
      <c r="H24" s="19"/>
      <c r="I24" s="19"/>
      <c r="J24" s="19"/>
      <c r="K24" s="19" t="s">
        <v>95</v>
      </c>
      <c r="L24" s="19"/>
      <c r="O24" s="20"/>
      <c r="Q24" s="20"/>
      <c r="S24" s="21"/>
      <c r="U24" s="483"/>
    </row>
    <row r="25" spans="1:22" ht="15">
      <c r="A25" s="17"/>
      <c r="B25" s="17"/>
      <c r="C25" s="17"/>
      <c r="D25" s="17"/>
      <c r="E25" s="17"/>
      <c r="F25" s="19" t="s">
        <v>96</v>
      </c>
      <c r="G25" s="19"/>
      <c r="H25" s="19"/>
      <c r="I25" s="19"/>
      <c r="J25" s="19"/>
      <c r="K25" s="19"/>
      <c r="L25" s="19" t="s">
        <v>97</v>
      </c>
      <c r="M25" s="3">
        <v>5000</v>
      </c>
      <c r="N25" s="3">
        <v>0</v>
      </c>
      <c r="O25" s="20">
        <f aca="true" t="shared" si="3" ref="O25:O31">M25+N25</f>
        <v>5000</v>
      </c>
      <c r="P25" s="85">
        <v>1241</v>
      </c>
      <c r="Q25" s="20">
        <f t="shared" si="0"/>
        <v>24.82</v>
      </c>
      <c r="R25" s="461">
        <v>0</v>
      </c>
      <c r="S25" s="21">
        <f t="shared" si="1"/>
        <v>5000</v>
      </c>
      <c r="T25" s="20">
        <v>3652</v>
      </c>
      <c r="U25" s="483">
        <f t="shared" si="2"/>
        <v>73.04</v>
      </c>
      <c r="V25" s="85">
        <v>0</v>
      </c>
    </row>
    <row r="26" spans="1:22" ht="15">
      <c r="A26" s="17"/>
      <c r="B26" s="17"/>
      <c r="C26" s="17"/>
      <c r="D26" s="17"/>
      <c r="E26" s="17"/>
      <c r="F26" s="19" t="s">
        <v>98</v>
      </c>
      <c r="G26" s="19"/>
      <c r="H26" s="19"/>
      <c r="I26" s="19"/>
      <c r="J26" s="19"/>
      <c r="K26" s="19"/>
      <c r="L26" s="19" t="s">
        <v>99</v>
      </c>
      <c r="M26" s="3">
        <v>1000</v>
      </c>
      <c r="N26" s="3">
        <v>0</v>
      </c>
      <c r="O26" s="20">
        <f t="shared" si="3"/>
        <v>1000</v>
      </c>
      <c r="P26" s="85">
        <v>0</v>
      </c>
      <c r="Q26" s="20">
        <f t="shared" si="0"/>
        <v>0</v>
      </c>
      <c r="R26" s="461">
        <v>0</v>
      </c>
      <c r="S26" s="21">
        <f t="shared" si="1"/>
        <v>1000</v>
      </c>
      <c r="T26" s="20">
        <v>0</v>
      </c>
      <c r="U26" s="483">
        <f t="shared" si="2"/>
        <v>0</v>
      </c>
      <c r="V26" s="85">
        <v>0</v>
      </c>
    </row>
    <row r="27" spans="1:22" ht="15">
      <c r="A27" s="17"/>
      <c r="B27" s="17"/>
      <c r="C27" s="17"/>
      <c r="D27" s="17"/>
      <c r="E27" s="17"/>
      <c r="F27" s="19" t="s">
        <v>100</v>
      </c>
      <c r="G27" s="19"/>
      <c r="H27" s="19"/>
      <c r="I27" s="19"/>
      <c r="J27" s="19"/>
      <c r="K27" s="19"/>
      <c r="L27" s="19" t="s">
        <v>101</v>
      </c>
      <c r="M27" s="3">
        <v>32000</v>
      </c>
      <c r="N27" s="3">
        <v>0</v>
      </c>
      <c r="O27" s="20">
        <f t="shared" si="3"/>
        <v>32000</v>
      </c>
      <c r="P27" s="85">
        <v>9637</v>
      </c>
      <c r="Q27" s="20">
        <f t="shared" si="0"/>
        <v>30.115625</v>
      </c>
      <c r="R27" s="461">
        <v>0</v>
      </c>
      <c r="S27" s="21">
        <f t="shared" si="1"/>
        <v>32000</v>
      </c>
      <c r="T27" s="20">
        <v>11889</v>
      </c>
      <c r="U27" s="483">
        <f t="shared" si="2"/>
        <v>37.153124999999996</v>
      </c>
      <c r="V27" s="85">
        <v>0</v>
      </c>
    </row>
    <row r="28" spans="1:22" ht="15">
      <c r="A28" s="10"/>
      <c r="B28" s="10"/>
      <c r="C28" s="10"/>
      <c r="D28" s="10"/>
      <c r="E28" s="10"/>
      <c r="F28" s="22" t="s">
        <v>102</v>
      </c>
      <c r="G28" s="11"/>
      <c r="H28" s="11"/>
      <c r="I28" s="11"/>
      <c r="J28" s="11"/>
      <c r="K28" s="11"/>
      <c r="L28" s="11" t="s">
        <v>103</v>
      </c>
      <c r="M28" s="3">
        <v>2000</v>
      </c>
      <c r="N28" s="111">
        <v>0</v>
      </c>
      <c r="O28" s="111">
        <f t="shared" si="3"/>
        <v>2000</v>
      </c>
      <c r="P28" s="264">
        <v>854</v>
      </c>
      <c r="Q28" s="111">
        <f t="shared" si="0"/>
        <v>42.699999999999996</v>
      </c>
      <c r="R28" s="461">
        <v>0</v>
      </c>
      <c r="S28" s="21">
        <f t="shared" si="1"/>
        <v>2000</v>
      </c>
      <c r="T28" s="111">
        <v>2352</v>
      </c>
      <c r="U28" s="484">
        <f t="shared" si="2"/>
        <v>117.6</v>
      </c>
      <c r="V28" s="85">
        <v>0</v>
      </c>
    </row>
    <row r="29" spans="1:22" s="16" customFormat="1" ht="15.75">
      <c r="A29" s="13"/>
      <c r="B29" s="13"/>
      <c r="C29" s="13"/>
      <c r="D29" s="13"/>
      <c r="E29" s="13" t="s">
        <v>94</v>
      </c>
      <c r="F29" s="14"/>
      <c r="G29" s="14"/>
      <c r="H29" s="14"/>
      <c r="I29" s="14"/>
      <c r="J29" s="14"/>
      <c r="K29" s="14" t="s">
        <v>89</v>
      </c>
      <c r="L29" s="14"/>
      <c r="M29" s="15">
        <f>SUM(M25:M28)</f>
        <v>40000</v>
      </c>
      <c r="N29" s="263">
        <f>SUM(N25:N28)</f>
        <v>0</v>
      </c>
      <c r="O29" s="263">
        <f t="shared" si="3"/>
        <v>40000</v>
      </c>
      <c r="P29" s="263">
        <f>SUM(P25:P28)</f>
        <v>11732</v>
      </c>
      <c r="Q29" s="263">
        <f t="shared" si="0"/>
        <v>29.330000000000002</v>
      </c>
      <c r="R29" s="418">
        <v>0</v>
      </c>
      <c r="S29" s="418">
        <f t="shared" si="1"/>
        <v>40000</v>
      </c>
      <c r="T29" s="23">
        <f>SUM(T25:T28)</f>
        <v>17893</v>
      </c>
      <c r="U29" s="489">
        <f t="shared" si="2"/>
        <v>44.732499999999995</v>
      </c>
      <c r="V29" s="263">
        <f>SUM(V25:V28)</f>
        <v>0</v>
      </c>
    </row>
    <row r="30" spans="1:22" s="16" customFormat="1" ht="15.75">
      <c r="A30" s="13"/>
      <c r="B30" s="13"/>
      <c r="C30" s="13"/>
      <c r="D30" s="13" t="s">
        <v>79</v>
      </c>
      <c r="E30" s="13"/>
      <c r="G30" s="14"/>
      <c r="H30" s="14"/>
      <c r="I30" s="14"/>
      <c r="J30" s="14" t="s">
        <v>104</v>
      </c>
      <c r="K30" s="14"/>
      <c r="L30" s="14"/>
      <c r="M30" s="15">
        <f>SUM(M20+M23+M29)</f>
        <v>739000</v>
      </c>
      <c r="N30" s="263">
        <v>0</v>
      </c>
      <c r="O30" s="263">
        <f t="shared" si="3"/>
        <v>739000</v>
      </c>
      <c r="P30" s="263">
        <f>P20+P23+P29</f>
        <v>255790</v>
      </c>
      <c r="Q30" s="263">
        <f t="shared" si="0"/>
        <v>34.61299052774019</v>
      </c>
      <c r="R30" s="462">
        <v>0</v>
      </c>
      <c r="S30" s="463">
        <f t="shared" si="1"/>
        <v>739000</v>
      </c>
      <c r="T30" s="260">
        <f>T20+T23+T29</f>
        <v>390099</v>
      </c>
      <c r="U30" s="489">
        <f t="shared" si="2"/>
        <v>52.78741542625169</v>
      </c>
      <c r="V30" s="495">
        <f>V20+V23+V29</f>
        <v>190</v>
      </c>
    </row>
    <row r="31" spans="1:22" ht="15.75">
      <c r="A31" s="13"/>
      <c r="B31" s="13"/>
      <c r="C31" s="13" t="s">
        <v>76</v>
      </c>
      <c r="D31" s="13"/>
      <c r="E31" s="14" t="s">
        <v>105</v>
      </c>
      <c r="F31" s="14"/>
      <c r="G31" s="24"/>
      <c r="H31" s="14"/>
      <c r="I31" s="14"/>
      <c r="J31" s="14"/>
      <c r="K31" s="14"/>
      <c r="L31" s="14"/>
      <c r="M31" s="15">
        <f>SUM(M13+M30)</f>
        <v>857530</v>
      </c>
      <c r="N31" s="263">
        <v>0</v>
      </c>
      <c r="O31" s="263">
        <f t="shared" si="3"/>
        <v>857530</v>
      </c>
      <c r="P31" s="263">
        <f>P13+P30</f>
        <v>322561</v>
      </c>
      <c r="Q31" s="263">
        <f t="shared" si="0"/>
        <v>37.61512716756265</v>
      </c>
      <c r="R31" s="418">
        <f>R13+R30</f>
        <v>68477</v>
      </c>
      <c r="S31" s="418">
        <f t="shared" si="1"/>
        <v>926007</v>
      </c>
      <c r="T31" s="263">
        <f>T13+T30</f>
        <v>594519</v>
      </c>
      <c r="U31" s="489">
        <f t="shared" si="2"/>
        <v>64.20243043519109</v>
      </c>
      <c r="V31" s="263">
        <f>V13+V30</f>
        <v>170920</v>
      </c>
    </row>
    <row r="32" spans="3:21" ht="15">
      <c r="C32" s="1" t="s">
        <v>106</v>
      </c>
      <c r="I32" s="2" t="s">
        <v>107</v>
      </c>
      <c r="O32" s="20"/>
      <c r="Q32" s="20"/>
      <c r="S32" s="21"/>
      <c r="U32" s="483"/>
    </row>
    <row r="33" spans="4:21" ht="15">
      <c r="D33" s="1" t="s">
        <v>74</v>
      </c>
      <c r="J33" s="2" t="s">
        <v>108</v>
      </c>
      <c r="O33" s="20"/>
      <c r="Q33" s="20"/>
      <c r="S33" s="21"/>
      <c r="T33" s="20"/>
      <c r="U33" s="483"/>
    </row>
    <row r="34" spans="5:21" ht="15">
      <c r="E34" s="1" t="s">
        <v>109</v>
      </c>
      <c r="K34" s="2" t="s">
        <v>382</v>
      </c>
      <c r="O34" s="20"/>
      <c r="Q34" s="20"/>
      <c r="S34" s="21"/>
      <c r="T34" s="20"/>
      <c r="U34" s="483"/>
    </row>
    <row r="35" spans="6:22" ht="15">
      <c r="F35" s="2" t="s">
        <v>110</v>
      </c>
      <c r="L35" s="2" t="s">
        <v>383</v>
      </c>
      <c r="M35" s="3">
        <v>243776</v>
      </c>
      <c r="N35" s="3">
        <v>0</v>
      </c>
      <c r="O35" s="20">
        <f>M35+N35</f>
        <v>243776</v>
      </c>
      <c r="P35" s="3">
        <v>25117</v>
      </c>
      <c r="Q35" s="20">
        <f t="shared" si="0"/>
        <v>10.303311236545024</v>
      </c>
      <c r="R35" s="461">
        <v>0</v>
      </c>
      <c r="S35" s="21">
        <f t="shared" si="1"/>
        <v>243776</v>
      </c>
      <c r="T35" s="363">
        <v>80418</v>
      </c>
      <c r="U35" s="483">
        <f t="shared" si="2"/>
        <v>32.988481228668945</v>
      </c>
      <c r="V35" s="85">
        <v>0</v>
      </c>
    </row>
    <row r="36" spans="6:22" ht="15">
      <c r="F36" s="2" t="s">
        <v>111</v>
      </c>
      <c r="L36" s="2" t="s">
        <v>384</v>
      </c>
      <c r="M36" s="3">
        <v>73621</v>
      </c>
      <c r="N36" s="3">
        <v>0</v>
      </c>
      <c r="O36" s="20">
        <f>M36+N36</f>
        <v>73621</v>
      </c>
      <c r="P36" s="3">
        <v>12975</v>
      </c>
      <c r="Q36" s="20">
        <f t="shared" si="0"/>
        <v>17.624047486450877</v>
      </c>
      <c r="R36" s="461">
        <v>0</v>
      </c>
      <c r="S36" s="21">
        <f t="shared" si="1"/>
        <v>73621</v>
      </c>
      <c r="T36" s="363">
        <v>41484</v>
      </c>
      <c r="U36" s="483">
        <f t="shared" si="2"/>
        <v>56.348052865350915</v>
      </c>
      <c r="V36" s="85">
        <v>-5072</v>
      </c>
    </row>
    <row r="37" spans="6:22" ht="15">
      <c r="F37" s="2" t="s">
        <v>320</v>
      </c>
      <c r="L37" s="2" t="s">
        <v>385</v>
      </c>
      <c r="M37" s="3">
        <v>296534</v>
      </c>
      <c r="N37" s="3">
        <v>22811</v>
      </c>
      <c r="O37" s="20">
        <f>M37+N37</f>
        <v>319345</v>
      </c>
      <c r="P37" s="3">
        <v>34092</v>
      </c>
      <c r="Q37" s="20">
        <f t="shared" si="0"/>
        <v>10.675601622070175</v>
      </c>
      <c r="R37" s="461">
        <v>22690</v>
      </c>
      <c r="S37" s="21">
        <f t="shared" si="1"/>
        <v>342035</v>
      </c>
      <c r="T37" s="363">
        <v>61260</v>
      </c>
      <c r="U37" s="483">
        <f t="shared" si="2"/>
        <v>17.91044776119403</v>
      </c>
      <c r="V37" s="85">
        <v>123185</v>
      </c>
    </row>
    <row r="38" spans="6:22" ht="15">
      <c r="F38" s="2" t="s">
        <v>321</v>
      </c>
      <c r="L38" s="2" t="s">
        <v>386</v>
      </c>
      <c r="M38" s="3">
        <v>19226</v>
      </c>
      <c r="N38" s="111">
        <v>0</v>
      </c>
      <c r="O38" s="111">
        <f>M38+N38</f>
        <v>19226</v>
      </c>
      <c r="P38" s="111">
        <v>2529</v>
      </c>
      <c r="Q38" s="111">
        <f t="shared" si="0"/>
        <v>13.154062207427442</v>
      </c>
      <c r="R38" s="461">
        <v>21238</v>
      </c>
      <c r="S38" s="21">
        <f t="shared" si="1"/>
        <v>40464</v>
      </c>
      <c r="T38" s="264">
        <v>31220</v>
      </c>
      <c r="U38" s="484">
        <f t="shared" si="2"/>
        <v>77.15500197706604</v>
      </c>
      <c r="V38" s="85">
        <v>0</v>
      </c>
    </row>
    <row r="39" spans="1:22" s="16" customFormat="1" ht="15.75">
      <c r="A39" s="13"/>
      <c r="B39" s="13"/>
      <c r="C39" s="13"/>
      <c r="D39" s="13"/>
      <c r="E39" s="25" t="s">
        <v>109</v>
      </c>
      <c r="F39" s="14" t="s">
        <v>112</v>
      </c>
      <c r="G39" s="14"/>
      <c r="H39" s="14"/>
      <c r="I39" s="14"/>
      <c r="J39" s="14"/>
      <c r="K39" s="14" t="s">
        <v>89</v>
      </c>
      <c r="L39" s="14"/>
      <c r="M39" s="15">
        <f>SUM(M35:M38)</f>
        <v>633157</v>
      </c>
      <c r="N39" s="263">
        <f>SUM(N35:N38)</f>
        <v>22811</v>
      </c>
      <c r="O39" s="263">
        <f>M39+N39</f>
        <v>655968</v>
      </c>
      <c r="P39" s="260">
        <f>SUM(P35:P38)</f>
        <v>74713</v>
      </c>
      <c r="Q39" s="263">
        <f t="shared" si="0"/>
        <v>11.389732425972</v>
      </c>
      <c r="R39" s="418">
        <f>SUM(R35:R38)</f>
        <v>43928</v>
      </c>
      <c r="S39" s="418">
        <f t="shared" si="1"/>
        <v>699896</v>
      </c>
      <c r="T39" s="263">
        <f>SUM(T35:T38)</f>
        <v>214382</v>
      </c>
      <c r="U39" s="489">
        <f t="shared" si="2"/>
        <v>30.63055082469395</v>
      </c>
      <c r="V39" s="263">
        <f>SUM(V35:V38)</f>
        <v>118113</v>
      </c>
    </row>
    <row r="40" spans="5:21" ht="15">
      <c r="E40" s="1" t="s">
        <v>113</v>
      </c>
      <c r="K40" s="2" t="s">
        <v>114</v>
      </c>
      <c r="O40" s="20"/>
      <c r="Q40" s="20"/>
      <c r="S40" s="21"/>
      <c r="U40" s="483"/>
    </row>
    <row r="41" spans="6:22" ht="15">
      <c r="F41" s="2" t="s">
        <v>115</v>
      </c>
      <c r="L41" s="2" t="s">
        <v>116</v>
      </c>
      <c r="M41" s="3">
        <v>0</v>
      </c>
      <c r="N41" s="3">
        <v>24</v>
      </c>
      <c r="O41" s="20">
        <f aca="true" t="shared" si="4" ref="O41:O52">M41+N41</f>
        <v>24</v>
      </c>
      <c r="P41" s="3">
        <v>24</v>
      </c>
      <c r="Q41" s="20">
        <f t="shared" si="0"/>
        <v>100</v>
      </c>
      <c r="R41" s="461">
        <v>0</v>
      </c>
      <c r="S41" s="21">
        <f t="shared" si="1"/>
        <v>24</v>
      </c>
      <c r="T41" s="20">
        <v>21</v>
      </c>
      <c r="U41" s="483">
        <f t="shared" si="2"/>
        <v>87.5</v>
      </c>
      <c r="V41" s="85">
        <v>36</v>
      </c>
    </row>
    <row r="42" spans="6:22" ht="15">
      <c r="F42" s="2" t="s">
        <v>117</v>
      </c>
      <c r="L42" s="2" t="s">
        <v>387</v>
      </c>
      <c r="M42" s="3">
        <v>0</v>
      </c>
      <c r="N42" s="3">
        <v>0</v>
      </c>
      <c r="O42" s="20">
        <f t="shared" si="4"/>
        <v>0</v>
      </c>
      <c r="P42" s="3">
        <v>432</v>
      </c>
      <c r="Q42" s="20">
        <v>0</v>
      </c>
      <c r="R42" s="461">
        <v>0</v>
      </c>
      <c r="S42" s="21">
        <f t="shared" si="1"/>
        <v>0</v>
      </c>
      <c r="T42" s="20">
        <v>432</v>
      </c>
      <c r="U42" s="483">
        <v>0</v>
      </c>
      <c r="V42" s="85">
        <v>432</v>
      </c>
    </row>
    <row r="43" spans="6:22" ht="15">
      <c r="F43" s="2" t="s">
        <v>118</v>
      </c>
      <c r="L43" s="2" t="s">
        <v>442</v>
      </c>
      <c r="M43" s="3">
        <v>0</v>
      </c>
      <c r="N43" s="3">
        <v>82330</v>
      </c>
      <c r="O43" s="20">
        <f t="shared" si="4"/>
        <v>82330</v>
      </c>
      <c r="P43" s="85">
        <v>81962</v>
      </c>
      <c r="Q43" s="20">
        <f t="shared" si="0"/>
        <v>99.55301834082351</v>
      </c>
      <c r="R43" s="461">
        <v>-368</v>
      </c>
      <c r="S43" s="21">
        <f t="shared" si="1"/>
        <v>81962</v>
      </c>
      <c r="T43" s="20">
        <v>81962</v>
      </c>
      <c r="U43" s="483">
        <f t="shared" si="2"/>
        <v>100</v>
      </c>
      <c r="V43" s="85">
        <v>0</v>
      </c>
    </row>
    <row r="44" spans="6:22" ht="15">
      <c r="F44" s="2" t="s">
        <v>378</v>
      </c>
      <c r="L44" s="2" t="s">
        <v>388</v>
      </c>
      <c r="M44" s="3">
        <v>0</v>
      </c>
      <c r="N44" s="3">
        <v>0</v>
      </c>
      <c r="O44" s="20">
        <f t="shared" si="4"/>
        <v>0</v>
      </c>
      <c r="P44" s="3">
        <v>0</v>
      </c>
      <c r="Q44" s="20">
        <v>0</v>
      </c>
      <c r="R44" s="461">
        <v>0</v>
      </c>
      <c r="S44" s="21">
        <f t="shared" si="1"/>
        <v>0</v>
      </c>
      <c r="T44" s="20">
        <v>4491</v>
      </c>
      <c r="U44" s="483">
        <v>0</v>
      </c>
      <c r="V44" s="85">
        <v>4491</v>
      </c>
    </row>
    <row r="45" spans="6:22" ht="15">
      <c r="F45" s="2" t="s">
        <v>379</v>
      </c>
      <c r="L45" s="2" t="s">
        <v>392</v>
      </c>
      <c r="M45" s="3">
        <v>0</v>
      </c>
      <c r="N45" s="3">
        <v>0</v>
      </c>
      <c r="O45" s="20">
        <f t="shared" si="4"/>
        <v>0</v>
      </c>
      <c r="P45" s="3">
        <v>0</v>
      </c>
      <c r="Q45" s="20">
        <v>0</v>
      </c>
      <c r="R45" s="461">
        <v>0</v>
      </c>
      <c r="S45" s="21">
        <f t="shared" si="1"/>
        <v>0</v>
      </c>
      <c r="T45" s="20">
        <v>0</v>
      </c>
      <c r="U45" s="483">
        <v>0</v>
      </c>
      <c r="V45" s="85">
        <v>0</v>
      </c>
    </row>
    <row r="46" spans="6:22" ht="15">
      <c r="F46" s="2" t="s">
        <v>380</v>
      </c>
      <c r="L46" s="2" t="s">
        <v>389</v>
      </c>
      <c r="M46" s="3">
        <v>0</v>
      </c>
      <c r="N46" s="3">
        <v>0</v>
      </c>
      <c r="O46" s="20">
        <f t="shared" si="4"/>
        <v>0</v>
      </c>
      <c r="P46" s="3">
        <v>0</v>
      </c>
      <c r="Q46" s="20">
        <v>0</v>
      </c>
      <c r="R46" s="461">
        <v>0</v>
      </c>
      <c r="S46" s="21">
        <f t="shared" si="1"/>
        <v>0</v>
      </c>
      <c r="T46" s="20">
        <v>0</v>
      </c>
      <c r="U46" s="483">
        <v>0</v>
      </c>
      <c r="V46" s="85">
        <v>545</v>
      </c>
    </row>
    <row r="47" spans="6:22" ht="15">
      <c r="F47" s="2" t="s">
        <v>381</v>
      </c>
      <c r="L47" s="2" t="s">
        <v>393</v>
      </c>
      <c r="M47" s="3">
        <v>0</v>
      </c>
      <c r="N47" s="3">
        <v>362</v>
      </c>
      <c r="O47" s="20">
        <f t="shared" si="4"/>
        <v>362</v>
      </c>
      <c r="P47" s="3">
        <v>1064</v>
      </c>
      <c r="Q47" s="20">
        <f t="shared" si="0"/>
        <v>293.9226519337017</v>
      </c>
      <c r="R47" s="461">
        <v>4371</v>
      </c>
      <c r="S47" s="21">
        <f t="shared" si="1"/>
        <v>4733</v>
      </c>
      <c r="T47" s="20">
        <v>4427</v>
      </c>
      <c r="U47" s="483">
        <f t="shared" si="2"/>
        <v>93.53475596873018</v>
      </c>
      <c r="V47" s="85">
        <v>4329</v>
      </c>
    </row>
    <row r="48" spans="6:22" ht="15">
      <c r="F48" s="2" t="s">
        <v>390</v>
      </c>
      <c r="L48" s="2" t="s">
        <v>319</v>
      </c>
      <c r="M48" s="3">
        <v>13348</v>
      </c>
      <c r="N48" s="3">
        <v>0</v>
      </c>
      <c r="O48" s="20">
        <f t="shared" si="4"/>
        <v>13348</v>
      </c>
      <c r="P48" s="3">
        <v>1413</v>
      </c>
      <c r="Q48" s="20">
        <f t="shared" si="0"/>
        <v>10.585855558885227</v>
      </c>
      <c r="R48" s="461">
        <v>0</v>
      </c>
      <c r="S48" s="21">
        <f t="shared" si="1"/>
        <v>13348</v>
      </c>
      <c r="T48" s="20">
        <v>5436</v>
      </c>
      <c r="U48" s="483">
        <f t="shared" si="2"/>
        <v>40.72520227749475</v>
      </c>
      <c r="V48" s="85">
        <v>0</v>
      </c>
    </row>
    <row r="49" spans="6:22" ht="15">
      <c r="F49" s="2" t="s">
        <v>391</v>
      </c>
      <c r="L49" s="2" t="s">
        <v>394</v>
      </c>
      <c r="M49" s="3">
        <v>5218</v>
      </c>
      <c r="N49" s="20">
        <v>0</v>
      </c>
      <c r="O49" s="20">
        <f t="shared" si="4"/>
        <v>5218</v>
      </c>
      <c r="P49" s="20">
        <v>1327</v>
      </c>
      <c r="Q49" s="111">
        <f t="shared" si="0"/>
        <v>25.431199693369106</v>
      </c>
      <c r="R49" s="461">
        <v>-1</v>
      </c>
      <c r="S49" s="21">
        <f t="shared" si="1"/>
        <v>5217</v>
      </c>
      <c r="T49" s="3">
        <v>2653</v>
      </c>
      <c r="U49" s="484">
        <f t="shared" si="2"/>
        <v>50.85298064021468</v>
      </c>
      <c r="V49" s="85">
        <v>0</v>
      </c>
    </row>
    <row r="50" spans="6:21" ht="15">
      <c r="F50" s="2" t="s">
        <v>505</v>
      </c>
      <c r="L50" s="2" t="s">
        <v>506</v>
      </c>
      <c r="M50" s="3">
        <v>55910</v>
      </c>
      <c r="N50" s="20"/>
      <c r="O50" s="20"/>
      <c r="P50" s="20"/>
      <c r="Q50" s="111"/>
      <c r="S50" s="21"/>
      <c r="U50" s="484"/>
    </row>
    <row r="51" spans="1:22" s="16" customFormat="1" ht="15.75">
      <c r="A51" s="13"/>
      <c r="B51" s="13"/>
      <c r="C51" s="13"/>
      <c r="D51" s="13"/>
      <c r="E51" s="13" t="s">
        <v>113</v>
      </c>
      <c r="F51" s="14"/>
      <c r="G51" s="14"/>
      <c r="H51" s="14"/>
      <c r="I51" s="14"/>
      <c r="J51" s="14"/>
      <c r="K51" s="14" t="s">
        <v>89</v>
      </c>
      <c r="L51" s="14"/>
      <c r="M51" s="15">
        <f>SUM(M41:M50)</f>
        <v>74476</v>
      </c>
      <c r="N51" s="263">
        <f>SUM(N41:N49)</f>
        <v>82716</v>
      </c>
      <c r="O51" s="263">
        <f>M51+N51</f>
        <v>157192</v>
      </c>
      <c r="P51" s="263">
        <f>SUM(P41:P49)</f>
        <v>86222</v>
      </c>
      <c r="Q51" s="407">
        <f t="shared" si="0"/>
        <v>54.85139192834241</v>
      </c>
      <c r="R51" s="418">
        <f>SUM(R41:R49)</f>
        <v>4002</v>
      </c>
      <c r="S51" s="418">
        <f t="shared" si="1"/>
        <v>161194</v>
      </c>
      <c r="T51" s="260">
        <f>SUM(T41:T49)</f>
        <v>99422</v>
      </c>
      <c r="U51" s="489">
        <f t="shared" si="2"/>
        <v>61.67847438490266</v>
      </c>
      <c r="V51" s="263">
        <f>SUM(V41:V49)</f>
        <v>9833</v>
      </c>
    </row>
    <row r="52" spans="1:22" ht="15.75">
      <c r="A52" s="13"/>
      <c r="B52" s="13"/>
      <c r="C52" s="13" t="s">
        <v>106</v>
      </c>
      <c r="D52" s="13"/>
      <c r="E52" s="14"/>
      <c r="F52" s="14"/>
      <c r="G52" s="14"/>
      <c r="H52" s="14"/>
      <c r="I52" s="14" t="s">
        <v>121</v>
      </c>
      <c r="J52" s="14"/>
      <c r="K52" s="14"/>
      <c r="L52" s="14"/>
      <c r="M52" s="15">
        <f>M39+M51</f>
        <v>707633</v>
      </c>
      <c r="N52" s="263">
        <f>N39+N51</f>
        <v>105527</v>
      </c>
      <c r="O52" s="263">
        <f t="shared" si="4"/>
        <v>813160</v>
      </c>
      <c r="P52" s="263">
        <f>P39+P51</f>
        <v>160935</v>
      </c>
      <c r="Q52" s="407">
        <f t="shared" si="0"/>
        <v>19.791307983668652</v>
      </c>
      <c r="R52" s="418">
        <f>R39+R51</f>
        <v>47930</v>
      </c>
      <c r="S52" s="418">
        <f t="shared" si="1"/>
        <v>861090</v>
      </c>
      <c r="T52" s="263" t="e">
        <f>T39+T51+#REF!</f>
        <v>#REF!</v>
      </c>
      <c r="U52" s="489" t="e">
        <f t="shared" si="2"/>
        <v>#REF!</v>
      </c>
      <c r="V52" s="263" t="e">
        <f>V39+V51+#REF!</f>
        <v>#REF!</v>
      </c>
    </row>
    <row r="53" spans="3:21" ht="15">
      <c r="C53" s="1" t="s">
        <v>122</v>
      </c>
      <c r="I53" s="2" t="s">
        <v>123</v>
      </c>
      <c r="O53" s="20"/>
      <c r="Q53" s="20"/>
      <c r="S53" s="21"/>
      <c r="U53" s="483"/>
    </row>
    <row r="54" spans="4:22" ht="15">
      <c r="D54" s="1" t="s">
        <v>74</v>
      </c>
      <c r="J54" s="2" t="s">
        <v>124</v>
      </c>
      <c r="M54" s="3">
        <v>5000</v>
      </c>
      <c r="N54" s="3">
        <v>0</v>
      </c>
      <c r="O54" s="20">
        <f>M54+N54</f>
        <v>5000</v>
      </c>
      <c r="P54" s="85">
        <v>0</v>
      </c>
      <c r="Q54" s="20">
        <f t="shared" si="0"/>
        <v>0</v>
      </c>
      <c r="R54" s="461">
        <v>0</v>
      </c>
      <c r="S54" s="21">
        <f t="shared" si="1"/>
        <v>5000</v>
      </c>
      <c r="T54" s="20">
        <v>0</v>
      </c>
      <c r="U54" s="483">
        <f t="shared" si="2"/>
        <v>0</v>
      </c>
      <c r="V54" s="85">
        <v>0</v>
      </c>
    </row>
    <row r="55" spans="4:22" ht="15">
      <c r="D55" s="1" t="s">
        <v>79</v>
      </c>
      <c r="J55" s="2" t="s">
        <v>125</v>
      </c>
      <c r="M55" s="3">
        <v>69561</v>
      </c>
      <c r="N55" s="3">
        <v>0</v>
      </c>
      <c r="O55" s="20">
        <f>M55+N55</f>
        <v>69561</v>
      </c>
      <c r="P55" s="85">
        <v>10225</v>
      </c>
      <c r="Q55" s="20">
        <f t="shared" si="0"/>
        <v>14.699328646799211</v>
      </c>
      <c r="R55" s="461">
        <v>-30969</v>
      </c>
      <c r="S55" s="21">
        <f t="shared" si="1"/>
        <v>38592</v>
      </c>
      <c r="T55" s="20">
        <v>1800</v>
      </c>
      <c r="U55" s="483">
        <f t="shared" si="2"/>
        <v>4.664179104477612</v>
      </c>
      <c r="V55" s="85">
        <v>0</v>
      </c>
    </row>
    <row r="56" spans="4:22" ht="15">
      <c r="D56" s="1" t="s">
        <v>126</v>
      </c>
      <c r="J56" s="2" t="s">
        <v>127</v>
      </c>
      <c r="M56" s="3">
        <v>12000</v>
      </c>
      <c r="N56" s="111">
        <v>0</v>
      </c>
      <c r="O56" s="111">
        <f>M56+N56</f>
        <v>12000</v>
      </c>
      <c r="P56" s="264">
        <v>0</v>
      </c>
      <c r="Q56" s="111">
        <f t="shared" si="0"/>
        <v>0</v>
      </c>
      <c r="R56" s="461">
        <v>0</v>
      </c>
      <c r="S56" s="21">
        <f t="shared" si="1"/>
        <v>12000</v>
      </c>
      <c r="T56" s="111">
        <v>0</v>
      </c>
      <c r="U56" s="484">
        <f t="shared" si="2"/>
        <v>0</v>
      </c>
      <c r="V56" s="85">
        <v>235</v>
      </c>
    </row>
    <row r="57" spans="1:22" ht="15.75">
      <c r="A57" s="13"/>
      <c r="B57" s="13"/>
      <c r="C57" s="13" t="s">
        <v>122</v>
      </c>
      <c r="D57" s="13"/>
      <c r="E57" s="14"/>
      <c r="F57" s="14"/>
      <c r="G57" s="14"/>
      <c r="H57" s="14"/>
      <c r="I57" s="14" t="s">
        <v>128</v>
      </c>
      <c r="J57" s="14"/>
      <c r="K57" s="14"/>
      <c r="L57" s="14"/>
      <c r="M57" s="15">
        <f>SUM(M54:M56)</f>
        <v>86561</v>
      </c>
      <c r="N57" s="263">
        <v>0</v>
      </c>
      <c r="O57" s="263">
        <f>M57+N57</f>
        <v>86561</v>
      </c>
      <c r="P57" s="263">
        <f>SUM(P54:P56)</f>
        <v>10225</v>
      </c>
      <c r="Q57" s="407">
        <f t="shared" si="0"/>
        <v>11.812479061009</v>
      </c>
      <c r="R57" s="418">
        <f>SUM(R54:R56)</f>
        <v>-30969</v>
      </c>
      <c r="S57" s="418">
        <f t="shared" si="1"/>
        <v>55592</v>
      </c>
      <c r="T57" s="407">
        <f>SUM(T54:T56)</f>
        <v>1800</v>
      </c>
      <c r="U57" s="489">
        <f t="shared" si="2"/>
        <v>3.2378759533745862</v>
      </c>
      <c r="V57" s="263">
        <f>SUM(V54:V56)</f>
        <v>235</v>
      </c>
    </row>
    <row r="58" spans="1:22" s="16" customFormat="1" ht="15.75">
      <c r="A58" s="4"/>
      <c r="B58" s="4"/>
      <c r="C58" s="17" t="s">
        <v>129</v>
      </c>
      <c r="D58" s="4"/>
      <c r="E58" s="26"/>
      <c r="F58" s="26"/>
      <c r="G58" s="26"/>
      <c r="H58" s="26"/>
      <c r="I58" s="19" t="s">
        <v>130</v>
      </c>
      <c r="J58" s="26"/>
      <c r="K58" s="26"/>
      <c r="L58" s="26"/>
      <c r="M58" s="23"/>
      <c r="N58" s="23"/>
      <c r="O58" s="20"/>
      <c r="P58" s="23"/>
      <c r="Q58" s="20"/>
      <c r="R58" s="464"/>
      <c r="S58" s="21"/>
      <c r="T58" s="23"/>
      <c r="U58" s="483"/>
      <c r="V58" s="85"/>
    </row>
    <row r="59" spans="1:22" s="16" customFormat="1" ht="15.75">
      <c r="A59" s="4"/>
      <c r="B59" s="4"/>
      <c r="C59" s="4"/>
      <c r="D59" s="17" t="s">
        <v>74</v>
      </c>
      <c r="E59" s="19"/>
      <c r="F59" s="19"/>
      <c r="G59" s="19"/>
      <c r="H59" s="19"/>
      <c r="I59" s="19"/>
      <c r="J59" s="19" t="s">
        <v>131</v>
      </c>
      <c r="K59" s="19"/>
      <c r="L59" s="19"/>
      <c r="M59" s="85">
        <v>62194</v>
      </c>
      <c r="N59" s="85">
        <v>406</v>
      </c>
      <c r="O59" s="20">
        <f>M59+N59</f>
        <v>62600</v>
      </c>
      <c r="P59" s="85">
        <v>124427</v>
      </c>
      <c r="Q59" s="20">
        <f t="shared" si="0"/>
        <v>198.76517571884983</v>
      </c>
      <c r="R59" s="465">
        <v>396041</v>
      </c>
      <c r="S59" s="21">
        <f t="shared" si="1"/>
        <v>458641</v>
      </c>
      <c r="T59" s="363">
        <v>230207</v>
      </c>
      <c r="U59" s="483">
        <f t="shared" si="2"/>
        <v>50.193288432564906</v>
      </c>
      <c r="V59" s="85">
        <v>4847</v>
      </c>
    </row>
    <row r="60" spans="1:22" s="16" customFormat="1" ht="15.75">
      <c r="A60" s="4"/>
      <c r="B60" s="4"/>
      <c r="C60" s="4"/>
      <c r="D60" s="17" t="s">
        <v>79</v>
      </c>
      <c r="E60" s="19"/>
      <c r="F60" s="19"/>
      <c r="G60" s="19"/>
      <c r="H60" s="19"/>
      <c r="I60" s="19"/>
      <c r="J60" s="27" t="s">
        <v>132</v>
      </c>
      <c r="L60" s="19"/>
      <c r="M60" s="85">
        <v>462607</v>
      </c>
      <c r="N60" s="264">
        <v>264409</v>
      </c>
      <c r="O60" s="111">
        <f>M60+N60</f>
        <v>727016</v>
      </c>
      <c r="P60" s="264">
        <v>196697</v>
      </c>
      <c r="Q60" s="111">
        <f t="shared" si="0"/>
        <v>27.055388051982348</v>
      </c>
      <c r="R60" s="465">
        <v>1960162</v>
      </c>
      <c r="S60" s="21">
        <f t="shared" si="1"/>
        <v>2687178</v>
      </c>
      <c r="T60" s="264">
        <v>492303</v>
      </c>
      <c r="U60" s="484">
        <f t="shared" si="2"/>
        <v>18.320446207880533</v>
      </c>
      <c r="V60" s="85">
        <v>41255</v>
      </c>
    </row>
    <row r="61" spans="1:22" s="16" customFormat="1" ht="15.75">
      <c r="A61" s="13"/>
      <c r="B61" s="13"/>
      <c r="C61" s="13" t="s">
        <v>129</v>
      </c>
      <c r="D61" s="28"/>
      <c r="E61" s="24"/>
      <c r="F61" s="24"/>
      <c r="G61" s="24"/>
      <c r="H61" s="24"/>
      <c r="I61" s="14" t="s">
        <v>133</v>
      </c>
      <c r="J61" s="24"/>
      <c r="K61" s="24"/>
      <c r="L61" s="24"/>
      <c r="M61" s="15">
        <f>SUM(M59:M60)</f>
        <v>524801</v>
      </c>
      <c r="N61" s="263">
        <f>SUM(N59:N60)</f>
        <v>264815</v>
      </c>
      <c r="O61" s="263">
        <f>M61+N61</f>
        <v>789616</v>
      </c>
      <c r="P61" s="260">
        <f>SUM(P59:P60)</f>
        <v>321124</v>
      </c>
      <c r="Q61" s="407">
        <f t="shared" si="0"/>
        <v>40.668375514173974</v>
      </c>
      <c r="R61" s="418">
        <f>SUM(R59:R60)</f>
        <v>2356203</v>
      </c>
      <c r="S61" s="418">
        <f t="shared" si="1"/>
        <v>3145819</v>
      </c>
      <c r="T61" s="263">
        <f>SUM(T59:T60)</f>
        <v>722510</v>
      </c>
      <c r="U61" s="489">
        <f t="shared" si="2"/>
        <v>22.96730994376981</v>
      </c>
      <c r="V61" s="263">
        <f>SUM(V59:V60)</f>
        <v>46102</v>
      </c>
    </row>
    <row r="62" spans="1:22" s="16" customFormat="1" ht="15.75">
      <c r="A62" s="1"/>
      <c r="B62" s="1"/>
      <c r="C62" s="1" t="s">
        <v>134</v>
      </c>
      <c r="D62" s="1"/>
      <c r="E62" s="1"/>
      <c r="F62" s="2"/>
      <c r="G62" s="2"/>
      <c r="H62" s="2"/>
      <c r="I62" s="2" t="s">
        <v>135</v>
      </c>
      <c r="J62" s="2"/>
      <c r="K62" s="2"/>
      <c r="L62" s="2"/>
      <c r="M62" s="23"/>
      <c r="N62" s="23"/>
      <c r="O62" s="20"/>
      <c r="P62" s="23"/>
      <c r="Q62" s="20"/>
      <c r="R62" s="464"/>
      <c r="S62" s="21"/>
      <c r="T62" s="23"/>
      <c r="U62" s="483"/>
      <c r="V62" s="85"/>
    </row>
    <row r="63" spans="1:22" s="16" customFormat="1" ht="15.75">
      <c r="A63" s="1"/>
      <c r="B63" s="1"/>
      <c r="C63" s="1"/>
      <c r="D63" s="1" t="s">
        <v>74</v>
      </c>
      <c r="E63" s="1"/>
      <c r="F63" s="2"/>
      <c r="G63" s="2"/>
      <c r="H63" s="2"/>
      <c r="I63" s="2"/>
      <c r="J63" s="2" t="s">
        <v>136</v>
      </c>
      <c r="K63" s="2"/>
      <c r="L63" s="2"/>
      <c r="M63" s="85">
        <v>0</v>
      </c>
      <c r="N63" s="85">
        <v>0</v>
      </c>
      <c r="O63" s="20">
        <f>M63+N63</f>
        <v>0</v>
      </c>
      <c r="P63" s="85">
        <v>7449</v>
      </c>
      <c r="Q63" s="20">
        <v>0</v>
      </c>
      <c r="R63" s="465">
        <v>8449</v>
      </c>
      <c r="S63" s="21">
        <f t="shared" si="1"/>
        <v>8449</v>
      </c>
      <c r="T63" s="363">
        <v>7449</v>
      </c>
      <c r="U63" s="483">
        <f t="shared" si="2"/>
        <v>88.16427979642562</v>
      </c>
      <c r="V63" s="85">
        <v>0</v>
      </c>
    </row>
    <row r="64" spans="1:22" s="16" customFormat="1" ht="15.75">
      <c r="A64" s="1"/>
      <c r="B64" s="1"/>
      <c r="C64" s="1"/>
      <c r="D64" s="1" t="s">
        <v>79</v>
      </c>
      <c r="E64" s="1"/>
      <c r="F64" s="2"/>
      <c r="G64" s="2"/>
      <c r="H64" s="2"/>
      <c r="I64" s="2"/>
      <c r="J64" s="2" t="s">
        <v>137</v>
      </c>
      <c r="K64" s="2"/>
      <c r="L64" s="2"/>
      <c r="M64" s="85">
        <v>500</v>
      </c>
      <c r="N64" s="264">
        <v>0</v>
      </c>
      <c r="O64" s="111">
        <f>M64+N64</f>
        <v>500</v>
      </c>
      <c r="P64" s="264">
        <v>148</v>
      </c>
      <c r="Q64" s="111">
        <f t="shared" si="0"/>
        <v>29.599999999999998</v>
      </c>
      <c r="R64" s="465">
        <v>0</v>
      </c>
      <c r="S64" s="21">
        <f t="shared" si="1"/>
        <v>500</v>
      </c>
      <c r="T64" s="264">
        <v>3266</v>
      </c>
      <c r="U64" s="484">
        <f t="shared" si="2"/>
        <v>653.2</v>
      </c>
      <c r="V64" s="85">
        <v>0</v>
      </c>
    </row>
    <row r="65" spans="1:22" s="421" customFormat="1" ht="15.75">
      <c r="A65" s="415"/>
      <c r="B65" s="415"/>
      <c r="C65" s="415" t="s">
        <v>134</v>
      </c>
      <c r="D65" s="415"/>
      <c r="E65" s="416"/>
      <c r="F65" s="416"/>
      <c r="G65" s="416"/>
      <c r="H65" s="416"/>
      <c r="I65" s="416" t="s">
        <v>138</v>
      </c>
      <c r="J65" s="416"/>
      <c r="K65" s="416"/>
      <c r="L65" s="416"/>
      <c r="M65" s="417">
        <f>SUM(M63:M64)</f>
        <v>500</v>
      </c>
      <c r="N65" s="418">
        <v>0</v>
      </c>
      <c r="O65" s="418">
        <f>M65+N65</f>
        <v>500</v>
      </c>
      <c r="P65" s="419">
        <f>SUM(P63:P64)</f>
        <v>7597</v>
      </c>
      <c r="Q65" s="420">
        <f t="shared" si="0"/>
        <v>1519.4</v>
      </c>
      <c r="R65" s="418">
        <f>SUM(R63:R64)</f>
        <v>8449</v>
      </c>
      <c r="S65" s="418">
        <f t="shared" si="1"/>
        <v>8949</v>
      </c>
      <c r="T65" s="419">
        <f>SUM(T63:T64)</f>
        <v>10715</v>
      </c>
      <c r="U65" s="489">
        <f t="shared" si="2"/>
        <v>119.73404849703877</v>
      </c>
      <c r="V65" s="418">
        <f>SUM(V63:V64)</f>
        <v>0</v>
      </c>
    </row>
    <row r="66" spans="3:21" ht="15">
      <c r="C66" s="1" t="s">
        <v>139</v>
      </c>
      <c r="I66" s="2" t="s">
        <v>140</v>
      </c>
      <c r="O66" s="20"/>
      <c r="Q66" s="20"/>
      <c r="S66" s="21"/>
      <c r="U66" s="483"/>
    </row>
    <row r="67" spans="4:22" ht="15">
      <c r="D67" s="1" t="s">
        <v>74</v>
      </c>
      <c r="J67" s="2" t="s">
        <v>141</v>
      </c>
      <c r="M67" s="3">
        <v>3100</v>
      </c>
      <c r="N67" s="3">
        <v>0</v>
      </c>
      <c r="O67" s="20">
        <f>M67+N67</f>
        <v>3100</v>
      </c>
      <c r="P67" s="3">
        <v>2934</v>
      </c>
      <c r="Q67" s="20">
        <f t="shared" si="0"/>
        <v>94.64516129032258</v>
      </c>
      <c r="R67" s="461">
        <v>0</v>
      </c>
      <c r="S67" s="21">
        <f t="shared" si="1"/>
        <v>3100</v>
      </c>
      <c r="T67" s="363">
        <v>3735</v>
      </c>
      <c r="U67" s="483">
        <f t="shared" si="2"/>
        <v>120.48387096774194</v>
      </c>
      <c r="V67" s="85">
        <v>1946</v>
      </c>
    </row>
    <row r="68" spans="4:22" ht="15">
      <c r="D68" s="1" t="s">
        <v>79</v>
      </c>
      <c r="J68" s="2" t="s">
        <v>142</v>
      </c>
      <c r="M68" s="3">
        <v>0</v>
      </c>
      <c r="N68" s="111">
        <v>0</v>
      </c>
      <c r="O68" s="111">
        <f>M68+N68</f>
        <v>0</v>
      </c>
      <c r="P68" s="111">
        <v>0</v>
      </c>
      <c r="Q68" s="111">
        <v>0</v>
      </c>
      <c r="R68" s="461">
        <v>0</v>
      </c>
      <c r="S68" s="21">
        <f t="shared" si="1"/>
        <v>0</v>
      </c>
      <c r="T68" s="264">
        <v>0</v>
      </c>
      <c r="U68" s="484">
        <v>0</v>
      </c>
      <c r="V68" s="85">
        <v>0</v>
      </c>
    </row>
    <row r="69" spans="1:22" s="16" customFormat="1" ht="15.75">
      <c r="A69" s="13"/>
      <c r="B69" s="13"/>
      <c r="C69" s="13" t="s">
        <v>139</v>
      </c>
      <c r="D69" s="13"/>
      <c r="E69" s="14"/>
      <c r="F69" s="14"/>
      <c r="G69" s="14"/>
      <c r="H69" s="14"/>
      <c r="I69" s="14" t="s">
        <v>143</v>
      </c>
      <c r="J69" s="14"/>
      <c r="K69" s="14"/>
      <c r="L69" s="14"/>
      <c r="M69" s="15">
        <f>SUM(M67:M68)</f>
        <v>3100</v>
      </c>
      <c r="N69" s="263">
        <v>0</v>
      </c>
      <c r="O69" s="263">
        <f>M69+N69</f>
        <v>3100</v>
      </c>
      <c r="P69" s="260">
        <f>SUM(P67:P68)</f>
        <v>2934</v>
      </c>
      <c r="Q69" s="407">
        <f t="shared" si="0"/>
        <v>94.64516129032258</v>
      </c>
      <c r="R69" s="418">
        <v>0</v>
      </c>
      <c r="S69" s="418">
        <f t="shared" si="1"/>
        <v>3100</v>
      </c>
      <c r="T69" s="495">
        <f>SUM(T67:T68)</f>
        <v>3735</v>
      </c>
      <c r="U69" s="489">
        <f t="shared" si="2"/>
        <v>120.48387096774194</v>
      </c>
      <c r="V69" s="263">
        <f>SUM(V67:V68)</f>
        <v>1946</v>
      </c>
    </row>
    <row r="70" spans="1:22" s="16" customFormat="1" ht="15.75">
      <c r="A70" s="13" t="s">
        <v>74</v>
      </c>
      <c r="B70" s="13"/>
      <c r="C70" s="13"/>
      <c r="D70" s="13"/>
      <c r="E70" s="13"/>
      <c r="F70" s="14"/>
      <c r="G70" s="14"/>
      <c r="H70" s="14" t="s">
        <v>144</v>
      </c>
      <c r="I70" s="14"/>
      <c r="J70" s="14"/>
      <c r="K70" s="14"/>
      <c r="L70" s="14"/>
      <c r="M70" s="15">
        <f>SUM(M31+M52+M57+M61+M65+M69)</f>
        <v>2180125</v>
      </c>
      <c r="N70" s="263">
        <f>N31+N52+N57+N61</f>
        <v>370342</v>
      </c>
      <c r="O70" s="263">
        <f>M70+N70</f>
        <v>2550467</v>
      </c>
      <c r="P70" s="260">
        <f>P31+P52+P57+P61+P65+P69</f>
        <v>825376</v>
      </c>
      <c r="Q70" s="407">
        <f t="shared" si="0"/>
        <v>32.361759630687246</v>
      </c>
      <c r="R70" s="418">
        <f>R31+R52+R57+R61+R65+R69</f>
        <v>2450090</v>
      </c>
      <c r="S70" s="418">
        <f t="shared" si="1"/>
        <v>5000557</v>
      </c>
      <c r="T70" s="263" t="e">
        <f>T31+T52+T57+T61+T65+T69</f>
        <v>#REF!</v>
      </c>
      <c r="U70" s="489" t="e">
        <f t="shared" si="2"/>
        <v>#REF!</v>
      </c>
      <c r="V70" s="263" t="e">
        <f>V31+V52+V57+V61+V65+V69</f>
        <v>#REF!</v>
      </c>
    </row>
    <row r="71" spans="1:21" ht="15">
      <c r="A71" s="17" t="s">
        <v>79</v>
      </c>
      <c r="B71" s="17"/>
      <c r="C71" s="17"/>
      <c r="D71" s="17"/>
      <c r="E71" s="17"/>
      <c r="F71" s="19"/>
      <c r="G71" s="19" t="s">
        <v>145</v>
      </c>
      <c r="H71" s="19"/>
      <c r="I71" s="19"/>
      <c r="J71" s="19"/>
      <c r="K71" s="19"/>
      <c r="L71" s="19"/>
      <c r="O71" s="20"/>
      <c r="Q71" s="20"/>
      <c r="S71" s="21"/>
      <c r="U71" s="483"/>
    </row>
    <row r="72" spans="1:22" s="16" customFormat="1" ht="15.75">
      <c r="A72" s="1"/>
      <c r="B72" s="1"/>
      <c r="C72" s="1" t="s">
        <v>76</v>
      </c>
      <c r="D72" s="1"/>
      <c r="E72" s="1"/>
      <c r="F72" s="2"/>
      <c r="G72" s="2"/>
      <c r="H72" s="2"/>
      <c r="I72" s="2" t="s">
        <v>77</v>
      </c>
      <c r="J72" s="2"/>
      <c r="K72" s="2"/>
      <c r="L72" s="2"/>
      <c r="M72" s="23"/>
      <c r="N72" s="23"/>
      <c r="O72" s="20"/>
      <c r="P72" s="23"/>
      <c r="Q72" s="20"/>
      <c r="R72" s="464"/>
      <c r="S72" s="21"/>
      <c r="T72" s="23"/>
      <c r="U72" s="483"/>
      <c r="V72" s="85"/>
    </row>
    <row r="73" spans="1:22" s="16" customFormat="1" ht="15.75">
      <c r="A73" s="1"/>
      <c r="B73" s="1"/>
      <c r="C73" s="1"/>
      <c r="D73" s="1" t="s">
        <v>74</v>
      </c>
      <c r="E73" s="1"/>
      <c r="F73" s="2"/>
      <c r="G73" s="2"/>
      <c r="H73" s="2"/>
      <c r="I73" s="2"/>
      <c r="J73" s="2" t="s">
        <v>146</v>
      </c>
      <c r="K73" s="2"/>
      <c r="L73" s="2"/>
      <c r="M73" s="85">
        <v>11090</v>
      </c>
      <c r="N73" s="264">
        <v>0</v>
      </c>
      <c r="O73" s="111">
        <f aca="true" t="shared" si="5" ref="O73:O78">M73+N73</f>
        <v>11090</v>
      </c>
      <c r="P73" s="264">
        <v>3203</v>
      </c>
      <c r="Q73" s="111">
        <f t="shared" si="0"/>
        <v>28.881875563570787</v>
      </c>
      <c r="R73" s="461">
        <v>4688</v>
      </c>
      <c r="S73" s="21">
        <f>O73+R73</f>
        <v>15778</v>
      </c>
      <c r="T73" s="85">
        <v>10207</v>
      </c>
      <c r="U73" s="484">
        <f t="shared" si="2"/>
        <v>64.6913423754595</v>
      </c>
      <c r="V73" s="85">
        <v>3640</v>
      </c>
    </row>
    <row r="74" spans="1:22" s="16" customFormat="1" ht="15.75">
      <c r="A74" s="13"/>
      <c r="B74" s="13"/>
      <c r="C74" s="13" t="s">
        <v>76</v>
      </c>
      <c r="D74" s="13"/>
      <c r="E74" s="13"/>
      <c r="F74" s="14"/>
      <c r="G74" s="14"/>
      <c r="H74" s="14"/>
      <c r="I74" s="14" t="s">
        <v>404</v>
      </c>
      <c r="J74" s="14"/>
      <c r="K74" s="14"/>
      <c r="L74" s="14"/>
      <c r="M74" s="15">
        <f>SUM(M73)</f>
        <v>11090</v>
      </c>
      <c r="N74" s="263">
        <v>0</v>
      </c>
      <c r="O74" s="263">
        <f t="shared" si="5"/>
        <v>11090</v>
      </c>
      <c r="P74" s="263">
        <f>SUM(P73)</f>
        <v>3203</v>
      </c>
      <c r="Q74" s="407">
        <f t="shared" si="0"/>
        <v>28.881875563570787</v>
      </c>
      <c r="R74" s="418">
        <f>SUM(R73)</f>
        <v>4688</v>
      </c>
      <c r="S74" s="418">
        <f t="shared" si="1"/>
        <v>15778</v>
      </c>
      <c r="T74" s="260">
        <f>SUM(T73)</f>
        <v>10207</v>
      </c>
      <c r="U74" s="489">
        <f t="shared" si="2"/>
        <v>64.6913423754595</v>
      </c>
      <c r="V74" s="263">
        <f>SUM(V73)</f>
        <v>3640</v>
      </c>
    </row>
    <row r="75" spans="1:22" s="16" customFormat="1" ht="15.75">
      <c r="A75" s="29"/>
      <c r="B75" s="29"/>
      <c r="C75" s="17" t="s">
        <v>129</v>
      </c>
      <c r="D75" s="4"/>
      <c r="E75" s="26"/>
      <c r="F75" s="26"/>
      <c r="G75" s="26"/>
      <c r="H75" s="26"/>
      <c r="I75" s="19" t="s">
        <v>130</v>
      </c>
      <c r="J75" s="26"/>
      <c r="K75" s="26"/>
      <c r="L75" s="26"/>
      <c r="M75" s="23"/>
      <c r="N75" s="23"/>
      <c r="O75" s="20"/>
      <c r="P75" s="23"/>
      <c r="Q75" s="20"/>
      <c r="R75" s="464"/>
      <c r="S75" s="21"/>
      <c r="T75" s="23"/>
      <c r="U75" s="483"/>
      <c r="V75" s="85"/>
    </row>
    <row r="76" spans="1:22" s="16" customFormat="1" ht="15.75">
      <c r="A76" s="29"/>
      <c r="B76" s="29"/>
      <c r="C76" s="4"/>
      <c r="D76" s="17" t="s">
        <v>74</v>
      </c>
      <c r="E76" s="19"/>
      <c r="F76" s="19"/>
      <c r="G76" s="19"/>
      <c r="H76" s="19"/>
      <c r="I76" s="19"/>
      <c r="J76" s="19" t="s">
        <v>131</v>
      </c>
      <c r="K76" s="19"/>
      <c r="L76" s="19"/>
      <c r="M76" s="85">
        <v>11115</v>
      </c>
      <c r="N76" s="85">
        <v>0</v>
      </c>
      <c r="O76" s="20">
        <f t="shared" si="5"/>
        <v>11115</v>
      </c>
      <c r="P76" s="85">
        <v>365</v>
      </c>
      <c r="Q76" s="20">
        <f t="shared" si="0"/>
        <v>3.283850652271705</v>
      </c>
      <c r="R76" s="465">
        <v>0</v>
      </c>
      <c r="S76" s="21">
        <v>1000</v>
      </c>
      <c r="T76" s="363">
        <v>9194</v>
      </c>
      <c r="U76" s="483">
        <f t="shared" si="2"/>
        <v>919.4000000000001</v>
      </c>
      <c r="V76" s="85">
        <v>11764</v>
      </c>
    </row>
    <row r="77" spans="1:22" s="16" customFormat="1" ht="15.75">
      <c r="A77" s="29"/>
      <c r="B77" s="29"/>
      <c r="C77" s="4"/>
      <c r="D77" s="17" t="s">
        <v>79</v>
      </c>
      <c r="E77" s="19"/>
      <c r="F77" s="19"/>
      <c r="G77" s="19"/>
      <c r="H77" s="19"/>
      <c r="I77" s="19"/>
      <c r="J77" s="27" t="s">
        <v>132</v>
      </c>
      <c r="L77" s="19"/>
      <c r="M77" s="85">
        <v>0</v>
      </c>
      <c r="N77" s="264">
        <v>0</v>
      </c>
      <c r="O77" s="111">
        <f t="shared" si="5"/>
        <v>0</v>
      </c>
      <c r="P77" s="264">
        <v>0</v>
      </c>
      <c r="Q77" s="111">
        <v>0</v>
      </c>
      <c r="R77" s="465">
        <v>0</v>
      </c>
      <c r="S77" s="21">
        <f t="shared" si="1"/>
        <v>0</v>
      </c>
      <c r="T77" s="264">
        <v>0</v>
      </c>
      <c r="U77" s="484">
        <v>0</v>
      </c>
      <c r="V77" s="85">
        <v>0</v>
      </c>
    </row>
    <row r="78" spans="1:22" s="16" customFormat="1" ht="15.75">
      <c r="A78" s="30"/>
      <c r="B78" s="30"/>
      <c r="C78" s="13" t="s">
        <v>129</v>
      </c>
      <c r="D78" s="13"/>
      <c r="E78" s="14"/>
      <c r="F78" s="14"/>
      <c r="G78" s="14"/>
      <c r="H78" s="14"/>
      <c r="I78" s="14" t="s">
        <v>133</v>
      </c>
      <c r="J78" s="14"/>
      <c r="K78" s="14"/>
      <c r="L78" s="14"/>
      <c r="M78" s="31">
        <f>SUM(M76:M77)</f>
        <v>11115</v>
      </c>
      <c r="N78" s="263">
        <v>0</v>
      </c>
      <c r="O78" s="263">
        <f t="shared" si="5"/>
        <v>11115</v>
      </c>
      <c r="P78" s="260">
        <f>SUM(P76:P77)</f>
        <v>365</v>
      </c>
      <c r="Q78" s="407">
        <f t="shared" si="0"/>
        <v>3.283850652271705</v>
      </c>
      <c r="R78" s="418">
        <f>SUM(R76:R77)</f>
        <v>0</v>
      </c>
      <c r="S78" s="418">
        <f t="shared" si="1"/>
        <v>11115</v>
      </c>
      <c r="T78" s="260">
        <f>SUM(T76:T77)</f>
        <v>9194</v>
      </c>
      <c r="U78" s="489">
        <f t="shared" si="2"/>
        <v>82.7170490328385</v>
      </c>
      <c r="V78" s="263">
        <f>SUM(V76:V77)</f>
        <v>11764</v>
      </c>
    </row>
    <row r="79" spans="1:22" s="16" customFormat="1" ht="15.75">
      <c r="A79" s="1"/>
      <c r="B79" s="1"/>
      <c r="C79" s="1" t="s">
        <v>134</v>
      </c>
      <c r="D79" s="1"/>
      <c r="E79" s="1"/>
      <c r="F79" s="2"/>
      <c r="G79" s="2"/>
      <c r="H79" s="2"/>
      <c r="I79" s="2" t="s">
        <v>135</v>
      </c>
      <c r="J79" s="2"/>
      <c r="K79" s="2"/>
      <c r="L79" s="2"/>
      <c r="M79" s="23"/>
      <c r="N79" s="23"/>
      <c r="O79" s="20"/>
      <c r="P79" s="23"/>
      <c r="Q79" s="20"/>
      <c r="R79" s="464"/>
      <c r="S79" s="21"/>
      <c r="T79" s="23"/>
      <c r="U79" s="483"/>
      <c r="V79" s="85"/>
    </row>
    <row r="80" spans="1:22" s="16" customFormat="1" ht="15.75">
      <c r="A80" s="1"/>
      <c r="B80" s="1"/>
      <c r="C80" s="1"/>
      <c r="D80" s="1" t="s">
        <v>74</v>
      </c>
      <c r="E80" s="1"/>
      <c r="F80" s="2"/>
      <c r="G80" s="2"/>
      <c r="H80" s="2"/>
      <c r="I80" s="2"/>
      <c r="J80" s="2" t="s">
        <v>148</v>
      </c>
      <c r="K80" s="2"/>
      <c r="L80" s="2"/>
      <c r="M80" s="85">
        <v>0</v>
      </c>
      <c r="N80" s="85">
        <v>0</v>
      </c>
      <c r="O80" s="20">
        <f>M80+N80</f>
        <v>0</v>
      </c>
      <c r="P80" s="85">
        <v>247</v>
      </c>
      <c r="Q80" s="20">
        <v>0</v>
      </c>
      <c r="R80" s="465">
        <v>0</v>
      </c>
      <c r="S80" s="21">
        <f aca="true" t="shared" si="6" ref="S80:S142">O80+R80</f>
        <v>0</v>
      </c>
      <c r="T80" s="363">
        <v>241</v>
      </c>
      <c r="U80" s="483">
        <v>0</v>
      </c>
      <c r="V80" s="85">
        <v>0</v>
      </c>
    </row>
    <row r="81" spans="1:22" s="16" customFormat="1" ht="15.75">
      <c r="A81" s="1"/>
      <c r="B81" s="1"/>
      <c r="C81" s="1"/>
      <c r="D81" s="1" t="s">
        <v>79</v>
      </c>
      <c r="E81" s="1"/>
      <c r="F81" s="2"/>
      <c r="G81" s="2"/>
      <c r="H81" s="2"/>
      <c r="I81" s="2"/>
      <c r="J81" s="2" t="s">
        <v>149</v>
      </c>
      <c r="K81" s="2"/>
      <c r="L81" s="2"/>
      <c r="M81" s="264">
        <v>0</v>
      </c>
      <c r="N81" s="264">
        <v>0</v>
      </c>
      <c r="O81" s="111">
        <f>M81+N81</f>
        <v>0</v>
      </c>
      <c r="P81" s="264">
        <v>0</v>
      </c>
      <c r="Q81" s="111">
        <v>0</v>
      </c>
      <c r="R81" s="465">
        <v>0</v>
      </c>
      <c r="S81" s="21">
        <f t="shared" si="6"/>
        <v>0</v>
      </c>
      <c r="T81" s="264">
        <v>0</v>
      </c>
      <c r="U81" s="484">
        <v>0</v>
      </c>
      <c r="V81" s="85">
        <v>0</v>
      </c>
    </row>
    <row r="82" spans="1:22" s="16" customFormat="1" ht="15.75">
      <c r="A82" s="13"/>
      <c r="B82" s="13"/>
      <c r="C82" s="13" t="s">
        <v>134</v>
      </c>
      <c r="D82" s="13"/>
      <c r="E82" s="13"/>
      <c r="F82" s="14"/>
      <c r="G82" s="14"/>
      <c r="H82" s="14"/>
      <c r="I82" s="14" t="s">
        <v>405</v>
      </c>
      <c r="J82" s="14"/>
      <c r="K82" s="14"/>
      <c r="L82" s="14"/>
      <c r="M82" s="15">
        <f>SUM(M80:M81)</f>
        <v>0</v>
      </c>
      <c r="N82" s="260">
        <v>0</v>
      </c>
      <c r="O82" s="263">
        <f>M82+N82</f>
        <v>0</v>
      </c>
      <c r="P82" s="263">
        <f>SUM(P80:P81)</f>
        <v>247</v>
      </c>
      <c r="Q82" s="407">
        <v>0</v>
      </c>
      <c r="R82" s="418">
        <v>0</v>
      </c>
      <c r="S82" s="418">
        <f t="shared" si="6"/>
        <v>0</v>
      </c>
      <c r="T82" s="495">
        <f>SUM(T80:T81)</f>
        <v>241</v>
      </c>
      <c r="U82" s="489">
        <v>0</v>
      </c>
      <c r="V82" s="263">
        <f>SUM(V80:V81)</f>
        <v>0</v>
      </c>
    </row>
    <row r="83" spans="1:22" s="16" customFormat="1" ht="15.75">
      <c r="A83" s="13" t="s">
        <v>79</v>
      </c>
      <c r="B83" s="13"/>
      <c r="C83" s="13"/>
      <c r="D83" s="13"/>
      <c r="E83" s="13"/>
      <c r="F83" s="14"/>
      <c r="G83" s="24"/>
      <c r="H83" s="14" t="s">
        <v>150</v>
      </c>
      <c r="I83" s="14"/>
      <c r="J83" s="14"/>
      <c r="K83" s="14"/>
      <c r="L83" s="14"/>
      <c r="M83" s="15">
        <f>SUM(M74+M78+M82)</f>
        <v>22205</v>
      </c>
      <c r="N83" s="263">
        <v>0</v>
      </c>
      <c r="O83" s="263">
        <f>M83+N83</f>
        <v>22205</v>
      </c>
      <c r="P83" s="260">
        <f>P74+P78+P82</f>
        <v>3815</v>
      </c>
      <c r="Q83" s="407">
        <f>SUM(P83/O83)*100</f>
        <v>17.18081513172709</v>
      </c>
      <c r="R83" s="418">
        <f>R74+R78</f>
        <v>4688</v>
      </c>
      <c r="S83" s="418">
        <f t="shared" si="6"/>
        <v>26893</v>
      </c>
      <c r="T83" s="263">
        <f>T74+T78+T82</f>
        <v>19642</v>
      </c>
      <c r="U83" s="489">
        <f>SUM(T83/S83)*100</f>
        <v>73.03759342579853</v>
      </c>
      <c r="V83" s="263">
        <f>V74+V78+V82</f>
        <v>15404</v>
      </c>
    </row>
    <row r="84" spans="1:21" ht="15">
      <c r="A84" s="1" t="s">
        <v>126</v>
      </c>
      <c r="G84" s="2" t="s">
        <v>512</v>
      </c>
      <c r="O84" s="20"/>
      <c r="Q84" s="20"/>
      <c r="S84" s="21"/>
      <c r="U84" s="483"/>
    </row>
    <row r="85" spans="3:21" ht="15">
      <c r="C85" s="1" t="s">
        <v>76</v>
      </c>
      <c r="I85" s="2" t="s">
        <v>77</v>
      </c>
      <c r="O85" s="20"/>
      <c r="Q85" s="20"/>
      <c r="S85" s="21"/>
      <c r="U85" s="483"/>
    </row>
    <row r="86" spans="4:22" ht="15">
      <c r="D86" s="1" t="s">
        <v>74</v>
      </c>
      <c r="J86" s="2" t="s">
        <v>146</v>
      </c>
      <c r="M86" s="3">
        <v>4170</v>
      </c>
      <c r="N86" s="111">
        <v>0</v>
      </c>
      <c r="O86" s="111">
        <f>M86+N86</f>
        <v>4170</v>
      </c>
      <c r="P86" s="111">
        <v>78</v>
      </c>
      <c r="Q86" s="111">
        <v>0</v>
      </c>
      <c r="R86" s="461">
        <v>730</v>
      </c>
      <c r="S86" s="21">
        <f t="shared" si="6"/>
        <v>4900</v>
      </c>
      <c r="T86" s="3">
        <v>730</v>
      </c>
      <c r="U86" s="484">
        <f>SUM(T86/S86)*100</f>
        <v>14.897959183673471</v>
      </c>
      <c r="V86" s="85">
        <v>197</v>
      </c>
    </row>
    <row r="87" spans="1:22" s="16" customFormat="1" ht="15.75">
      <c r="A87" s="13"/>
      <c r="B87" s="13"/>
      <c r="C87" s="13" t="s">
        <v>76</v>
      </c>
      <c r="D87" s="13"/>
      <c r="E87" s="13"/>
      <c r="F87" s="14"/>
      <c r="G87" s="14"/>
      <c r="H87" s="14"/>
      <c r="I87" s="14" t="s">
        <v>404</v>
      </c>
      <c r="J87" s="14"/>
      <c r="K87" s="14"/>
      <c r="L87" s="14"/>
      <c r="M87" s="15">
        <f>SUM(M86)</f>
        <v>4170</v>
      </c>
      <c r="N87" s="263">
        <v>0</v>
      </c>
      <c r="O87" s="263">
        <f>M87+N87</f>
        <v>4170</v>
      </c>
      <c r="P87" s="260">
        <f>SUM(P86)</f>
        <v>78</v>
      </c>
      <c r="Q87" s="407">
        <v>0</v>
      </c>
      <c r="R87" s="418">
        <f>SUM(R86)</f>
        <v>730</v>
      </c>
      <c r="S87" s="418">
        <f t="shared" si="6"/>
        <v>4900</v>
      </c>
      <c r="T87" s="260">
        <f>SUM(T86)</f>
        <v>730</v>
      </c>
      <c r="U87" s="489">
        <f>SUM(T87/S87)*100</f>
        <v>14.897959183673471</v>
      </c>
      <c r="V87" s="263">
        <f>SUM(V86)</f>
        <v>197</v>
      </c>
    </row>
    <row r="88" spans="1:21" ht="15.75">
      <c r="A88" s="29"/>
      <c r="B88" s="29"/>
      <c r="C88" s="17" t="s">
        <v>129</v>
      </c>
      <c r="D88" s="4"/>
      <c r="E88" s="26"/>
      <c r="F88" s="26"/>
      <c r="G88" s="26"/>
      <c r="H88" s="26"/>
      <c r="I88" s="19" t="s">
        <v>130</v>
      </c>
      <c r="J88" s="26"/>
      <c r="K88" s="26"/>
      <c r="L88" s="26"/>
      <c r="O88" s="20"/>
      <c r="Q88" s="20"/>
      <c r="S88" s="21"/>
      <c r="U88" s="483"/>
    </row>
    <row r="89" spans="1:22" ht="15.75">
      <c r="A89" s="29"/>
      <c r="B89" s="29"/>
      <c r="C89" s="4"/>
      <c r="D89" s="17" t="s">
        <v>74</v>
      </c>
      <c r="E89" s="19"/>
      <c r="F89" s="19"/>
      <c r="G89" s="19"/>
      <c r="H89" s="19"/>
      <c r="I89" s="19"/>
      <c r="J89" s="19" t="s">
        <v>131</v>
      </c>
      <c r="K89" s="19"/>
      <c r="L89" s="19"/>
      <c r="M89" s="3">
        <v>0</v>
      </c>
      <c r="N89" s="3">
        <v>0</v>
      </c>
      <c r="O89" s="20">
        <f>M89+N89</f>
        <v>0</v>
      </c>
      <c r="P89" s="3">
        <v>0</v>
      </c>
      <c r="Q89" s="20">
        <v>0</v>
      </c>
      <c r="R89" s="461">
        <v>0</v>
      </c>
      <c r="S89" s="21">
        <f t="shared" si="6"/>
        <v>0</v>
      </c>
      <c r="T89" s="20">
        <v>4223</v>
      </c>
      <c r="U89" s="483">
        <v>0</v>
      </c>
      <c r="V89" s="85">
        <v>0</v>
      </c>
    </row>
    <row r="90" spans="1:22" ht="15.75">
      <c r="A90" s="29"/>
      <c r="B90" s="29"/>
      <c r="C90" s="4"/>
      <c r="D90" s="17" t="s">
        <v>79</v>
      </c>
      <c r="E90" s="19"/>
      <c r="F90" s="19"/>
      <c r="G90" s="19"/>
      <c r="H90" s="19"/>
      <c r="I90" s="19"/>
      <c r="J90" s="27" t="s">
        <v>132</v>
      </c>
      <c r="K90" s="16"/>
      <c r="L90" s="19"/>
      <c r="M90" s="3">
        <v>0</v>
      </c>
      <c r="N90" s="111">
        <v>0</v>
      </c>
      <c r="O90" s="111">
        <f>M90+N90</f>
        <v>0</v>
      </c>
      <c r="P90" s="111">
        <v>0</v>
      </c>
      <c r="Q90" s="111">
        <v>0</v>
      </c>
      <c r="R90" s="461">
        <v>0</v>
      </c>
      <c r="S90" s="21">
        <f t="shared" si="6"/>
        <v>0</v>
      </c>
      <c r="T90" s="111">
        <v>0</v>
      </c>
      <c r="U90" s="484">
        <v>0</v>
      </c>
      <c r="V90" s="85">
        <v>0</v>
      </c>
    </row>
    <row r="91" spans="1:22" s="16" customFormat="1" ht="15.75">
      <c r="A91" s="30"/>
      <c r="B91" s="30"/>
      <c r="C91" s="13" t="s">
        <v>129</v>
      </c>
      <c r="D91" s="13"/>
      <c r="E91" s="14"/>
      <c r="F91" s="14"/>
      <c r="G91" s="14"/>
      <c r="H91" s="14"/>
      <c r="I91" s="14" t="s">
        <v>133</v>
      </c>
      <c r="J91" s="14"/>
      <c r="K91" s="14"/>
      <c r="L91" s="14"/>
      <c r="M91" s="31">
        <f>SUM(M89:M90)</f>
        <v>0</v>
      </c>
      <c r="N91" s="263">
        <v>0</v>
      </c>
      <c r="O91" s="263">
        <f>M91+N91</f>
        <v>0</v>
      </c>
      <c r="P91" s="260">
        <f>SUM(P89:P90)</f>
        <v>0</v>
      </c>
      <c r="Q91" s="407">
        <v>0</v>
      </c>
      <c r="R91" s="418">
        <f>SUM(R89:R90)</f>
        <v>0</v>
      </c>
      <c r="S91" s="418">
        <f t="shared" si="6"/>
        <v>0</v>
      </c>
      <c r="T91" s="260">
        <f>SUM(T89:T90)</f>
        <v>4223</v>
      </c>
      <c r="U91" s="489">
        <v>0</v>
      </c>
      <c r="V91" s="263">
        <f>SUM(V89:V90)</f>
        <v>0</v>
      </c>
    </row>
    <row r="92" spans="3:21" ht="15.75" customHeight="1">
      <c r="C92" s="1" t="s">
        <v>134</v>
      </c>
      <c r="I92" s="2" t="s">
        <v>135</v>
      </c>
      <c r="O92" s="20"/>
      <c r="Q92" s="20"/>
      <c r="S92" s="21"/>
      <c r="U92" s="483"/>
    </row>
    <row r="93" spans="4:22" ht="15">
      <c r="D93" s="1" t="s">
        <v>74</v>
      </c>
      <c r="J93" s="2" t="s">
        <v>148</v>
      </c>
      <c r="M93" s="3">
        <v>0</v>
      </c>
      <c r="N93" s="3">
        <v>0</v>
      </c>
      <c r="O93" s="20">
        <f>M93+N93</f>
        <v>0</v>
      </c>
      <c r="P93" s="3">
        <v>100</v>
      </c>
      <c r="Q93" s="20">
        <v>0</v>
      </c>
      <c r="R93" s="461">
        <v>100</v>
      </c>
      <c r="S93" s="21">
        <f t="shared" si="6"/>
        <v>100</v>
      </c>
      <c r="T93" s="20">
        <v>100</v>
      </c>
      <c r="U93" s="483">
        <f>SUM(T93/S93)*100</f>
        <v>100</v>
      </c>
      <c r="V93" s="85">
        <v>0</v>
      </c>
    </row>
    <row r="94" spans="4:22" ht="15">
      <c r="D94" s="1" t="s">
        <v>79</v>
      </c>
      <c r="J94" s="2" t="s">
        <v>149</v>
      </c>
      <c r="M94" s="111">
        <v>0</v>
      </c>
      <c r="N94" s="111">
        <v>0</v>
      </c>
      <c r="O94" s="111">
        <f>M94+N94</f>
        <v>0</v>
      </c>
      <c r="P94" s="111">
        <v>0</v>
      </c>
      <c r="Q94" s="111">
        <v>0</v>
      </c>
      <c r="R94" s="461">
        <v>0</v>
      </c>
      <c r="S94" s="21">
        <f t="shared" si="6"/>
        <v>0</v>
      </c>
      <c r="T94" s="111">
        <v>0</v>
      </c>
      <c r="U94" s="484">
        <v>0</v>
      </c>
      <c r="V94" s="85">
        <v>0</v>
      </c>
    </row>
    <row r="95" spans="1:22" s="16" customFormat="1" ht="15.75">
      <c r="A95" s="13"/>
      <c r="B95" s="13"/>
      <c r="C95" s="13" t="s">
        <v>134</v>
      </c>
      <c r="D95" s="13"/>
      <c r="E95" s="13"/>
      <c r="F95" s="14"/>
      <c r="G95" s="14"/>
      <c r="H95" s="14"/>
      <c r="I95" s="14" t="s">
        <v>405</v>
      </c>
      <c r="J95" s="14"/>
      <c r="K95" s="14"/>
      <c r="L95" s="14"/>
      <c r="M95" s="15">
        <f>SUM(M93:M94)</f>
        <v>0</v>
      </c>
      <c r="N95" s="263">
        <v>0</v>
      </c>
      <c r="O95" s="263">
        <f>M95+N95</f>
        <v>0</v>
      </c>
      <c r="P95" s="260">
        <f>SUM(P93:P94)</f>
        <v>100</v>
      </c>
      <c r="Q95" s="407">
        <v>0</v>
      </c>
      <c r="R95" s="418">
        <f>SUM(R93:R94)</f>
        <v>100</v>
      </c>
      <c r="S95" s="418">
        <f t="shared" si="6"/>
        <v>100</v>
      </c>
      <c r="T95" s="23">
        <f>SUM(T93:T94)</f>
        <v>100</v>
      </c>
      <c r="U95" s="489">
        <f>SUM(T95/S95)*100</f>
        <v>100</v>
      </c>
      <c r="V95" s="263">
        <f>SUM(V93:V94)</f>
        <v>0</v>
      </c>
    </row>
    <row r="96" spans="1:22" ht="15.75">
      <c r="A96" s="13" t="s">
        <v>126</v>
      </c>
      <c r="B96" s="13"/>
      <c r="C96" s="13"/>
      <c r="D96" s="13"/>
      <c r="E96" s="13"/>
      <c r="F96" s="14"/>
      <c r="G96" s="24"/>
      <c r="H96" s="179" t="s">
        <v>513</v>
      </c>
      <c r="I96" s="14"/>
      <c r="J96" s="14"/>
      <c r="K96" s="14"/>
      <c r="L96" s="14"/>
      <c r="M96" s="15">
        <f>SUM(M87+M91+M95)</f>
        <v>4170</v>
      </c>
      <c r="N96" s="263">
        <v>0</v>
      </c>
      <c r="O96" s="263">
        <f>M96+N96</f>
        <v>4170</v>
      </c>
      <c r="P96" s="263">
        <f>P87+P91+P95</f>
        <v>178</v>
      </c>
      <c r="Q96" s="407">
        <v>0</v>
      </c>
      <c r="R96" s="418">
        <f>R87+R91+R95</f>
        <v>830</v>
      </c>
      <c r="S96" s="418">
        <f t="shared" si="6"/>
        <v>5000</v>
      </c>
      <c r="T96" s="263">
        <f>T87+T91+T95</f>
        <v>5053</v>
      </c>
      <c r="U96" s="489">
        <f>SUM(T96/S96)*100</f>
        <v>101.05999999999999</v>
      </c>
      <c r="V96" s="263">
        <f>V87+V91+V95</f>
        <v>197</v>
      </c>
    </row>
    <row r="97" spans="1:21" ht="15">
      <c r="A97" s="1" t="s">
        <v>151</v>
      </c>
      <c r="G97" s="2" t="s">
        <v>395</v>
      </c>
      <c r="O97" s="20"/>
      <c r="Q97" s="20"/>
      <c r="S97" s="21"/>
      <c r="U97" s="483"/>
    </row>
    <row r="98" spans="3:21" ht="15">
      <c r="C98" s="1" t="s">
        <v>76</v>
      </c>
      <c r="I98" s="2" t="s">
        <v>77</v>
      </c>
      <c r="O98" s="20"/>
      <c r="Q98" s="20"/>
      <c r="S98" s="21"/>
      <c r="U98" s="483"/>
    </row>
    <row r="99" spans="4:22" ht="15">
      <c r="D99" s="1" t="s">
        <v>74</v>
      </c>
      <c r="J99" s="2" t="s">
        <v>146</v>
      </c>
      <c r="M99" s="3">
        <v>4500</v>
      </c>
      <c r="N99" s="111">
        <v>0</v>
      </c>
      <c r="O99" s="111">
        <f>M99+N99</f>
        <v>4500</v>
      </c>
      <c r="P99" s="111">
        <v>391</v>
      </c>
      <c r="Q99" s="111">
        <f>SUM(P99/O99)*100</f>
        <v>8.688888888888888</v>
      </c>
      <c r="R99" s="461">
        <v>0</v>
      </c>
      <c r="S99" s="21">
        <f t="shared" si="6"/>
        <v>4500</v>
      </c>
      <c r="T99" s="3">
        <v>2233</v>
      </c>
      <c r="U99" s="484">
        <f>SUM(T99/S99)*100</f>
        <v>49.62222222222222</v>
      </c>
      <c r="V99" s="85">
        <v>0</v>
      </c>
    </row>
    <row r="100" spans="1:22" s="16" customFormat="1" ht="15.75">
      <c r="A100" s="13"/>
      <c r="B100" s="13"/>
      <c r="C100" s="13" t="s">
        <v>76</v>
      </c>
      <c r="D100" s="13"/>
      <c r="E100" s="13"/>
      <c r="F100" s="14"/>
      <c r="G100" s="14"/>
      <c r="H100" s="14"/>
      <c r="I100" s="14" t="s">
        <v>404</v>
      </c>
      <c r="J100" s="14"/>
      <c r="K100" s="14"/>
      <c r="L100" s="14"/>
      <c r="M100" s="15">
        <f>SUM(M99)</f>
        <v>4500</v>
      </c>
      <c r="N100" s="263">
        <v>0</v>
      </c>
      <c r="O100" s="263">
        <f>M100+N100</f>
        <v>4500</v>
      </c>
      <c r="P100" s="260">
        <f>SUM(P99)</f>
        <v>391</v>
      </c>
      <c r="Q100" s="111">
        <f>SUM(P100/O100)*100</f>
        <v>8.688888888888888</v>
      </c>
      <c r="R100" s="418">
        <v>0</v>
      </c>
      <c r="S100" s="418">
        <f t="shared" si="6"/>
        <v>4500</v>
      </c>
      <c r="T100" s="260">
        <f>SUM(T99)</f>
        <v>2233</v>
      </c>
      <c r="U100" s="489">
        <f>SUM(T100/S100)*100</f>
        <v>49.62222222222222</v>
      </c>
      <c r="V100" s="263">
        <f>SUM(V99)</f>
        <v>0</v>
      </c>
    </row>
    <row r="101" spans="1:21" ht="15.75">
      <c r="A101" s="17"/>
      <c r="B101" s="17"/>
      <c r="C101" s="17" t="s">
        <v>129</v>
      </c>
      <c r="D101" s="4"/>
      <c r="E101" s="26"/>
      <c r="F101" s="26"/>
      <c r="G101" s="26"/>
      <c r="H101" s="26"/>
      <c r="I101" s="19" t="s">
        <v>130</v>
      </c>
      <c r="J101" s="26"/>
      <c r="K101" s="26"/>
      <c r="L101" s="26"/>
      <c r="O101" s="20"/>
      <c r="Q101" s="20"/>
      <c r="S101" s="21"/>
      <c r="U101" s="483"/>
    </row>
    <row r="102" spans="1:22" ht="15.75">
      <c r="A102" s="17"/>
      <c r="B102" s="17"/>
      <c r="C102" s="4"/>
      <c r="D102" s="17" t="s">
        <v>74</v>
      </c>
      <c r="E102" s="19"/>
      <c r="F102" s="19"/>
      <c r="G102" s="19"/>
      <c r="H102" s="19"/>
      <c r="I102" s="19"/>
      <c r="J102" s="19" t="s">
        <v>131</v>
      </c>
      <c r="K102" s="19"/>
      <c r="L102" s="19"/>
      <c r="M102" s="3">
        <v>0</v>
      </c>
      <c r="N102" s="3">
        <v>0</v>
      </c>
      <c r="O102" s="20">
        <f>M102+N102</f>
        <v>0</v>
      </c>
      <c r="P102" s="85">
        <v>3469</v>
      </c>
      <c r="Q102" s="20">
        <v>0</v>
      </c>
      <c r="R102" s="461">
        <v>6548</v>
      </c>
      <c r="S102" s="21">
        <f t="shared" si="6"/>
        <v>6548</v>
      </c>
      <c r="T102" s="20">
        <v>8938</v>
      </c>
      <c r="U102" s="483">
        <f>SUM(T102/S102)*100</f>
        <v>136.4996945632254</v>
      </c>
      <c r="V102" s="85">
        <v>15888</v>
      </c>
    </row>
    <row r="103" spans="1:22" ht="15.75">
      <c r="A103" s="17"/>
      <c r="B103" s="17"/>
      <c r="C103" s="4"/>
      <c r="D103" s="17" t="s">
        <v>79</v>
      </c>
      <c r="E103" s="19"/>
      <c r="F103" s="19"/>
      <c r="G103" s="19"/>
      <c r="H103" s="19"/>
      <c r="I103" s="19"/>
      <c r="J103" s="27" t="s">
        <v>132</v>
      </c>
      <c r="K103" s="16"/>
      <c r="L103" s="19"/>
      <c r="M103" s="3">
        <v>0</v>
      </c>
      <c r="N103" s="111">
        <v>0</v>
      </c>
      <c r="O103" s="111">
        <f>M103+N103</f>
        <v>0</v>
      </c>
      <c r="P103" s="264">
        <v>0</v>
      </c>
      <c r="Q103" s="111">
        <v>0</v>
      </c>
      <c r="R103" s="461">
        <v>0</v>
      </c>
      <c r="S103" s="21">
        <f t="shared" si="6"/>
        <v>0</v>
      </c>
      <c r="T103" s="111">
        <v>0</v>
      </c>
      <c r="U103" s="484">
        <v>0</v>
      </c>
      <c r="V103" s="85">
        <v>0</v>
      </c>
    </row>
    <row r="104" spans="1:22" s="16" customFormat="1" ht="15.75">
      <c r="A104" s="13"/>
      <c r="B104" s="13"/>
      <c r="C104" s="13" t="s">
        <v>129</v>
      </c>
      <c r="D104" s="13"/>
      <c r="E104" s="14"/>
      <c r="F104" s="14"/>
      <c r="G104" s="14"/>
      <c r="H104" s="14"/>
      <c r="I104" s="14" t="s">
        <v>133</v>
      </c>
      <c r="J104" s="14"/>
      <c r="K104" s="14"/>
      <c r="L104" s="14"/>
      <c r="M104" s="15">
        <f>SUM(M102:M103)</f>
        <v>0</v>
      </c>
      <c r="N104" s="263">
        <v>0</v>
      </c>
      <c r="O104" s="263">
        <f>M104+N104</f>
        <v>0</v>
      </c>
      <c r="P104" s="263">
        <f>SUM(P102:P103)</f>
        <v>3469</v>
      </c>
      <c r="Q104" s="407">
        <v>0</v>
      </c>
      <c r="R104" s="418">
        <f>SUM(R102:R103)</f>
        <v>6548</v>
      </c>
      <c r="S104" s="418">
        <f t="shared" si="6"/>
        <v>6548</v>
      </c>
      <c r="T104" s="260">
        <f>SUM(T102:T103)</f>
        <v>8938</v>
      </c>
      <c r="U104" s="489">
        <f>SUM(T104/S104)*100</f>
        <v>136.4996945632254</v>
      </c>
      <c r="V104" s="263">
        <f>SUM(V102:V103)</f>
        <v>15888</v>
      </c>
    </row>
    <row r="105" spans="3:21" ht="15">
      <c r="C105" s="1" t="s">
        <v>134</v>
      </c>
      <c r="I105" s="2" t="s">
        <v>135</v>
      </c>
      <c r="N105" s="3">
        <v>0</v>
      </c>
      <c r="O105" s="20"/>
      <c r="Q105" s="20"/>
      <c r="S105" s="21"/>
      <c r="U105" s="483"/>
    </row>
    <row r="106" spans="4:22" ht="15">
      <c r="D106" s="1" t="s">
        <v>74</v>
      </c>
      <c r="J106" s="2" t="s">
        <v>148</v>
      </c>
      <c r="M106" s="3">
        <v>0</v>
      </c>
      <c r="N106" s="3">
        <v>0</v>
      </c>
      <c r="O106" s="20">
        <f>M106+N106</f>
        <v>0</v>
      </c>
      <c r="P106" s="3">
        <v>0</v>
      </c>
      <c r="Q106" s="20">
        <v>0</v>
      </c>
      <c r="R106" s="461">
        <v>0</v>
      </c>
      <c r="S106" s="21">
        <f t="shared" si="6"/>
        <v>0</v>
      </c>
      <c r="T106" s="20">
        <v>0</v>
      </c>
      <c r="U106" s="483">
        <v>0</v>
      </c>
      <c r="V106" s="85">
        <v>0</v>
      </c>
    </row>
    <row r="107" spans="4:22" ht="15">
      <c r="D107" s="1" t="s">
        <v>79</v>
      </c>
      <c r="J107" s="2" t="s">
        <v>149</v>
      </c>
      <c r="M107" s="3">
        <v>0</v>
      </c>
      <c r="N107" s="111">
        <v>0</v>
      </c>
      <c r="O107" s="111">
        <f>M107+N107</f>
        <v>0</v>
      </c>
      <c r="P107" s="111">
        <v>0</v>
      </c>
      <c r="Q107" s="111">
        <v>0</v>
      </c>
      <c r="R107" s="461">
        <v>0</v>
      </c>
      <c r="S107" s="21">
        <f t="shared" si="6"/>
        <v>0</v>
      </c>
      <c r="T107" s="111">
        <v>0</v>
      </c>
      <c r="U107" s="484">
        <v>0</v>
      </c>
      <c r="V107" s="85">
        <v>0</v>
      </c>
    </row>
    <row r="108" spans="1:22" s="16" customFormat="1" ht="15.75">
      <c r="A108" s="13"/>
      <c r="B108" s="13"/>
      <c r="C108" s="13" t="s">
        <v>134</v>
      </c>
      <c r="D108" s="13"/>
      <c r="E108" s="13"/>
      <c r="F108" s="14"/>
      <c r="G108" s="14"/>
      <c r="H108" s="14"/>
      <c r="I108" s="14" t="s">
        <v>405</v>
      </c>
      <c r="J108" s="14"/>
      <c r="K108" s="14"/>
      <c r="L108" s="14"/>
      <c r="M108" s="15">
        <f>SUM(M106:M107)</f>
        <v>0</v>
      </c>
      <c r="N108" s="263">
        <v>0</v>
      </c>
      <c r="O108" s="263">
        <f>M108+N108</f>
        <v>0</v>
      </c>
      <c r="P108" s="260">
        <f>SUM(P106:P107)</f>
        <v>0</v>
      </c>
      <c r="Q108" s="407">
        <v>0</v>
      </c>
      <c r="R108" s="419">
        <v>0</v>
      </c>
      <c r="S108" s="418">
        <f t="shared" si="6"/>
        <v>0</v>
      </c>
      <c r="T108" s="495">
        <v>0</v>
      </c>
      <c r="U108" s="489">
        <v>0</v>
      </c>
      <c r="V108" s="263">
        <f>SUM(V106:V107)</f>
        <v>0</v>
      </c>
    </row>
    <row r="109" spans="1:22" s="16" customFormat="1" ht="15.75">
      <c r="A109" s="14" t="s">
        <v>151</v>
      </c>
      <c r="B109" s="13"/>
      <c r="C109" s="13"/>
      <c r="D109" s="13"/>
      <c r="E109" s="13"/>
      <c r="F109" s="14"/>
      <c r="G109" s="14"/>
      <c r="H109" s="14" t="s">
        <v>396</v>
      </c>
      <c r="I109" s="14"/>
      <c r="J109" s="14"/>
      <c r="K109" s="14"/>
      <c r="L109" s="14"/>
      <c r="M109" s="15">
        <f>SUM(M100+M104+M108)</f>
        <v>4500</v>
      </c>
      <c r="N109" s="263">
        <v>0</v>
      </c>
      <c r="O109" s="263">
        <f>M109+N109</f>
        <v>4500</v>
      </c>
      <c r="P109" s="260">
        <f>P100+P104+P108</f>
        <v>3860</v>
      </c>
      <c r="Q109" s="407">
        <f>SUM(P109/O109)*100</f>
        <v>85.77777777777777</v>
      </c>
      <c r="R109" s="418">
        <f>R100+R104+R108</f>
        <v>6548</v>
      </c>
      <c r="S109" s="418">
        <f t="shared" si="6"/>
        <v>11048</v>
      </c>
      <c r="T109" s="260">
        <f>T100+T104+T108</f>
        <v>11171</v>
      </c>
      <c r="U109" s="489">
        <f>SUM(T109/S109)*100</f>
        <v>101.11332367849384</v>
      </c>
      <c r="V109" s="263">
        <f>V100+V104+V108</f>
        <v>15888</v>
      </c>
    </row>
    <row r="110" spans="1:22" s="16" customFormat="1" ht="15.75">
      <c r="A110" s="4"/>
      <c r="B110" s="4"/>
      <c r="C110" s="4"/>
      <c r="D110" s="5"/>
      <c r="E110" s="5"/>
      <c r="H110" s="26"/>
      <c r="J110" s="26"/>
      <c r="K110" s="4" t="s">
        <v>152</v>
      </c>
      <c r="M110" s="23"/>
      <c r="N110" s="23"/>
      <c r="O110" s="20"/>
      <c r="P110" s="23"/>
      <c r="Q110" s="20"/>
      <c r="R110" s="464"/>
      <c r="S110" s="21"/>
      <c r="T110" s="23"/>
      <c r="U110" s="483"/>
      <c r="V110" s="85"/>
    </row>
    <row r="111" spans="1:22" s="16" customFormat="1" ht="15.75">
      <c r="A111" s="1"/>
      <c r="B111" s="1"/>
      <c r="C111" s="1" t="s">
        <v>76</v>
      </c>
      <c r="D111" s="1"/>
      <c r="E111" s="1"/>
      <c r="F111" s="2"/>
      <c r="G111" s="2"/>
      <c r="H111" s="2"/>
      <c r="I111" s="2" t="s">
        <v>153</v>
      </c>
      <c r="J111" s="2"/>
      <c r="K111" s="2"/>
      <c r="L111" s="2"/>
      <c r="M111" s="23"/>
      <c r="N111" s="23"/>
      <c r="O111" s="20"/>
      <c r="P111" s="23"/>
      <c r="Q111" s="20"/>
      <c r="R111" s="464"/>
      <c r="S111" s="21"/>
      <c r="T111" s="487"/>
      <c r="U111" s="483"/>
      <c r="V111" s="85"/>
    </row>
    <row r="112" spans="1:22" s="16" customFormat="1" ht="15.75">
      <c r="A112" s="1"/>
      <c r="B112" s="1"/>
      <c r="C112" s="1"/>
      <c r="D112" s="1" t="s">
        <v>74</v>
      </c>
      <c r="E112" s="1"/>
      <c r="F112" s="2"/>
      <c r="G112" s="2"/>
      <c r="H112" s="2"/>
      <c r="I112" s="2"/>
      <c r="J112" s="2" t="s">
        <v>146</v>
      </c>
      <c r="K112" s="2"/>
      <c r="L112" s="2"/>
      <c r="M112" s="3">
        <f>SUM(M13+M74+M87+M100)</f>
        <v>138290</v>
      </c>
      <c r="N112" s="85">
        <v>0</v>
      </c>
      <c r="O112" s="20">
        <f>M112+N112</f>
        <v>138290</v>
      </c>
      <c r="P112" s="85">
        <f>P12+P73+P86+P99</f>
        <v>70443</v>
      </c>
      <c r="Q112" s="20">
        <f>SUM(P112/O112)*100</f>
        <v>50.938607274567936</v>
      </c>
      <c r="R112" s="465">
        <f>R13+R74+R87+R100</f>
        <v>73895</v>
      </c>
      <c r="S112" s="21">
        <f t="shared" si="6"/>
        <v>212185</v>
      </c>
      <c r="T112" s="363">
        <f>T12+T73+T86+T99</f>
        <v>217590</v>
      </c>
      <c r="U112" s="483">
        <f>SUM(T112/S112)*100</f>
        <v>102.54730541744233</v>
      </c>
      <c r="V112" s="85">
        <f>V13+V73+V86+V99</f>
        <v>174567</v>
      </c>
    </row>
    <row r="113" spans="1:22" s="16" customFormat="1" ht="15.75">
      <c r="A113" s="1"/>
      <c r="B113" s="1"/>
      <c r="C113" s="1"/>
      <c r="D113" s="1" t="s">
        <v>79</v>
      </c>
      <c r="E113" s="1"/>
      <c r="F113" s="2"/>
      <c r="G113" s="2"/>
      <c r="H113" s="2"/>
      <c r="I113" s="2"/>
      <c r="J113" s="2" t="s">
        <v>154</v>
      </c>
      <c r="K113" s="2"/>
      <c r="L113" s="2"/>
      <c r="M113" s="3">
        <f>SUM(M30)</f>
        <v>739000</v>
      </c>
      <c r="N113" s="264">
        <v>0</v>
      </c>
      <c r="O113" s="111">
        <f>M113+N113</f>
        <v>739000</v>
      </c>
      <c r="P113" s="264">
        <f>P30</f>
        <v>255790</v>
      </c>
      <c r="Q113" s="111">
        <f>SUM(P113/O113)*100</f>
        <v>34.61299052774019</v>
      </c>
      <c r="R113" s="465">
        <f>R30</f>
        <v>0</v>
      </c>
      <c r="S113" s="21">
        <f t="shared" si="6"/>
        <v>739000</v>
      </c>
      <c r="T113" s="264">
        <f>T30</f>
        <v>390099</v>
      </c>
      <c r="U113" s="484">
        <f>SUM(T113/S113)*100</f>
        <v>52.78741542625169</v>
      </c>
      <c r="V113" s="85">
        <f>V30</f>
        <v>190</v>
      </c>
    </row>
    <row r="114" spans="1:22" ht="15">
      <c r="A114" s="28"/>
      <c r="B114" s="28"/>
      <c r="C114" s="28" t="s">
        <v>76</v>
      </c>
      <c r="D114" s="28"/>
      <c r="E114" s="28"/>
      <c r="F114" s="24"/>
      <c r="G114" s="24"/>
      <c r="H114" s="24"/>
      <c r="I114" s="24" t="s">
        <v>105</v>
      </c>
      <c r="J114" s="24"/>
      <c r="K114" s="24"/>
      <c r="L114" s="24"/>
      <c r="M114" s="32">
        <f>SUM(M112:M113)</f>
        <v>877290</v>
      </c>
      <c r="N114" s="261">
        <v>0</v>
      </c>
      <c r="O114" s="261">
        <f>M114+N114</f>
        <v>877290</v>
      </c>
      <c r="P114" s="262">
        <f>SUM(P112:P113)</f>
        <v>326233</v>
      </c>
      <c r="Q114" s="111">
        <f>SUM(P114/O114)*100</f>
        <v>37.186449178720835</v>
      </c>
      <c r="R114" s="466">
        <f>SUM(R112:R113)</f>
        <v>73895</v>
      </c>
      <c r="S114" s="466">
        <f t="shared" si="6"/>
        <v>951185</v>
      </c>
      <c r="T114" s="3">
        <f>SUM(T112:T113)</f>
        <v>607689</v>
      </c>
      <c r="U114" s="484">
        <f>SUM(T114/S114)*100</f>
        <v>63.88757181831084</v>
      </c>
      <c r="V114" s="262">
        <f>SUM(V112:V113)</f>
        <v>174757</v>
      </c>
    </row>
    <row r="115" spans="1:22" s="16" customFormat="1" ht="15.75">
      <c r="A115" s="1"/>
      <c r="B115" s="1"/>
      <c r="C115" s="1" t="s">
        <v>106</v>
      </c>
      <c r="D115" s="1"/>
      <c r="E115" s="1"/>
      <c r="F115" s="2" t="s">
        <v>112</v>
      </c>
      <c r="G115" s="2"/>
      <c r="H115" s="2"/>
      <c r="I115" s="2" t="s">
        <v>121</v>
      </c>
      <c r="J115" s="2"/>
      <c r="K115" s="2"/>
      <c r="L115" s="2"/>
      <c r="M115" s="3">
        <f>SUM(M52)</f>
        <v>707633</v>
      </c>
      <c r="N115" s="85">
        <v>105527</v>
      </c>
      <c r="O115" s="20">
        <f>M115+N115</f>
        <v>813160</v>
      </c>
      <c r="P115" s="85">
        <f>P52</f>
        <v>160935</v>
      </c>
      <c r="Q115" s="20">
        <f>SUM(P115/O115)*100</f>
        <v>19.791307983668652</v>
      </c>
      <c r="R115" s="465">
        <f>R52</f>
        <v>47930</v>
      </c>
      <c r="S115" s="21">
        <f t="shared" si="6"/>
        <v>861090</v>
      </c>
      <c r="T115" s="496" t="e">
        <f>T52</f>
        <v>#REF!</v>
      </c>
      <c r="U115" s="483" t="e">
        <f>SUM(T115/S115)*100</f>
        <v>#REF!</v>
      </c>
      <c r="V115" s="85" t="e">
        <f>V52</f>
        <v>#REF!</v>
      </c>
    </row>
    <row r="116" spans="1:22" s="16" customFormat="1" ht="15.75">
      <c r="A116" s="1"/>
      <c r="B116" s="1"/>
      <c r="C116" s="1" t="s">
        <v>122</v>
      </c>
      <c r="D116" s="1"/>
      <c r="E116" s="1"/>
      <c r="F116" s="2"/>
      <c r="G116" s="2"/>
      <c r="H116" s="2"/>
      <c r="I116" s="2" t="s">
        <v>128</v>
      </c>
      <c r="J116" s="2"/>
      <c r="K116" s="2"/>
      <c r="L116" s="2"/>
      <c r="M116" s="3">
        <f>SUM(M57)</f>
        <v>86561</v>
      </c>
      <c r="N116" s="85">
        <v>0</v>
      </c>
      <c r="O116" s="20">
        <f>M116+N116</f>
        <v>86561</v>
      </c>
      <c r="P116" s="85">
        <f>P57</f>
        <v>10225</v>
      </c>
      <c r="Q116" s="20">
        <f>SUM(P116/O116)*100</f>
        <v>11.812479061009</v>
      </c>
      <c r="R116" s="465">
        <f>R57</f>
        <v>-30969</v>
      </c>
      <c r="S116" s="21">
        <f t="shared" si="6"/>
        <v>55592</v>
      </c>
      <c r="T116" s="363">
        <f>T57</f>
        <v>1800</v>
      </c>
      <c r="U116" s="483">
        <f>SUM(T116/S116)*100</f>
        <v>3.2378759533745862</v>
      </c>
      <c r="V116" s="85">
        <f>V57</f>
        <v>235</v>
      </c>
    </row>
    <row r="117" spans="1:22" s="16" customFormat="1" ht="15.75">
      <c r="A117" s="1"/>
      <c r="B117" s="1"/>
      <c r="C117" s="1" t="s">
        <v>129</v>
      </c>
      <c r="D117" s="1"/>
      <c r="E117" s="1"/>
      <c r="F117" s="2"/>
      <c r="G117" s="2"/>
      <c r="H117" s="2"/>
      <c r="I117" s="2" t="s">
        <v>155</v>
      </c>
      <c r="J117" s="2"/>
      <c r="K117" s="2"/>
      <c r="L117" s="2"/>
      <c r="M117" s="23"/>
      <c r="N117" s="85"/>
      <c r="O117" s="20"/>
      <c r="P117" s="85"/>
      <c r="Q117" s="20"/>
      <c r="R117" s="464"/>
      <c r="S117" s="21"/>
      <c r="T117" s="363"/>
      <c r="U117" s="483"/>
      <c r="V117" s="85"/>
    </row>
    <row r="118" spans="1:22" s="16" customFormat="1" ht="15.75">
      <c r="A118" s="1"/>
      <c r="B118" s="1"/>
      <c r="C118" s="1"/>
      <c r="D118" s="1" t="s">
        <v>74</v>
      </c>
      <c r="E118" s="1"/>
      <c r="F118" s="2"/>
      <c r="G118" s="2"/>
      <c r="H118" s="2"/>
      <c r="I118" s="2"/>
      <c r="J118" s="19" t="s">
        <v>131</v>
      </c>
      <c r="K118" s="2"/>
      <c r="L118" s="2"/>
      <c r="M118" s="3">
        <f>SUM(M59+M76+M89+M102)</f>
        <v>73309</v>
      </c>
      <c r="N118" s="85">
        <v>406</v>
      </c>
      <c r="O118" s="20">
        <f>M118+N118</f>
        <v>73715</v>
      </c>
      <c r="P118" s="85">
        <f>P59+P76+P89+P102</f>
        <v>128261</v>
      </c>
      <c r="Q118" s="20">
        <f>SUM(P118/O118)*100</f>
        <v>173.99579461439328</v>
      </c>
      <c r="R118" s="465">
        <f>R59+R76+R89+R102</f>
        <v>402589</v>
      </c>
      <c r="S118" s="21">
        <f t="shared" si="6"/>
        <v>476304</v>
      </c>
      <c r="T118" s="363">
        <f>T59+T76+T89+T102</f>
        <v>252562</v>
      </c>
      <c r="U118" s="483">
        <f>SUM(T118/S118)*100</f>
        <v>53.025378749706064</v>
      </c>
      <c r="V118" s="85">
        <f>V59+V76+V89+V102</f>
        <v>32499</v>
      </c>
    </row>
    <row r="119" spans="1:22" s="16" customFormat="1" ht="15.75">
      <c r="A119" s="1"/>
      <c r="B119" s="1"/>
      <c r="C119" s="1"/>
      <c r="D119" s="1" t="s">
        <v>79</v>
      </c>
      <c r="E119" s="1"/>
      <c r="F119" s="2"/>
      <c r="G119" s="2"/>
      <c r="H119" s="2"/>
      <c r="I119" s="2"/>
      <c r="J119" s="27" t="s">
        <v>132</v>
      </c>
      <c r="K119" s="2"/>
      <c r="L119" s="2"/>
      <c r="M119" s="3">
        <f>SUM(M60+M77+M90+M103)</f>
        <v>462607</v>
      </c>
      <c r="N119" s="264">
        <v>264409</v>
      </c>
      <c r="O119" s="111">
        <f>M119+N119</f>
        <v>727016</v>
      </c>
      <c r="P119" s="264">
        <f>P60+P77+P90+P103</f>
        <v>196697</v>
      </c>
      <c r="Q119" s="111">
        <f>SUM(P119/O119)*100</f>
        <v>27.055388051982348</v>
      </c>
      <c r="R119" s="465">
        <f>R60+R77+R90+R103</f>
        <v>1960162</v>
      </c>
      <c r="S119" s="21">
        <f t="shared" si="6"/>
        <v>2687178</v>
      </c>
      <c r="T119" s="264">
        <f>T60+T77+T90+T103</f>
        <v>492303</v>
      </c>
      <c r="U119" s="484">
        <f>SUM(T119/S119)*100</f>
        <v>18.320446207880533</v>
      </c>
      <c r="V119" s="85">
        <f>V77+V60+V90+V103</f>
        <v>41255</v>
      </c>
    </row>
    <row r="120" spans="1:22" s="16" customFormat="1" ht="15.75">
      <c r="A120" s="28"/>
      <c r="B120" s="28"/>
      <c r="C120" s="28" t="s">
        <v>129</v>
      </c>
      <c r="D120" s="28"/>
      <c r="E120" s="28"/>
      <c r="F120" s="24"/>
      <c r="G120" s="24"/>
      <c r="H120" s="24"/>
      <c r="I120" s="24" t="s">
        <v>156</v>
      </c>
      <c r="J120" s="24"/>
      <c r="K120" s="24"/>
      <c r="L120" s="24"/>
      <c r="M120" s="32">
        <f>SUM(M118:M119)</f>
        <v>535916</v>
      </c>
      <c r="N120" s="262">
        <f>SUM(N118:N119)</f>
        <v>264815</v>
      </c>
      <c r="O120" s="261">
        <f>M120+N120</f>
        <v>800731</v>
      </c>
      <c r="P120" s="262">
        <f>SUM(P118:P119)</f>
        <v>324958</v>
      </c>
      <c r="Q120" s="111">
        <f>SUM(P120/O120)*100</f>
        <v>40.582667587491926</v>
      </c>
      <c r="R120" s="467">
        <f>SUM(R118:R119)</f>
        <v>2362751</v>
      </c>
      <c r="S120" s="466">
        <f t="shared" si="6"/>
        <v>3163482</v>
      </c>
      <c r="T120" s="262">
        <f>SUM(T118:T119)</f>
        <v>744865</v>
      </c>
      <c r="U120" s="484">
        <f>SUM(T120/S120)*100</f>
        <v>23.545732202680465</v>
      </c>
      <c r="V120" s="262">
        <f>SUM(V118:V119)</f>
        <v>73754</v>
      </c>
    </row>
    <row r="121" spans="1:22" s="16" customFormat="1" ht="15.75">
      <c r="A121" s="17"/>
      <c r="B121" s="17"/>
      <c r="C121" s="17" t="s">
        <v>134</v>
      </c>
      <c r="D121" s="17"/>
      <c r="E121" s="17"/>
      <c r="F121" s="19"/>
      <c r="G121" s="19"/>
      <c r="H121" s="19"/>
      <c r="I121" s="19" t="s">
        <v>135</v>
      </c>
      <c r="J121" s="19"/>
      <c r="K121" s="19"/>
      <c r="L121" s="19"/>
      <c r="M121" s="23"/>
      <c r="N121" s="85"/>
      <c r="O121" s="20"/>
      <c r="P121" s="85"/>
      <c r="Q121" s="20"/>
      <c r="R121" s="465"/>
      <c r="S121" s="21"/>
      <c r="T121" s="85"/>
      <c r="U121" s="483"/>
      <c r="V121" s="85"/>
    </row>
    <row r="122" spans="1:22" s="16" customFormat="1" ht="15.75">
      <c r="A122" s="17"/>
      <c r="B122" s="17"/>
      <c r="C122" s="17"/>
      <c r="D122" s="17" t="s">
        <v>74</v>
      </c>
      <c r="E122" s="17"/>
      <c r="F122" s="19"/>
      <c r="G122" s="19"/>
      <c r="H122" s="19"/>
      <c r="I122" s="19"/>
      <c r="J122" s="27" t="s">
        <v>157</v>
      </c>
      <c r="K122" s="19"/>
      <c r="L122" s="19"/>
      <c r="M122" s="20">
        <f>SUM(M63+M80+M93+M106)</f>
        <v>0</v>
      </c>
      <c r="N122" s="85">
        <v>0</v>
      </c>
      <c r="O122" s="20">
        <f>M122+N122</f>
        <v>0</v>
      </c>
      <c r="P122" s="85">
        <f>P63+P80+P93+P106</f>
        <v>7796</v>
      </c>
      <c r="Q122" s="20">
        <v>0</v>
      </c>
      <c r="R122" s="465">
        <f>R63+R80+R93+R106</f>
        <v>8549</v>
      </c>
      <c r="S122" s="21">
        <f t="shared" si="6"/>
        <v>8549</v>
      </c>
      <c r="T122" s="363">
        <f>T63+T80+T93+T106</f>
        <v>7790</v>
      </c>
      <c r="U122" s="483">
        <f>SUM(T122/S122)*100</f>
        <v>91.12176862790969</v>
      </c>
      <c r="V122" s="85">
        <f>V63+V80+V93+V106</f>
        <v>0</v>
      </c>
    </row>
    <row r="123" spans="1:22" s="16" customFormat="1" ht="15.75">
      <c r="A123" s="17"/>
      <c r="B123" s="17"/>
      <c r="C123" s="17"/>
      <c r="D123" s="17" t="s">
        <v>79</v>
      </c>
      <c r="E123" s="17"/>
      <c r="F123" s="19"/>
      <c r="G123" s="19"/>
      <c r="H123" s="19"/>
      <c r="I123" s="19"/>
      <c r="J123" s="27" t="s">
        <v>137</v>
      </c>
      <c r="K123" s="19"/>
      <c r="L123" s="19"/>
      <c r="M123" s="20">
        <f>SUM(M64+M81+M94+M107)</f>
        <v>500</v>
      </c>
      <c r="N123" s="264">
        <v>0</v>
      </c>
      <c r="O123" s="111">
        <f>M123+N123</f>
        <v>500</v>
      </c>
      <c r="P123" s="264">
        <f>P64+P77+P90+P103+P107</f>
        <v>148</v>
      </c>
      <c r="Q123" s="111">
        <f>SUM(P123/O123)*100</f>
        <v>29.599999999999998</v>
      </c>
      <c r="R123" s="465">
        <f>R64+R81+R94+R107</f>
        <v>0</v>
      </c>
      <c r="S123" s="21">
        <f t="shared" si="6"/>
        <v>500</v>
      </c>
      <c r="T123" s="264">
        <f>T64+T81+T94+T107</f>
        <v>3266</v>
      </c>
      <c r="U123" s="484">
        <f>SUM(T123/S123)*100</f>
        <v>653.2</v>
      </c>
      <c r="V123" s="85">
        <f>V64+V81+V94+V107</f>
        <v>0</v>
      </c>
    </row>
    <row r="124" spans="1:22" s="16" customFormat="1" ht="15.75">
      <c r="A124" s="28"/>
      <c r="B124" s="28"/>
      <c r="C124" s="28" t="s">
        <v>134</v>
      </c>
      <c r="D124" s="28"/>
      <c r="E124" s="28"/>
      <c r="F124" s="24"/>
      <c r="G124" s="24"/>
      <c r="H124" s="24"/>
      <c r="I124" s="24" t="s">
        <v>158</v>
      </c>
      <c r="J124" s="33"/>
      <c r="K124" s="24"/>
      <c r="L124" s="24"/>
      <c r="M124" s="32">
        <f>SUM(M122:M123)</f>
        <v>500</v>
      </c>
      <c r="N124" s="262">
        <v>0</v>
      </c>
      <c r="O124" s="261">
        <f>M124+N124</f>
        <v>500</v>
      </c>
      <c r="P124" s="262">
        <f>SUM(P122:P123)</f>
        <v>7944</v>
      </c>
      <c r="Q124" s="111">
        <f>SUM(P124/O124)*100</f>
        <v>1588.8</v>
      </c>
      <c r="R124" s="467">
        <f>SUM(R122:R123)</f>
        <v>8549</v>
      </c>
      <c r="S124" s="466">
        <f t="shared" si="6"/>
        <v>9049</v>
      </c>
      <c r="T124" s="262">
        <f>SUM(T122:T123)</f>
        <v>11056</v>
      </c>
      <c r="U124" s="484">
        <f>SUM(T124/S124)*100</f>
        <v>122.17924632556083</v>
      </c>
      <c r="V124" s="262">
        <f>SUM(V122:V123)</f>
        <v>0</v>
      </c>
    </row>
    <row r="125" spans="3:21" ht="15">
      <c r="C125" s="1" t="s">
        <v>139</v>
      </c>
      <c r="I125" s="2" t="s">
        <v>140</v>
      </c>
      <c r="N125" s="85"/>
      <c r="O125" s="20"/>
      <c r="P125" s="85"/>
      <c r="Q125" s="20"/>
      <c r="R125" s="465"/>
      <c r="S125" s="21"/>
      <c r="T125" s="85"/>
      <c r="U125" s="483"/>
    </row>
    <row r="126" spans="4:22" ht="15">
      <c r="D126" s="1" t="s">
        <v>74</v>
      </c>
      <c r="J126" s="2" t="s">
        <v>141</v>
      </c>
      <c r="M126" s="3">
        <f>SUM(M67)</f>
        <v>3100</v>
      </c>
      <c r="N126" s="85">
        <v>0</v>
      </c>
      <c r="O126" s="20">
        <f>M126+N126</f>
        <v>3100</v>
      </c>
      <c r="P126" s="85">
        <f>P67</f>
        <v>2934</v>
      </c>
      <c r="Q126" s="20">
        <f>SUM(P126/O126)*100</f>
        <v>94.64516129032258</v>
      </c>
      <c r="R126" s="465">
        <v>0</v>
      </c>
      <c r="S126" s="21">
        <f t="shared" si="6"/>
        <v>3100</v>
      </c>
      <c r="T126" s="363">
        <f>T67</f>
        <v>3735</v>
      </c>
      <c r="U126" s="483">
        <f>SUM(T126/S126)*100</f>
        <v>120.48387096774194</v>
      </c>
      <c r="V126" s="85">
        <f>V67</f>
        <v>1946</v>
      </c>
    </row>
    <row r="127" spans="4:22" ht="15">
      <c r="D127" s="1" t="s">
        <v>79</v>
      </c>
      <c r="J127" s="2" t="s">
        <v>142</v>
      </c>
      <c r="M127" s="3">
        <v>0</v>
      </c>
      <c r="N127" s="264">
        <v>0</v>
      </c>
      <c r="O127" s="111">
        <f>M127+N127</f>
        <v>0</v>
      </c>
      <c r="P127" s="264">
        <f>P68</f>
        <v>0</v>
      </c>
      <c r="Q127" s="111">
        <v>0</v>
      </c>
      <c r="R127" s="465">
        <v>0</v>
      </c>
      <c r="S127" s="21">
        <f t="shared" si="6"/>
        <v>0</v>
      </c>
      <c r="T127" s="264">
        <f>T68</f>
        <v>0</v>
      </c>
      <c r="U127" s="484"/>
      <c r="V127" s="85">
        <f>V68</f>
        <v>0</v>
      </c>
    </row>
    <row r="128" spans="1:22" ht="15">
      <c r="A128" s="28"/>
      <c r="B128" s="28"/>
      <c r="C128" s="28" t="s">
        <v>139</v>
      </c>
      <c r="D128" s="28"/>
      <c r="E128" s="24"/>
      <c r="F128" s="24"/>
      <c r="G128" s="24"/>
      <c r="H128" s="24"/>
      <c r="I128" s="24" t="s">
        <v>143</v>
      </c>
      <c r="J128" s="24"/>
      <c r="K128" s="24"/>
      <c r="L128" s="24"/>
      <c r="M128" s="32">
        <f>SUM(M126:M127)</f>
        <v>3100</v>
      </c>
      <c r="N128" s="262">
        <v>0</v>
      </c>
      <c r="O128" s="261">
        <f>M128+N128</f>
        <v>3100</v>
      </c>
      <c r="P128" s="262">
        <f>SUM(P126:P127)</f>
        <v>2934</v>
      </c>
      <c r="Q128" s="111">
        <f>SUM(P128/O128)*100</f>
        <v>94.64516129032258</v>
      </c>
      <c r="R128" s="467">
        <f>SUM(R126:R127)</f>
        <v>0</v>
      </c>
      <c r="S128" s="466">
        <f t="shared" si="6"/>
        <v>3100</v>
      </c>
      <c r="T128" s="85">
        <f>SUM(T126:T127)</f>
        <v>3735</v>
      </c>
      <c r="U128" s="484">
        <f>SUM(T128/S128)*100</f>
        <v>120.48387096774194</v>
      </c>
      <c r="V128" s="262">
        <f>SUM(V126:V127)</f>
        <v>1946</v>
      </c>
    </row>
    <row r="129" spans="1:22" ht="15.75">
      <c r="A129" s="526"/>
      <c r="B129" s="526"/>
      <c r="C129" s="526"/>
      <c r="D129" s="527"/>
      <c r="E129" s="526"/>
      <c r="F129" s="113"/>
      <c r="G129" s="113"/>
      <c r="H129" s="113"/>
      <c r="I129" s="527" t="s">
        <v>159</v>
      </c>
      <c r="J129" s="113"/>
      <c r="K129" s="113"/>
      <c r="L129" s="113"/>
      <c r="M129" s="112">
        <f>SUM(M114+M115+M116+M120+M124+M128)</f>
        <v>2211000</v>
      </c>
      <c r="N129" s="263">
        <f>N114+N115+N116+N120+N124+N128</f>
        <v>370342</v>
      </c>
      <c r="O129" s="263">
        <f>M129+N129</f>
        <v>2581342</v>
      </c>
      <c r="P129" s="263">
        <f>P114+P115+P116+P120+P124+P128</f>
        <v>833229</v>
      </c>
      <c r="Q129" s="407">
        <f>SUM(P129/O129)*100</f>
        <v>32.27890763796506</v>
      </c>
      <c r="R129" s="420">
        <f>R114+R115+R116+R120+R124+R128</f>
        <v>2462156</v>
      </c>
      <c r="S129" s="420">
        <f t="shared" si="6"/>
        <v>5043498</v>
      </c>
      <c r="T129" s="263" t="e">
        <f>T114+T115+T116+T120+T124+T128</f>
        <v>#REF!</v>
      </c>
      <c r="U129" s="489" t="e">
        <f>SUM(T129/S129)*100</f>
        <v>#REF!</v>
      </c>
      <c r="V129" s="263" t="e">
        <f>V114+V115+V116+V120+V124+V128</f>
        <v>#REF!</v>
      </c>
    </row>
    <row r="130" spans="1:21" ht="15.75">
      <c r="A130" s="17"/>
      <c r="B130" s="17"/>
      <c r="C130" s="17"/>
      <c r="D130" s="4"/>
      <c r="E130" s="17"/>
      <c r="F130" s="19"/>
      <c r="G130" s="19"/>
      <c r="H130" s="19"/>
      <c r="I130" s="4"/>
      <c r="J130" s="19"/>
      <c r="K130" s="19"/>
      <c r="L130" s="19"/>
      <c r="M130" s="487"/>
      <c r="N130" s="488"/>
      <c r="O130" s="488"/>
      <c r="P130" s="488"/>
      <c r="Q130" s="488"/>
      <c r="R130" s="463"/>
      <c r="S130" s="463"/>
      <c r="T130" s="488"/>
      <c r="U130" s="490"/>
    </row>
    <row r="131" spans="1:21" ht="15.75">
      <c r="A131" s="17"/>
      <c r="B131" s="17"/>
      <c r="C131" s="17"/>
      <c r="D131" s="4"/>
      <c r="E131" s="17"/>
      <c r="F131" s="19"/>
      <c r="G131" s="19"/>
      <c r="H131" s="19"/>
      <c r="I131" s="4"/>
      <c r="J131" s="19"/>
      <c r="K131" s="19"/>
      <c r="L131" s="19"/>
      <c r="M131" s="20"/>
      <c r="N131" s="20"/>
      <c r="O131" s="20"/>
      <c r="P131" s="20"/>
      <c r="Q131" s="20"/>
      <c r="R131" s="21"/>
      <c r="S131" s="21"/>
      <c r="T131" s="20"/>
      <c r="U131" s="483"/>
    </row>
    <row r="132" spans="1:22" ht="15.75">
      <c r="A132" s="274"/>
      <c r="B132" s="528" t="s">
        <v>160</v>
      </c>
      <c r="C132" s="274"/>
      <c r="D132" s="529"/>
      <c r="E132" s="274"/>
      <c r="F132" s="272"/>
      <c r="G132" s="272"/>
      <c r="H132" s="272"/>
      <c r="I132" s="529"/>
      <c r="J132" s="272"/>
      <c r="K132" s="272"/>
      <c r="L132" s="272"/>
      <c r="M132" s="261"/>
      <c r="N132" s="261"/>
      <c r="O132" s="261"/>
      <c r="P132" s="261"/>
      <c r="Q132" s="261"/>
      <c r="R132" s="466"/>
      <c r="S132" s="466"/>
      <c r="T132" s="261"/>
      <c r="U132" s="486"/>
      <c r="V132" s="262"/>
    </row>
    <row r="133" spans="1:21" ht="15">
      <c r="A133" s="17" t="s">
        <v>74</v>
      </c>
      <c r="B133" s="17"/>
      <c r="C133" s="17"/>
      <c r="D133" s="17"/>
      <c r="E133" s="17"/>
      <c r="F133" s="19"/>
      <c r="G133" s="19" t="s">
        <v>161</v>
      </c>
      <c r="H133" s="19"/>
      <c r="I133" s="19"/>
      <c r="J133" s="19"/>
      <c r="K133" s="19"/>
      <c r="L133" s="19"/>
      <c r="O133" s="20"/>
      <c r="Q133" s="20"/>
      <c r="S133" s="21"/>
      <c r="U133" s="483"/>
    </row>
    <row r="134" spans="3:21" ht="15">
      <c r="C134" s="1" t="s">
        <v>162</v>
      </c>
      <c r="I134" s="2" t="s">
        <v>163</v>
      </c>
      <c r="O134" s="20"/>
      <c r="Q134" s="20"/>
      <c r="S134" s="21"/>
      <c r="T134" s="20"/>
      <c r="U134" s="483"/>
    </row>
    <row r="135" spans="4:22" ht="15">
      <c r="D135" s="1" t="s">
        <v>74</v>
      </c>
      <c r="J135" s="2" t="s">
        <v>164</v>
      </c>
      <c r="M135" s="3">
        <v>0</v>
      </c>
      <c r="N135" s="3">
        <v>0</v>
      </c>
      <c r="O135" s="20">
        <f>M135+N135</f>
        <v>0</v>
      </c>
      <c r="P135" s="3">
        <v>0</v>
      </c>
      <c r="Q135" s="20">
        <v>0</v>
      </c>
      <c r="R135" s="461">
        <v>0</v>
      </c>
      <c r="S135" s="21">
        <f t="shared" si="6"/>
        <v>0</v>
      </c>
      <c r="T135" s="20">
        <v>0</v>
      </c>
      <c r="U135" s="483">
        <v>0</v>
      </c>
      <c r="V135" s="85">
        <v>0</v>
      </c>
    </row>
    <row r="136" spans="4:22" ht="15">
      <c r="D136" s="1" t="s">
        <v>79</v>
      </c>
      <c r="J136" s="2" t="s">
        <v>165</v>
      </c>
      <c r="M136" s="3">
        <v>134035</v>
      </c>
      <c r="N136" s="3">
        <v>16055</v>
      </c>
      <c r="O136" s="20">
        <f>M136+N136</f>
        <v>150090</v>
      </c>
      <c r="P136" s="3">
        <v>0</v>
      </c>
      <c r="Q136" s="20">
        <f>SUM(P136/O136)*100</f>
        <v>0</v>
      </c>
      <c r="R136" s="461">
        <v>39668</v>
      </c>
      <c r="S136" s="21">
        <f t="shared" si="6"/>
        <v>189758</v>
      </c>
      <c r="T136" s="20">
        <v>0</v>
      </c>
      <c r="U136" s="483">
        <f>SUM(T136/S136)*100</f>
        <v>0</v>
      </c>
      <c r="V136" s="85">
        <v>98001</v>
      </c>
    </row>
    <row r="137" spans="4:22" ht="15">
      <c r="D137" s="1" t="s">
        <v>126</v>
      </c>
      <c r="J137" s="2" t="s">
        <v>166</v>
      </c>
      <c r="M137" s="3">
        <v>0</v>
      </c>
      <c r="N137" s="111">
        <v>0</v>
      </c>
      <c r="O137" s="111">
        <f>M137+N137</f>
        <v>0</v>
      </c>
      <c r="P137" s="111">
        <v>0</v>
      </c>
      <c r="Q137" s="111">
        <v>0</v>
      </c>
      <c r="R137" s="461">
        <v>0</v>
      </c>
      <c r="S137" s="21">
        <f t="shared" si="6"/>
        <v>0</v>
      </c>
      <c r="T137" s="3">
        <v>0</v>
      </c>
      <c r="U137" s="484">
        <v>0</v>
      </c>
      <c r="V137" s="85">
        <v>0</v>
      </c>
    </row>
    <row r="138" spans="1:22" ht="15.75">
      <c r="A138" s="13"/>
      <c r="B138" s="13"/>
      <c r="C138" s="13" t="s">
        <v>162</v>
      </c>
      <c r="D138" s="13"/>
      <c r="E138" s="13"/>
      <c r="F138" s="14"/>
      <c r="G138" s="14"/>
      <c r="H138" s="14"/>
      <c r="I138" s="14" t="s">
        <v>167</v>
      </c>
      <c r="J138" s="14"/>
      <c r="K138" s="14"/>
      <c r="L138" s="14"/>
      <c r="M138" s="15">
        <f>SUM(M135:M137)</f>
        <v>134035</v>
      </c>
      <c r="N138" s="263">
        <f>SUM(N135:N137)</f>
        <v>16055</v>
      </c>
      <c r="O138" s="263">
        <f>M138+N138</f>
        <v>150090</v>
      </c>
      <c r="P138" s="263">
        <f>SUM(P135:P137)</f>
        <v>0</v>
      </c>
      <c r="Q138" s="407">
        <f>SUM(P138/O138)*100</f>
        <v>0</v>
      </c>
      <c r="R138" s="418">
        <f>SUM(R135:R137)</f>
        <v>39668</v>
      </c>
      <c r="S138" s="418">
        <f t="shared" si="6"/>
        <v>189758</v>
      </c>
      <c r="T138" s="263">
        <f>SUM(T135:T137)</f>
        <v>0</v>
      </c>
      <c r="U138" s="489">
        <f>SUM(T138/S138)*100</f>
        <v>0</v>
      </c>
      <c r="V138" s="263">
        <f>SUM(V135:V137)</f>
        <v>98001</v>
      </c>
    </row>
    <row r="139" spans="3:21" ht="15">
      <c r="C139" s="1" t="s">
        <v>168</v>
      </c>
      <c r="I139" s="2" t="s">
        <v>169</v>
      </c>
      <c r="O139" s="20"/>
      <c r="Q139" s="20"/>
      <c r="S139" s="21"/>
      <c r="U139" s="483"/>
    </row>
    <row r="140" spans="4:22" ht="15">
      <c r="D140" s="1" t="s">
        <v>74</v>
      </c>
      <c r="J140" s="2" t="s">
        <v>648</v>
      </c>
      <c r="M140" s="3">
        <v>1337168</v>
      </c>
      <c r="N140" s="111">
        <v>28116</v>
      </c>
      <c r="O140" s="111">
        <f>M140+N140</f>
        <v>1365284</v>
      </c>
      <c r="P140" s="111">
        <v>0</v>
      </c>
      <c r="Q140" s="111">
        <f>SUM(P140/O140)*100</f>
        <v>0</v>
      </c>
      <c r="R140" s="461">
        <v>1687841</v>
      </c>
      <c r="S140" s="21">
        <f t="shared" si="6"/>
        <v>3053125</v>
      </c>
      <c r="T140" s="3">
        <v>393833</v>
      </c>
      <c r="U140" s="484">
        <f>SUM(T140/S140)*100</f>
        <v>12.89934083930399</v>
      </c>
      <c r="V140" s="85">
        <v>0</v>
      </c>
    </row>
    <row r="141" spans="1:22" ht="15.75">
      <c r="A141" s="28"/>
      <c r="B141" s="28"/>
      <c r="C141" s="13" t="s">
        <v>168</v>
      </c>
      <c r="D141" s="13"/>
      <c r="E141" s="13"/>
      <c r="F141" s="14"/>
      <c r="G141" s="14"/>
      <c r="H141" s="14"/>
      <c r="I141" s="14" t="s">
        <v>171</v>
      </c>
      <c r="J141" s="14"/>
      <c r="K141" s="14"/>
      <c r="L141" s="14"/>
      <c r="M141" s="15">
        <f>SUM(M140)</f>
        <v>1337168</v>
      </c>
      <c r="N141" s="263">
        <f>SUM(N140)</f>
        <v>28116</v>
      </c>
      <c r="O141" s="263">
        <f>M141+N141</f>
        <v>1365284</v>
      </c>
      <c r="P141" s="263">
        <f>SUM(P140)</f>
        <v>0</v>
      </c>
      <c r="Q141" s="407">
        <f>SUM(P141/O141)*100</f>
        <v>0</v>
      </c>
      <c r="R141" s="418">
        <f>SUM(R140)</f>
        <v>1687841</v>
      </c>
      <c r="S141" s="418">
        <f t="shared" si="6"/>
        <v>3053125</v>
      </c>
      <c r="T141" s="263">
        <f>SUM(T140)</f>
        <v>393833</v>
      </c>
      <c r="U141" s="489">
        <f>SUM(T141/S141)*100</f>
        <v>12.89934083930399</v>
      </c>
      <c r="V141" s="263">
        <f>SUM(V140)</f>
        <v>0</v>
      </c>
    </row>
    <row r="142" spans="1:22" ht="15.75">
      <c r="A142" s="16" t="s">
        <v>74</v>
      </c>
      <c r="B142" s="4"/>
      <c r="C142" s="35"/>
      <c r="D142" s="35"/>
      <c r="E142" s="35"/>
      <c r="F142" s="36"/>
      <c r="H142" s="36" t="s">
        <v>144</v>
      </c>
      <c r="I142" s="36"/>
      <c r="J142" s="36"/>
      <c r="K142" s="36"/>
      <c r="L142" s="36"/>
      <c r="M142" s="112">
        <f>SUM(M138+M141)</f>
        <v>1471203</v>
      </c>
      <c r="N142" s="263">
        <f>N138+N141</f>
        <v>44171</v>
      </c>
      <c r="O142" s="263">
        <f>M142+N142</f>
        <v>1515374</v>
      </c>
      <c r="P142" s="263">
        <f>P138+P141</f>
        <v>0</v>
      </c>
      <c r="Q142" s="407">
        <f>SUM(P142/O142)*100</f>
        <v>0</v>
      </c>
      <c r="R142" s="418">
        <f>R138+R141</f>
        <v>1727509</v>
      </c>
      <c r="S142" s="418">
        <f t="shared" si="6"/>
        <v>3242883</v>
      </c>
      <c r="T142" s="263">
        <f>T138+T141</f>
        <v>393833</v>
      </c>
      <c r="U142" s="489">
        <f>SUM(T142/S142)*100</f>
        <v>12.144533120683047</v>
      </c>
      <c r="V142" s="263">
        <f>V138+V141</f>
        <v>98001</v>
      </c>
    </row>
    <row r="143" spans="1:21" ht="15">
      <c r="A143" s="8" t="s">
        <v>79</v>
      </c>
      <c r="B143" s="8"/>
      <c r="C143" s="8"/>
      <c r="D143" s="8"/>
      <c r="E143" s="8"/>
      <c r="F143" s="9"/>
      <c r="G143" s="9" t="s">
        <v>170</v>
      </c>
      <c r="H143" s="9"/>
      <c r="I143" s="9"/>
      <c r="J143" s="9"/>
      <c r="K143" s="9"/>
      <c r="L143" s="9"/>
      <c r="O143" s="20"/>
      <c r="Q143" s="20"/>
      <c r="S143" s="21"/>
      <c r="U143" s="483"/>
    </row>
    <row r="144" spans="3:21" ht="15">
      <c r="C144" s="1" t="s">
        <v>168</v>
      </c>
      <c r="I144" s="2" t="s">
        <v>169</v>
      </c>
      <c r="O144" s="20"/>
      <c r="Q144" s="20"/>
      <c r="S144" s="21"/>
      <c r="U144" s="483"/>
    </row>
    <row r="145" spans="4:22" ht="15">
      <c r="D145" s="1" t="s">
        <v>74</v>
      </c>
      <c r="J145" s="2" t="s">
        <v>648</v>
      </c>
      <c r="M145" s="3">
        <v>0</v>
      </c>
      <c r="N145" s="111">
        <v>0</v>
      </c>
      <c r="O145" s="111">
        <f>M145+N145</f>
        <v>0</v>
      </c>
      <c r="P145" s="111">
        <v>0</v>
      </c>
      <c r="Q145" s="111">
        <v>0</v>
      </c>
      <c r="R145" s="461">
        <v>34246</v>
      </c>
      <c r="S145" s="21">
        <f aca="true" t="shared" si="7" ref="S145:S157">O145+R145</f>
        <v>34246</v>
      </c>
      <c r="T145" s="3">
        <v>33768</v>
      </c>
      <c r="U145" s="484">
        <f aca="true" t="shared" si="8" ref="U145:U157">SUM(T145/S145)*100</f>
        <v>98.60421655083805</v>
      </c>
      <c r="V145" s="85">
        <v>0</v>
      </c>
    </row>
    <row r="146" spans="1:22" s="16" customFormat="1" ht="15.75">
      <c r="A146" s="13" t="s">
        <v>79</v>
      </c>
      <c r="B146" s="13"/>
      <c r="C146" s="13"/>
      <c r="D146" s="13"/>
      <c r="E146" s="13"/>
      <c r="F146" s="14"/>
      <c r="G146" s="14"/>
      <c r="H146" s="14" t="s">
        <v>150</v>
      </c>
      <c r="I146" s="14"/>
      <c r="J146" s="14"/>
      <c r="K146" s="14"/>
      <c r="L146" s="14"/>
      <c r="M146" s="15">
        <f>SUM(M145)</f>
        <v>0</v>
      </c>
      <c r="N146" s="263">
        <v>0</v>
      </c>
      <c r="O146" s="263">
        <f>M146+N146</f>
        <v>0</v>
      </c>
      <c r="P146" s="260">
        <f>SUM(P145)</f>
        <v>0</v>
      </c>
      <c r="Q146" s="407">
        <v>0</v>
      </c>
      <c r="R146" s="418">
        <f>SUM(R145)</f>
        <v>34246</v>
      </c>
      <c r="S146" s="418">
        <f t="shared" si="7"/>
        <v>34246</v>
      </c>
      <c r="T146" s="260">
        <f>SUM(T145)</f>
        <v>33768</v>
      </c>
      <c r="U146" s="489">
        <f t="shared" si="8"/>
        <v>98.60421655083805</v>
      </c>
      <c r="V146" s="262">
        <f>SUM(V145)</f>
        <v>0</v>
      </c>
    </row>
    <row r="147" spans="1:21" ht="15">
      <c r="A147" s="1" t="s">
        <v>126</v>
      </c>
      <c r="G147" s="2" t="s">
        <v>512</v>
      </c>
      <c r="O147" s="20"/>
      <c r="Q147" s="20"/>
      <c r="S147" s="21"/>
      <c r="U147" s="483"/>
    </row>
    <row r="148" spans="3:21" ht="15">
      <c r="C148" s="1" t="s">
        <v>168</v>
      </c>
      <c r="I148" s="2" t="s">
        <v>169</v>
      </c>
      <c r="O148" s="20"/>
      <c r="Q148" s="20"/>
      <c r="S148" s="21"/>
      <c r="U148" s="483"/>
    </row>
    <row r="149" spans="4:22" ht="15">
      <c r="D149" s="1" t="s">
        <v>74</v>
      </c>
      <c r="J149" s="2" t="s">
        <v>648</v>
      </c>
      <c r="M149" s="3">
        <v>0</v>
      </c>
      <c r="N149" s="111">
        <v>0</v>
      </c>
      <c r="O149" s="111">
        <f>M149+N149</f>
        <v>0</v>
      </c>
      <c r="P149" s="111">
        <v>0</v>
      </c>
      <c r="Q149" s="111">
        <v>0</v>
      </c>
      <c r="R149" s="461">
        <v>9723</v>
      </c>
      <c r="S149" s="21">
        <f t="shared" si="7"/>
        <v>9723</v>
      </c>
      <c r="T149" s="3">
        <v>9723</v>
      </c>
      <c r="U149" s="484">
        <f t="shared" si="8"/>
        <v>100</v>
      </c>
      <c r="V149" s="85">
        <v>0</v>
      </c>
    </row>
    <row r="150" spans="1:22" s="16" customFormat="1" ht="15.75">
      <c r="A150" s="13" t="s">
        <v>126</v>
      </c>
      <c r="B150" s="13"/>
      <c r="C150" s="13"/>
      <c r="D150" s="13"/>
      <c r="E150" s="13"/>
      <c r="F150" s="14"/>
      <c r="G150" s="14"/>
      <c r="H150" s="202" t="s">
        <v>513</v>
      </c>
      <c r="I150" s="14"/>
      <c r="J150" s="14"/>
      <c r="K150" s="14"/>
      <c r="L150" s="14"/>
      <c r="M150" s="15">
        <f>SUM(M149)</f>
        <v>0</v>
      </c>
      <c r="N150" s="263">
        <v>0</v>
      </c>
      <c r="O150" s="263">
        <f>M150+N150</f>
        <v>0</v>
      </c>
      <c r="P150" s="260">
        <f>SUM(P149)</f>
        <v>0</v>
      </c>
      <c r="Q150" s="407">
        <v>0</v>
      </c>
      <c r="R150" s="418">
        <f>SUM(R149)</f>
        <v>9723</v>
      </c>
      <c r="S150" s="418">
        <f t="shared" si="7"/>
        <v>9723</v>
      </c>
      <c r="T150" s="260">
        <f>SUM(T149)</f>
        <v>9723</v>
      </c>
      <c r="U150" s="489">
        <f t="shared" si="8"/>
        <v>100</v>
      </c>
      <c r="V150" s="263">
        <f>SUM(V149)</f>
        <v>0</v>
      </c>
    </row>
    <row r="151" spans="1:22" s="16" customFormat="1" ht="15.75">
      <c r="A151" s="1" t="s">
        <v>151</v>
      </c>
      <c r="B151" s="1"/>
      <c r="C151" s="1"/>
      <c r="D151" s="1"/>
      <c r="E151" s="1"/>
      <c r="F151" s="2"/>
      <c r="G151" s="2" t="s">
        <v>395</v>
      </c>
      <c r="I151" s="2"/>
      <c r="J151" s="2"/>
      <c r="K151" s="2"/>
      <c r="L151" s="2"/>
      <c r="M151" s="23"/>
      <c r="N151" s="23"/>
      <c r="O151" s="20"/>
      <c r="P151" s="23"/>
      <c r="Q151" s="20"/>
      <c r="R151" s="464"/>
      <c r="S151" s="21"/>
      <c r="T151" s="23"/>
      <c r="U151" s="483"/>
      <c r="V151" s="85"/>
    </row>
    <row r="152" spans="1:22" s="16" customFormat="1" ht="15.75">
      <c r="A152" s="1"/>
      <c r="B152" s="1"/>
      <c r="C152" s="1" t="s">
        <v>168</v>
      </c>
      <c r="D152" s="1"/>
      <c r="E152" s="1"/>
      <c r="F152" s="2"/>
      <c r="G152" s="2"/>
      <c r="H152" s="2"/>
      <c r="I152" s="2" t="s">
        <v>169</v>
      </c>
      <c r="J152" s="2"/>
      <c r="K152" s="2"/>
      <c r="L152" s="2"/>
      <c r="M152" s="23"/>
      <c r="N152" s="23"/>
      <c r="O152" s="20"/>
      <c r="P152" s="23"/>
      <c r="Q152" s="20"/>
      <c r="R152" s="464"/>
      <c r="S152" s="21"/>
      <c r="T152" s="23"/>
      <c r="U152" s="483"/>
      <c r="V152" s="85"/>
    </row>
    <row r="153" spans="1:22" s="16" customFormat="1" ht="15.75">
      <c r="A153" s="1"/>
      <c r="B153" s="1"/>
      <c r="C153" s="1"/>
      <c r="D153" s="1" t="s">
        <v>74</v>
      </c>
      <c r="E153" s="1"/>
      <c r="F153" s="2"/>
      <c r="G153" s="2"/>
      <c r="H153" s="2"/>
      <c r="I153" s="2"/>
      <c r="J153" s="2" t="s">
        <v>648</v>
      </c>
      <c r="K153" s="2"/>
      <c r="L153" s="2"/>
      <c r="M153" s="85">
        <v>0</v>
      </c>
      <c r="N153" s="86">
        <v>0</v>
      </c>
      <c r="O153" s="111">
        <f>M153+N153</f>
        <v>0</v>
      </c>
      <c r="P153" s="264">
        <v>0</v>
      </c>
      <c r="Q153" s="111">
        <v>0</v>
      </c>
      <c r="R153" s="465">
        <v>1198</v>
      </c>
      <c r="S153" s="21">
        <f t="shared" si="7"/>
        <v>1198</v>
      </c>
      <c r="T153" s="85">
        <v>265</v>
      </c>
      <c r="U153" s="484">
        <f t="shared" si="8"/>
        <v>22.120200333889816</v>
      </c>
      <c r="V153" s="85">
        <v>0</v>
      </c>
    </row>
    <row r="154" spans="1:22" s="16" customFormat="1" ht="15.75">
      <c r="A154" s="13" t="s">
        <v>151</v>
      </c>
      <c r="B154" s="13"/>
      <c r="C154" s="13"/>
      <c r="D154" s="13"/>
      <c r="E154" s="13"/>
      <c r="F154" s="14"/>
      <c r="G154" s="14"/>
      <c r="H154" s="14" t="s">
        <v>397</v>
      </c>
      <c r="I154" s="14"/>
      <c r="J154" s="14"/>
      <c r="K154" s="14"/>
      <c r="L154" s="14"/>
      <c r="M154" s="15">
        <f>SUM(M153)</f>
        <v>0</v>
      </c>
      <c r="N154" s="260">
        <v>0</v>
      </c>
      <c r="O154" s="263">
        <f>M154+N154</f>
        <v>0</v>
      </c>
      <c r="P154" s="263">
        <f>SUM(P153)</f>
        <v>0</v>
      </c>
      <c r="Q154" s="407">
        <v>0</v>
      </c>
      <c r="R154" s="418">
        <f>SUM(R153)</f>
        <v>1198</v>
      </c>
      <c r="S154" s="418">
        <f t="shared" si="7"/>
        <v>1198</v>
      </c>
      <c r="T154" s="263">
        <f>SUM(T153)</f>
        <v>265</v>
      </c>
      <c r="U154" s="489">
        <f t="shared" si="8"/>
        <v>22.120200333889816</v>
      </c>
      <c r="V154" s="263">
        <f>SUM(V153)</f>
        <v>0</v>
      </c>
    </row>
    <row r="155" spans="1:22" s="16" customFormat="1" ht="15.75">
      <c r="A155" s="13"/>
      <c r="B155" s="13"/>
      <c r="C155" s="13" t="s">
        <v>168</v>
      </c>
      <c r="D155" s="13"/>
      <c r="E155" s="13"/>
      <c r="F155" s="14"/>
      <c r="G155" s="14"/>
      <c r="H155" s="14"/>
      <c r="I155" s="14" t="s">
        <v>171</v>
      </c>
      <c r="J155" s="14"/>
      <c r="K155" s="14"/>
      <c r="L155" s="14"/>
      <c r="M155" s="15">
        <f>SUM(M141+M146+M150+M154)</f>
        <v>1337168</v>
      </c>
      <c r="N155" s="263">
        <f>N141+N146+N150+N154</f>
        <v>28116</v>
      </c>
      <c r="O155" s="263">
        <f>M155+N155</f>
        <v>1365284</v>
      </c>
      <c r="P155" s="263">
        <v>0</v>
      </c>
      <c r="Q155" s="407">
        <f>SUM(P155/O155)*100</f>
        <v>0</v>
      </c>
      <c r="R155" s="462">
        <f>R141+R145+R149+R153</f>
        <v>1733008</v>
      </c>
      <c r="S155" s="463">
        <f t="shared" si="7"/>
        <v>3098292</v>
      </c>
      <c r="T155" s="495">
        <f>T141+T146+T150+T154</f>
        <v>437589</v>
      </c>
      <c r="U155" s="489">
        <f t="shared" si="8"/>
        <v>14.12355581720509</v>
      </c>
      <c r="V155" s="495">
        <f>V141+V145+V149+V153</f>
        <v>0</v>
      </c>
    </row>
    <row r="156" spans="1:22" ht="15.75">
      <c r="A156" s="13"/>
      <c r="B156" s="34" t="s">
        <v>172</v>
      </c>
      <c r="C156" s="13"/>
      <c r="D156" s="13"/>
      <c r="E156" s="13"/>
      <c r="F156" s="14"/>
      <c r="G156" s="14"/>
      <c r="H156" s="14"/>
      <c r="I156" s="14"/>
      <c r="J156" s="14"/>
      <c r="K156" s="14"/>
      <c r="L156" s="14"/>
      <c r="M156" s="15">
        <f>SUM(M138+M155)</f>
        <v>1471203</v>
      </c>
      <c r="N156" s="263">
        <f>N138+N155</f>
        <v>44171</v>
      </c>
      <c r="O156" s="263">
        <f>M156+N156</f>
        <v>1515374</v>
      </c>
      <c r="P156" s="263">
        <v>0</v>
      </c>
      <c r="Q156" s="407">
        <f>SUM(P156/O156)*100</f>
        <v>0</v>
      </c>
      <c r="R156" s="418">
        <f>R138+R155</f>
        <v>1772676</v>
      </c>
      <c r="S156" s="418">
        <f>O156+R156</f>
        <v>3288050</v>
      </c>
      <c r="T156" s="263">
        <f>T138+T155</f>
        <v>437589</v>
      </c>
      <c r="U156" s="489">
        <f t="shared" si="8"/>
        <v>13.308465503870076</v>
      </c>
      <c r="V156" s="263">
        <f>V142+V146+V150+V154</f>
        <v>98001</v>
      </c>
    </row>
    <row r="157" spans="1:22" ht="15.75">
      <c r="A157" s="13"/>
      <c r="B157" s="34" t="s">
        <v>173</v>
      </c>
      <c r="C157" s="13"/>
      <c r="D157" s="13"/>
      <c r="E157" s="13"/>
      <c r="F157" s="14"/>
      <c r="G157" s="14"/>
      <c r="H157" s="14"/>
      <c r="I157" s="14"/>
      <c r="J157" s="14"/>
      <c r="K157" s="14"/>
      <c r="L157" s="14"/>
      <c r="M157" s="15">
        <f>SUM(M129+M156)</f>
        <v>3682203</v>
      </c>
      <c r="N157" s="263">
        <f>N129+N156</f>
        <v>414513</v>
      </c>
      <c r="O157" s="263">
        <f>M157+N157</f>
        <v>4096716</v>
      </c>
      <c r="P157" s="263">
        <f>P129+P156</f>
        <v>833229</v>
      </c>
      <c r="Q157" s="407">
        <f>SUM(P157/O157)*100</f>
        <v>20.33894953909424</v>
      </c>
      <c r="R157" s="418">
        <f>R129+R156</f>
        <v>4234832</v>
      </c>
      <c r="S157" s="418">
        <f t="shared" si="7"/>
        <v>8331548</v>
      </c>
      <c r="T157" s="263" t="e">
        <f>T129+T156</f>
        <v>#REF!</v>
      </c>
      <c r="U157" s="499" t="e">
        <f t="shared" si="8"/>
        <v>#REF!</v>
      </c>
      <c r="V157" s="263" t="e">
        <f>V129+V156</f>
        <v>#REF!</v>
      </c>
    </row>
    <row r="158" ht="15">
      <c r="U158" s="483"/>
    </row>
    <row r="159" spans="12:13" ht="15">
      <c r="L159" s="19"/>
      <c r="M159" s="20"/>
    </row>
  </sheetData>
  <sheetProtection selectLockedCells="1" selectUnlockedCells="1"/>
  <mergeCells count="3">
    <mergeCell ref="L2:V2"/>
    <mergeCell ref="A5:V5"/>
    <mergeCell ref="L8:V8"/>
  </mergeCells>
  <printOptions horizontalCentered="1"/>
  <pageMargins left="0.33" right="0.28" top="0.4" bottom="0.48" header="0.29" footer="0.5118055555555555"/>
  <pageSetup horizontalDpi="600" verticalDpi="600" orientation="portrait" paperSize="9" scale="59" r:id="rId1"/>
  <headerFooter alignWithMargins="0">
    <oddFooter>&amp;C&amp;P. oldal</oddFooter>
  </headerFooter>
  <rowBreaks count="2" manualBreakCount="2">
    <brk id="70" max="26" man="1"/>
    <brk id="130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I1" sqref="I1:Y1"/>
    </sheetView>
  </sheetViews>
  <sheetFormatPr defaultColWidth="9.00390625" defaultRowHeight="12.75"/>
  <cols>
    <col min="1" max="1" width="4.75390625" style="132" customWidth="1"/>
    <col min="2" max="2" width="5.625" style="133" customWidth="1"/>
    <col min="3" max="3" width="18.375" style="134" customWidth="1"/>
    <col min="4" max="4" width="9.125" style="134" customWidth="1"/>
    <col min="5" max="5" width="17.75390625" style="134" hidden="1" customWidth="1"/>
    <col min="6" max="6" width="17.00390625" style="135" hidden="1" customWidth="1"/>
    <col min="7" max="7" width="12.625" style="134" hidden="1" customWidth="1"/>
    <col min="8" max="8" width="13.125" style="135" hidden="1" customWidth="1"/>
    <col min="9" max="9" width="11.875" style="140" hidden="1" customWidth="1"/>
    <col min="10" max="10" width="15.875" style="135" hidden="1" customWidth="1"/>
    <col min="11" max="11" width="9.125" style="135" hidden="1" customWidth="1"/>
    <col min="12" max="12" width="12.25390625" style="135" hidden="1" customWidth="1"/>
    <col min="13" max="13" width="10.125" style="535" hidden="1" customWidth="1"/>
    <col min="14" max="14" width="16.125" style="135" hidden="1" customWidth="1"/>
    <col min="15" max="15" width="9.25390625" style="135" hidden="1" customWidth="1"/>
    <col min="16" max="16" width="13.125" style="135" hidden="1" customWidth="1"/>
    <col min="17" max="17" width="11.125" style="535" hidden="1" customWidth="1"/>
    <col min="18" max="18" width="15.75390625" style="135" customWidth="1"/>
    <col min="19" max="19" width="11.375" style="135" bestFit="1" customWidth="1"/>
    <col min="20" max="20" width="14.00390625" style="135" customWidth="1"/>
    <col min="21" max="21" width="11.75390625" style="535" customWidth="1"/>
    <col min="22" max="22" width="17.125" style="135" hidden="1" customWidth="1"/>
    <col min="23" max="23" width="11.75390625" style="135" hidden="1" customWidth="1"/>
    <col min="24" max="24" width="16.25390625" style="135" hidden="1" customWidth="1"/>
    <col min="25" max="25" width="11.875" style="135" hidden="1" customWidth="1"/>
    <col min="26" max="16384" width="9.125" style="134" customWidth="1"/>
  </cols>
  <sheetData>
    <row r="1" spans="2:25" ht="12.75">
      <c r="B1" s="133" t="s">
        <v>112</v>
      </c>
      <c r="I1" s="860" t="s">
        <v>703</v>
      </c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</row>
    <row r="3" spans="1:25" ht="26.25" customHeight="1">
      <c r="A3" s="862" t="s">
        <v>436</v>
      </c>
      <c r="B3" s="862"/>
      <c r="C3" s="862"/>
      <c r="D3" s="862"/>
      <c r="E3" s="862"/>
      <c r="F3" s="862"/>
      <c r="G3" s="862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</row>
    <row r="4" spans="1:25" ht="12.75">
      <c r="A4" s="862" t="s">
        <v>530</v>
      </c>
      <c r="B4" s="862"/>
      <c r="C4" s="862"/>
      <c r="D4" s="862"/>
      <c r="E4" s="862"/>
      <c r="F4" s="862"/>
      <c r="G4" s="862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</row>
    <row r="6" spans="3:25" ht="12.75">
      <c r="C6" s="136"/>
      <c r="G6" s="870" t="s">
        <v>60</v>
      </c>
      <c r="H6" s="870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</row>
    <row r="7" spans="1:9" ht="12.75">
      <c r="A7" s="873"/>
      <c r="B7" s="873"/>
      <c r="C7" s="873"/>
      <c r="D7" s="873"/>
      <c r="E7" s="873"/>
      <c r="F7" s="530"/>
      <c r="G7" s="531"/>
      <c r="H7" s="532"/>
      <c r="I7" s="533"/>
    </row>
    <row r="8" spans="1:25" s="140" customFormat="1" ht="12.75" customHeight="1">
      <c r="A8" s="223"/>
      <c r="B8" s="144"/>
      <c r="C8" s="144"/>
      <c r="D8" s="144"/>
      <c r="E8" s="236"/>
      <c r="F8" s="864" t="s">
        <v>454</v>
      </c>
      <c r="G8" s="865"/>
      <c r="H8" s="865"/>
      <c r="I8" s="866"/>
      <c r="J8" s="864" t="s">
        <v>461</v>
      </c>
      <c r="K8" s="865"/>
      <c r="L8" s="865"/>
      <c r="M8" s="866"/>
      <c r="N8" s="867" t="s">
        <v>358</v>
      </c>
      <c r="O8" s="868"/>
      <c r="P8" s="868"/>
      <c r="Q8" s="869"/>
      <c r="R8" s="867" t="s">
        <v>531</v>
      </c>
      <c r="S8" s="868"/>
      <c r="T8" s="868"/>
      <c r="U8" s="869"/>
      <c r="V8" s="867" t="s">
        <v>504</v>
      </c>
      <c r="W8" s="868"/>
      <c r="X8" s="868"/>
      <c r="Y8" s="869"/>
    </row>
    <row r="9" spans="1:25" s="140" customFormat="1" ht="30" customHeight="1">
      <c r="A9" s="227"/>
      <c r="B9" s="138"/>
      <c r="C9" s="139"/>
      <c r="D9" s="153"/>
      <c r="E9" s="228"/>
      <c r="F9" s="871" t="s">
        <v>431</v>
      </c>
      <c r="G9" s="878" t="s">
        <v>430</v>
      </c>
      <c r="H9" s="878"/>
      <c r="I9" s="874" t="s">
        <v>147</v>
      </c>
      <c r="J9" s="872" t="s">
        <v>431</v>
      </c>
      <c r="K9" s="872" t="s">
        <v>430</v>
      </c>
      <c r="L9" s="872"/>
      <c r="M9" s="876" t="s">
        <v>147</v>
      </c>
      <c r="N9" s="872" t="s">
        <v>431</v>
      </c>
      <c r="O9" s="872" t="s">
        <v>430</v>
      </c>
      <c r="P9" s="872"/>
      <c r="Q9" s="876" t="s">
        <v>147</v>
      </c>
      <c r="R9" s="872" t="s">
        <v>431</v>
      </c>
      <c r="S9" s="872" t="s">
        <v>430</v>
      </c>
      <c r="T9" s="872"/>
      <c r="U9" s="876" t="s">
        <v>147</v>
      </c>
      <c r="V9" s="872" t="s">
        <v>431</v>
      </c>
      <c r="W9" s="872" t="s">
        <v>430</v>
      </c>
      <c r="X9" s="872"/>
      <c r="Y9" s="876" t="s">
        <v>147</v>
      </c>
    </row>
    <row r="10" spans="1:25" s="140" customFormat="1" ht="20.25" customHeight="1">
      <c r="A10" s="229"/>
      <c r="B10" s="240"/>
      <c r="C10" s="230"/>
      <c r="D10" s="147"/>
      <c r="E10" s="231"/>
      <c r="F10" s="872"/>
      <c r="G10" s="211" t="s">
        <v>429</v>
      </c>
      <c r="H10" s="250" t="s">
        <v>428</v>
      </c>
      <c r="I10" s="875"/>
      <c r="J10" s="872"/>
      <c r="K10" s="534" t="s">
        <v>429</v>
      </c>
      <c r="L10" s="250" t="s">
        <v>428</v>
      </c>
      <c r="M10" s="877"/>
      <c r="N10" s="872"/>
      <c r="O10" s="534" t="s">
        <v>429</v>
      </c>
      <c r="P10" s="250" t="s">
        <v>428</v>
      </c>
      <c r="Q10" s="877"/>
      <c r="R10" s="872"/>
      <c r="S10" s="534" t="s">
        <v>429</v>
      </c>
      <c r="T10" s="250" t="s">
        <v>428</v>
      </c>
      <c r="U10" s="877"/>
      <c r="V10" s="872"/>
      <c r="W10" s="534" t="s">
        <v>429</v>
      </c>
      <c r="X10" s="250" t="s">
        <v>428</v>
      </c>
      <c r="Y10" s="877"/>
    </row>
    <row r="11" spans="1:25" s="140" customFormat="1" ht="20.25" customHeight="1">
      <c r="A11" s="227"/>
      <c r="B11" s="232" t="s">
        <v>341</v>
      </c>
      <c r="C11" s="139"/>
      <c r="D11" s="153"/>
      <c r="E11" s="228"/>
      <c r="F11" s="212"/>
      <c r="G11" s="219"/>
      <c r="H11" s="251"/>
      <c r="I11" s="224"/>
      <c r="J11" s="535"/>
      <c r="K11" s="256"/>
      <c r="L11" s="535"/>
      <c r="M11" s="256"/>
      <c r="N11" s="256"/>
      <c r="O11" s="256"/>
      <c r="P11" s="256"/>
      <c r="Q11" s="256"/>
      <c r="R11" s="256"/>
      <c r="S11" s="256"/>
      <c r="T11" s="256"/>
      <c r="U11" s="221"/>
      <c r="V11" s="256"/>
      <c r="W11" s="256"/>
      <c r="X11" s="256"/>
      <c r="Y11" s="256"/>
    </row>
    <row r="12" spans="1:25" s="140" customFormat="1" ht="26.25" customHeight="1">
      <c r="A12" s="227" t="s">
        <v>342</v>
      </c>
      <c r="B12" s="138" t="s">
        <v>343</v>
      </c>
      <c r="C12" s="139"/>
      <c r="D12" s="153"/>
      <c r="E12" s="228"/>
      <c r="F12" s="213"/>
      <c r="G12" s="220"/>
      <c r="H12" s="252"/>
      <c r="I12" s="225"/>
      <c r="J12" s="535"/>
      <c r="K12" s="226"/>
      <c r="L12" s="535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</row>
    <row r="13" spans="1:25" ht="12.75" customHeight="1">
      <c r="A13" s="233"/>
      <c r="B13" s="151" t="s">
        <v>203</v>
      </c>
      <c r="C13" s="141" t="s">
        <v>146</v>
      </c>
      <c r="D13" s="158"/>
      <c r="E13" s="234"/>
      <c r="F13" s="214"/>
      <c r="G13" s="214"/>
      <c r="H13" s="214"/>
      <c r="I13" s="217">
        <f>SUM(F13:H13)</f>
        <v>0</v>
      </c>
      <c r="J13" s="254">
        <v>0</v>
      </c>
      <c r="K13" s="150"/>
      <c r="L13" s="254"/>
      <c r="M13" s="226">
        <f>SUM(J13:L13)</f>
        <v>0</v>
      </c>
      <c r="N13" s="254">
        <v>0</v>
      </c>
      <c r="O13" s="254"/>
      <c r="P13" s="254"/>
      <c r="Q13" s="226">
        <f>N13+O13+P13</f>
        <v>0</v>
      </c>
      <c r="R13" s="254">
        <v>1000</v>
      </c>
      <c r="S13" s="254">
        <v>103290</v>
      </c>
      <c r="T13" s="254">
        <v>34000</v>
      </c>
      <c r="U13" s="226">
        <f>SUM(Q13:T13)</f>
        <v>138290</v>
      </c>
      <c r="V13" s="254">
        <v>0</v>
      </c>
      <c r="W13" s="254">
        <v>287831</v>
      </c>
      <c r="X13" s="254">
        <v>200322</v>
      </c>
      <c r="Y13" s="217">
        <v>488153</v>
      </c>
    </row>
    <row r="14" spans="1:25" ht="12.75">
      <c r="A14" s="233"/>
      <c r="B14" s="151" t="s">
        <v>200</v>
      </c>
      <c r="C14" s="141" t="s">
        <v>344</v>
      </c>
      <c r="D14" s="158"/>
      <c r="E14" s="234"/>
      <c r="F14" s="214"/>
      <c r="G14" s="214"/>
      <c r="H14" s="214"/>
      <c r="I14" s="217">
        <f aca="true" t="shared" si="0" ref="I14:I26">SUM(F14:H14)</f>
        <v>0</v>
      </c>
      <c r="J14" s="254">
        <v>0</v>
      </c>
      <c r="K14" s="150"/>
      <c r="L14" s="254"/>
      <c r="M14" s="226">
        <f>SUM(J14:L14)</f>
        <v>0</v>
      </c>
      <c r="N14" s="558">
        <v>0</v>
      </c>
      <c r="O14" s="558"/>
      <c r="P14" s="558"/>
      <c r="Q14" s="255">
        <f aca="true" t="shared" si="1" ref="Q14:Q65">N14+O14+P14</f>
        <v>0</v>
      </c>
      <c r="R14" s="254">
        <v>0</v>
      </c>
      <c r="S14" s="254">
        <v>739000</v>
      </c>
      <c r="T14" s="254">
        <v>0</v>
      </c>
      <c r="U14" s="226">
        <f>SUM(Q14:T14)</f>
        <v>739000</v>
      </c>
      <c r="V14" s="254">
        <v>0</v>
      </c>
      <c r="W14" s="254">
        <v>61789</v>
      </c>
      <c r="X14" s="254">
        <f aca="true" t="shared" si="2" ref="X14:X65">Y14-W14-V14</f>
        <v>614638</v>
      </c>
      <c r="Y14" s="217">
        <v>676427</v>
      </c>
    </row>
    <row r="15" spans="1:25" s="140" customFormat="1" ht="12.75">
      <c r="A15" s="235" t="s">
        <v>76</v>
      </c>
      <c r="B15" s="142" t="s">
        <v>411</v>
      </c>
      <c r="C15" s="143"/>
      <c r="D15" s="144"/>
      <c r="E15" s="236"/>
      <c r="F15" s="215">
        <f aca="true" t="shared" si="3" ref="F15:L15">SUM(F13:F14)</f>
        <v>0</v>
      </c>
      <c r="G15" s="215">
        <f t="shared" si="3"/>
        <v>0</v>
      </c>
      <c r="H15" s="215">
        <f t="shared" si="3"/>
        <v>0</v>
      </c>
      <c r="I15" s="215">
        <f t="shared" si="3"/>
        <v>0</v>
      </c>
      <c r="J15" s="168">
        <f t="shared" si="3"/>
        <v>0</v>
      </c>
      <c r="K15" s="168">
        <f t="shared" si="3"/>
        <v>0</v>
      </c>
      <c r="L15" s="168">
        <f t="shared" si="3"/>
        <v>0</v>
      </c>
      <c r="M15" s="168">
        <f>SUM(J15:L15)</f>
        <v>0</v>
      </c>
      <c r="N15" s="226">
        <v>0</v>
      </c>
      <c r="O15" s="226">
        <f>SUM(O13:O14)</f>
        <v>0</v>
      </c>
      <c r="P15" s="226">
        <f>SUM(P13:P14)</f>
        <v>0</v>
      </c>
      <c r="Q15" s="226">
        <f t="shared" si="1"/>
        <v>0</v>
      </c>
      <c r="R15" s="168">
        <f aca="true" t="shared" si="4" ref="R15:W15">SUM(R13:R14)</f>
        <v>1000</v>
      </c>
      <c r="S15" s="168">
        <f t="shared" si="4"/>
        <v>842290</v>
      </c>
      <c r="T15" s="168">
        <f t="shared" si="4"/>
        <v>34000</v>
      </c>
      <c r="U15" s="168">
        <f t="shared" si="4"/>
        <v>877290</v>
      </c>
      <c r="V15" s="168">
        <f t="shared" si="4"/>
        <v>0</v>
      </c>
      <c r="W15" s="168">
        <f t="shared" si="4"/>
        <v>349620</v>
      </c>
      <c r="X15" s="168">
        <f t="shared" si="2"/>
        <v>814960</v>
      </c>
      <c r="Y15" s="215">
        <f>SUM(Y13:Y14)</f>
        <v>1164580</v>
      </c>
    </row>
    <row r="16" spans="1:25" s="140" customFormat="1" ht="12.75">
      <c r="A16" s="235" t="s">
        <v>106</v>
      </c>
      <c r="B16" s="142" t="s">
        <v>107</v>
      </c>
      <c r="C16" s="143"/>
      <c r="D16" s="144"/>
      <c r="E16" s="236"/>
      <c r="F16" s="215"/>
      <c r="G16" s="215"/>
      <c r="H16" s="215"/>
      <c r="I16" s="215">
        <f t="shared" si="0"/>
        <v>0</v>
      </c>
      <c r="J16" s="168">
        <v>0</v>
      </c>
      <c r="K16" s="168"/>
      <c r="L16" s="168"/>
      <c r="M16" s="168">
        <f>SUM(J16:L16)</f>
        <v>0</v>
      </c>
      <c r="N16" s="168"/>
      <c r="O16" s="168"/>
      <c r="P16" s="168"/>
      <c r="Q16" s="168">
        <f t="shared" si="1"/>
        <v>0</v>
      </c>
      <c r="R16" s="226">
        <v>0</v>
      </c>
      <c r="S16" s="226">
        <v>694816</v>
      </c>
      <c r="T16" s="226">
        <v>12817</v>
      </c>
      <c r="U16" s="226">
        <f>SUM(Q16:T16)</f>
        <v>707633</v>
      </c>
      <c r="V16" s="226">
        <v>18817</v>
      </c>
      <c r="W16" s="226">
        <v>432832</v>
      </c>
      <c r="X16" s="226">
        <f t="shared" si="2"/>
        <v>81962</v>
      </c>
      <c r="Y16" s="217">
        <v>533611</v>
      </c>
    </row>
    <row r="17" spans="1:25" s="140" customFormat="1" ht="12.75">
      <c r="A17" s="229" t="s">
        <v>345</v>
      </c>
      <c r="B17" s="145" t="s">
        <v>123</v>
      </c>
      <c r="C17" s="146"/>
      <c r="D17" s="147"/>
      <c r="E17" s="231"/>
      <c r="F17" s="216">
        <v>0</v>
      </c>
      <c r="G17" s="215"/>
      <c r="H17" s="215"/>
      <c r="I17" s="215">
        <f t="shared" si="0"/>
        <v>0</v>
      </c>
      <c r="J17" s="168">
        <v>0</v>
      </c>
      <c r="K17" s="168"/>
      <c r="L17" s="168">
        <v>0</v>
      </c>
      <c r="M17" s="168">
        <f>SUM(J17:L17)</f>
        <v>0</v>
      </c>
      <c r="N17" s="168">
        <v>0</v>
      </c>
      <c r="O17" s="168">
        <v>0</v>
      </c>
      <c r="P17" s="168"/>
      <c r="Q17" s="168">
        <f t="shared" si="1"/>
        <v>0</v>
      </c>
      <c r="R17" s="168">
        <f aca="true" t="shared" si="5" ref="R17:R62">F17+N17</f>
        <v>0</v>
      </c>
      <c r="S17" s="168">
        <v>69561</v>
      </c>
      <c r="T17" s="168">
        <v>17000</v>
      </c>
      <c r="U17" s="168">
        <f>SUM(Q17:T17)</f>
        <v>86561</v>
      </c>
      <c r="V17" s="168">
        <v>0</v>
      </c>
      <c r="W17" s="168">
        <v>2943</v>
      </c>
      <c r="X17" s="168">
        <f t="shared" si="2"/>
        <v>12402</v>
      </c>
      <c r="Y17" s="215">
        <v>15345</v>
      </c>
    </row>
    <row r="18" spans="1:25" s="140" customFormat="1" ht="12.75">
      <c r="A18" s="227" t="s">
        <v>129</v>
      </c>
      <c r="B18" s="148" t="s">
        <v>155</v>
      </c>
      <c r="C18" s="149"/>
      <c r="D18" s="153"/>
      <c r="E18" s="228"/>
      <c r="F18" s="217"/>
      <c r="G18" s="221"/>
      <c r="H18" s="217"/>
      <c r="I18" s="217"/>
      <c r="J18" s="226"/>
      <c r="K18" s="536"/>
      <c r="L18" s="226"/>
      <c r="M18" s="226"/>
      <c r="N18" s="226"/>
      <c r="O18" s="226"/>
      <c r="P18" s="226"/>
      <c r="Q18" s="226"/>
      <c r="R18" s="254"/>
      <c r="S18" s="254"/>
      <c r="T18" s="254"/>
      <c r="U18" s="226"/>
      <c r="V18" s="226"/>
      <c r="W18" s="226"/>
      <c r="X18" s="254"/>
      <c r="Y18" s="217"/>
    </row>
    <row r="19" spans="1:25" ht="12.75">
      <c r="A19" s="233"/>
      <c r="B19" s="151" t="s">
        <v>74</v>
      </c>
      <c r="C19" s="129" t="s">
        <v>131</v>
      </c>
      <c r="D19" s="158"/>
      <c r="E19" s="234"/>
      <c r="F19" s="214">
        <v>0</v>
      </c>
      <c r="G19" s="214"/>
      <c r="H19" s="214"/>
      <c r="I19" s="217">
        <f t="shared" si="0"/>
        <v>0</v>
      </c>
      <c r="J19" s="254">
        <v>0</v>
      </c>
      <c r="K19" s="150"/>
      <c r="L19" s="254"/>
      <c r="M19" s="226">
        <f>SUM(J19:L19)</f>
        <v>0</v>
      </c>
      <c r="N19" s="254">
        <v>0</v>
      </c>
      <c r="O19" s="254"/>
      <c r="P19" s="254"/>
      <c r="Q19" s="226">
        <f t="shared" si="1"/>
        <v>0</v>
      </c>
      <c r="R19" s="254">
        <f t="shared" si="5"/>
        <v>0</v>
      </c>
      <c r="S19" s="254">
        <v>73309</v>
      </c>
      <c r="T19" s="254">
        <v>0</v>
      </c>
      <c r="U19" s="226">
        <f>SUM(Q19:T19)</f>
        <v>73309</v>
      </c>
      <c r="V19" s="254">
        <v>0</v>
      </c>
      <c r="W19" s="254">
        <v>343531</v>
      </c>
      <c r="X19" s="254">
        <f t="shared" si="2"/>
        <v>8082</v>
      </c>
      <c r="Y19" s="217">
        <v>351613</v>
      </c>
    </row>
    <row r="20" spans="1:25" ht="12.75">
      <c r="A20" s="233"/>
      <c r="B20" s="151" t="s">
        <v>79</v>
      </c>
      <c r="C20" s="130" t="s">
        <v>132</v>
      </c>
      <c r="D20" s="158"/>
      <c r="E20" s="234"/>
      <c r="F20" s="214">
        <v>0</v>
      </c>
      <c r="G20" s="214"/>
      <c r="H20" s="214"/>
      <c r="I20" s="217">
        <f t="shared" si="0"/>
        <v>0</v>
      </c>
      <c r="J20" s="254">
        <v>0</v>
      </c>
      <c r="K20" s="150"/>
      <c r="L20" s="254"/>
      <c r="M20" s="226">
        <f>SUM(J20:L20)</f>
        <v>0</v>
      </c>
      <c r="N20" s="254">
        <v>0</v>
      </c>
      <c r="O20" s="254"/>
      <c r="P20" s="254"/>
      <c r="Q20" s="226">
        <f t="shared" si="1"/>
        <v>0</v>
      </c>
      <c r="R20" s="254">
        <f t="shared" si="5"/>
        <v>0</v>
      </c>
      <c r="S20" s="254">
        <v>103767</v>
      </c>
      <c r="T20" s="254">
        <v>358840</v>
      </c>
      <c r="U20" s="226">
        <f>SUM(Q20:T20)</f>
        <v>462607</v>
      </c>
      <c r="V20" s="254">
        <v>0</v>
      </c>
      <c r="W20" s="254">
        <v>210221</v>
      </c>
      <c r="X20" s="254">
        <f t="shared" si="2"/>
        <v>593316</v>
      </c>
      <c r="Y20" s="217">
        <v>803537</v>
      </c>
    </row>
    <row r="21" spans="1:25" s="140" customFormat="1" ht="12.75">
      <c r="A21" s="235" t="s">
        <v>129</v>
      </c>
      <c r="B21" s="142" t="s">
        <v>412</v>
      </c>
      <c r="C21" s="143"/>
      <c r="D21" s="144"/>
      <c r="E21" s="236"/>
      <c r="F21" s="215">
        <f>SUM(F19:F20)</f>
        <v>0</v>
      </c>
      <c r="G21" s="215">
        <f>SUM(G19:G20)</f>
        <v>0</v>
      </c>
      <c r="H21" s="215">
        <f>SUM(H19:H20)</f>
        <v>0</v>
      </c>
      <c r="I21" s="215">
        <f t="shared" si="0"/>
        <v>0</v>
      </c>
      <c r="J21" s="168">
        <f>SUM(J19:J20)</f>
        <v>0</v>
      </c>
      <c r="K21" s="168">
        <f>SUM(K19:K20)</f>
        <v>0</v>
      </c>
      <c r="L21" s="168">
        <f>SUM(L19:L20)</f>
        <v>0</v>
      </c>
      <c r="M21" s="168">
        <f>SUM(J21:L21)</f>
        <v>0</v>
      </c>
      <c r="N21" s="168">
        <v>0</v>
      </c>
      <c r="O21" s="168">
        <f>SUM(O19:O20)</f>
        <v>0</v>
      </c>
      <c r="P21" s="168">
        <f>SUM(P19:P20)</f>
        <v>0</v>
      </c>
      <c r="Q21" s="168">
        <f t="shared" si="1"/>
        <v>0</v>
      </c>
      <c r="R21" s="168">
        <f aca="true" t="shared" si="6" ref="R21:W21">SUM(R19:R20)</f>
        <v>0</v>
      </c>
      <c r="S21" s="168">
        <f t="shared" si="6"/>
        <v>177076</v>
      </c>
      <c r="T21" s="168">
        <f t="shared" si="6"/>
        <v>358840</v>
      </c>
      <c r="U21" s="168">
        <f t="shared" si="6"/>
        <v>535916</v>
      </c>
      <c r="V21" s="168">
        <f t="shared" si="6"/>
        <v>0</v>
      </c>
      <c r="W21" s="168">
        <f t="shared" si="6"/>
        <v>553752</v>
      </c>
      <c r="X21" s="168">
        <f t="shared" si="2"/>
        <v>601398</v>
      </c>
      <c r="Y21" s="215">
        <f>SUM(Y19:Y20)</f>
        <v>1155150</v>
      </c>
    </row>
    <row r="22" spans="1:25" ht="12.75">
      <c r="A22" s="227" t="s">
        <v>134</v>
      </c>
      <c r="B22" s="148" t="s">
        <v>135</v>
      </c>
      <c r="C22" s="149"/>
      <c r="D22" s="153"/>
      <c r="E22" s="228"/>
      <c r="F22" s="217"/>
      <c r="G22" s="221"/>
      <c r="H22" s="214"/>
      <c r="I22" s="217"/>
      <c r="J22" s="254"/>
      <c r="K22" s="150"/>
      <c r="L22" s="254"/>
      <c r="M22" s="226"/>
      <c r="N22" s="254"/>
      <c r="O22" s="254"/>
      <c r="P22" s="254"/>
      <c r="Q22" s="226"/>
      <c r="R22" s="254"/>
      <c r="S22" s="254"/>
      <c r="T22" s="254"/>
      <c r="U22" s="226"/>
      <c r="V22" s="254"/>
      <c r="W22" s="254"/>
      <c r="X22" s="254"/>
      <c r="Y22" s="217"/>
    </row>
    <row r="23" spans="1:25" ht="12.75">
      <c r="A23" s="233"/>
      <c r="B23" s="151" t="s">
        <v>74</v>
      </c>
      <c r="C23" s="141" t="s">
        <v>157</v>
      </c>
      <c r="D23" s="158"/>
      <c r="E23" s="234"/>
      <c r="F23" s="214">
        <v>0</v>
      </c>
      <c r="G23" s="214"/>
      <c r="H23" s="214"/>
      <c r="I23" s="217">
        <f t="shared" si="0"/>
        <v>0</v>
      </c>
      <c r="J23" s="254">
        <v>0</v>
      </c>
      <c r="K23" s="150"/>
      <c r="L23" s="254"/>
      <c r="M23" s="226">
        <f>SUM(J23:L23)</f>
        <v>0</v>
      </c>
      <c r="N23" s="254">
        <v>0</v>
      </c>
      <c r="O23" s="254">
        <v>0</v>
      </c>
      <c r="P23" s="254">
        <v>0</v>
      </c>
      <c r="Q23" s="226">
        <f t="shared" si="1"/>
        <v>0</v>
      </c>
      <c r="R23" s="254">
        <f t="shared" si="5"/>
        <v>0</v>
      </c>
      <c r="S23" s="254">
        <f>G23+O23</f>
        <v>0</v>
      </c>
      <c r="T23" s="254">
        <f>H23+P23</f>
        <v>0</v>
      </c>
      <c r="U23" s="226">
        <f>SUM(R23:T23)</f>
        <v>0</v>
      </c>
      <c r="V23" s="254">
        <v>0</v>
      </c>
      <c r="W23" s="254">
        <v>7278</v>
      </c>
      <c r="X23" s="254">
        <f t="shared" si="2"/>
        <v>322</v>
      </c>
      <c r="Y23" s="217">
        <v>7600</v>
      </c>
    </row>
    <row r="24" spans="1:25" ht="12.75">
      <c r="A24" s="227"/>
      <c r="B24" s="151" t="s">
        <v>79</v>
      </c>
      <c r="C24" s="152" t="s">
        <v>137</v>
      </c>
      <c r="D24" s="158"/>
      <c r="E24" s="228"/>
      <c r="F24" s="217">
        <v>0</v>
      </c>
      <c r="G24" s="214"/>
      <c r="H24" s="214"/>
      <c r="I24" s="217">
        <f t="shared" si="0"/>
        <v>0</v>
      </c>
      <c r="J24" s="254">
        <v>0</v>
      </c>
      <c r="K24" s="150"/>
      <c r="L24" s="254"/>
      <c r="M24" s="226">
        <f>SUM(J24:L24)</f>
        <v>0</v>
      </c>
      <c r="N24" s="254">
        <v>0</v>
      </c>
      <c r="O24" s="254">
        <v>0</v>
      </c>
      <c r="P24" s="254">
        <v>0</v>
      </c>
      <c r="Q24" s="226">
        <f t="shared" si="1"/>
        <v>0</v>
      </c>
      <c r="R24" s="254">
        <f t="shared" si="5"/>
        <v>0</v>
      </c>
      <c r="S24" s="254">
        <v>500</v>
      </c>
      <c r="T24" s="254">
        <f>H24+P24</f>
        <v>0</v>
      </c>
      <c r="U24" s="226">
        <f>SUM(R24:T24)</f>
        <v>500</v>
      </c>
      <c r="V24" s="254">
        <v>0</v>
      </c>
      <c r="W24" s="254">
        <v>358</v>
      </c>
      <c r="X24" s="254">
        <f t="shared" si="2"/>
        <v>0</v>
      </c>
      <c r="Y24" s="217">
        <v>358</v>
      </c>
    </row>
    <row r="25" spans="1:25" s="140" customFormat="1" ht="12.75">
      <c r="A25" s="235" t="s">
        <v>134</v>
      </c>
      <c r="B25" s="142" t="s">
        <v>138</v>
      </c>
      <c r="C25" s="143"/>
      <c r="D25" s="144"/>
      <c r="E25" s="236"/>
      <c r="F25" s="215">
        <f>SUM(F23:F24)</f>
        <v>0</v>
      </c>
      <c r="G25" s="215">
        <f>SUM(G23:G24)</f>
        <v>0</v>
      </c>
      <c r="H25" s="215">
        <f>SUM(H23:H24)</f>
        <v>0</v>
      </c>
      <c r="I25" s="215">
        <f t="shared" si="0"/>
        <v>0</v>
      </c>
      <c r="J25" s="168">
        <f>SUM(J23:J24)</f>
        <v>0</v>
      </c>
      <c r="K25" s="168">
        <f>SUM(K23:K24)</f>
        <v>0</v>
      </c>
      <c r="L25" s="168">
        <f>SUM(L23:L24)</f>
        <v>0</v>
      </c>
      <c r="M25" s="168">
        <f>SUM(J25:L25)</f>
        <v>0</v>
      </c>
      <c r="N25" s="168">
        <f>SUM(N23:N24)</f>
        <v>0</v>
      </c>
      <c r="O25" s="168">
        <f>SUM(O23:O24)</f>
        <v>0</v>
      </c>
      <c r="P25" s="168">
        <f>SUM(P23:P24)</f>
        <v>0</v>
      </c>
      <c r="Q25" s="168">
        <f t="shared" si="1"/>
        <v>0</v>
      </c>
      <c r="R25" s="168">
        <f aca="true" t="shared" si="7" ref="R25:W25">SUM(R23:R24)</f>
        <v>0</v>
      </c>
      <c r="S25" s="168">
        <f t="shared" si="7"/>
        <v>500</v>
      </c>
      <c r="T25" s="168">
        <f t="shared" si="7"/>
        <v>0</v>
      </c>
      <c r="U25" s="168">
        <f t="shared" si="7"/>
        <v>500</v>
      </c>
      <c r="V25" s="168">
        <f t="shared" si="7"/>
        <v>0</v>
      </c>
      <c r="W25" s="168">
        <f t="shared" si="7"/>
        <v>7636</v>
      </c>
      <c r="X25" s="168">
        <f t="shared" si="2"/>
        <v>322</v>
      </c>
      <c r="Y25" s="215">
        <f>SUM(Y23:Y24)</f>
        <v>7958</v>
      </c>
    </row>
    <row r="26" spans="1:25" s="140" customFormat="1" ht="12.75">
      <c r="A26" s="235" t="s">
        <v>139</v>
      </c>
      <c r="B26" s="142" t="s">
        <v>416</v>
      </c>
      <c r="C26" s="143"/>
      <c r="D26" s="144"/>
      <c r="E26" s="236"/>
      <c r="F26" s="215">
        <v>0</v>
      </c>
      <c r="G26" s="215"/>
      <c r="H26" s="215">
        <v>0</v>
      </c>
      <c r="I26" s="217">
        <f t="shared" si="0"/>
        <v>0</v>
      </c>
      <c r="J26" s="168">
        <v>0</v>
      </c>
      <c r="K26" s="168"/>
      <c r="L26" s="168">
        <v>0</v>
      </c>
      <c r="M26" s="168">
        <f>SUM(J26:L26)</f>
        <v>0</v>
      </c>
      <c r="N26" s="226">
        <v>0</v>
      </c>
      <c r="O26" s="226">
        <v>0</v>
      </c>
      <c r="P26" s="226"/>
      <c r="Q26" s="226">
        <f t="shared" si="1"/>
        <v>0</v>
      </c>
      <c r="R26" s="226">
        <f t="shared" si="5"/>
        <v>0</v>
      </c>
      <c r="S26" s="226">
        <v>3000</v>
      </c>
      <c r="T26" s="226">
        <v>100</v>
      </c>
      <c r="U26" s="226">
        <f>SUM(Q26:T26)</f>
        <v>3100</v>
      </c>
      <c r="V26" s="226">
        <v>0</v>
      </c>
      <c r="W26" s="226">
        <v>0</v>
      </c>
      <c r="X26" s="226">
        <f t="shared" si="2"/>
        <v>4629</v>
      </c>
      <c r="Y26" s="217">
        <v>4629</v>
      </c>
    </row>
    <row r="27" spans="1:25" s="140" customFormat="1" ht="12.75">
      <c r="A27" s="235" t="s">
        <v>112</v>
      </c>
      <c r="B27" s="142" t="s">
        <v>347</v>
      </c>
      <c r="C27" s="143"/>
      <c r="D27" s="144"/>
      <c r="E27" s="236"/>
      <c r="F27" s="215">
        <f>SUM(F15+F16+F17+F21+F25+F26)</f>
        <v>0</v>
      </c>
      <c r="G27" s="215">
        <f>SUM(G15+G16+G17+G21+G25+G26)</f>
        <v>0</v>
      </c>
      <c r="H27" s="215">
        <f>H15+H16+H17+H21+H25+H26</f>
        <v>0</v>
      </c>
      <c r="I27" s="215">
        <f>I15+I16+I17+I21+I25+I26</f>
        <v>0</v>
      </c>
      <c r="J27" s="168">
        <v>0</v>
      </c>
      <c r="K27" s="168">
        <f aca="true" t="shared" si="8" ref="K27:P27">K15+K16+K17+K21+K25+K26</f>
        <v>0</v>
      </c>
      <c r="L27" s="168">
        <f t="shared" si="8"/>
        <v>0</v>
      </c>
      <c r="M27" s="168">
        <f t="shared" si="8"/>
        <v>0</v>
      </c>
      <c r="N27" s="168">
        <f t="shared" si="8"/>
        <v>0</v>
      </c>
      <c r="O27" s="168">
        <f t="shared" si="8"/>
        <v>0</v>
      </c>
      <c r="P27" s="168">
        <f t="shared" si="8"/>
        <v>0</v>
      </c>
      <c r="Q27" s="168">
        <f t="shared" si="1"/>
        <v>0</v>
      </c>
      <c r="R27" s="168">
        <f>SUM(R15+R16+R17+R21+R25+R26)</f>
        <v>1000</v>
      </c>
      <c r="S27" s="168">
        <f>SUM(S15+S16+S17+S21+S25+S26)</f>
        <v>1787243</v>
      </c>
      <c r="T27" s="168">
        <f>SUM(T15+T16+T17+T21+T25+T26)</f>
        <v>422757</v>
      </c>
      <c r="U27" s="168">
        <f>SUM(U15+U16+U17+U21+U25+U26)</f>
        <v>2211000</v>
      </c>
      <c r="V27" s="168">
        <f>V15+V16+V17+V21+V25+V26</f>
        <v>18817</v>
      </c>
      <c r="W27" s="168">
        <f>W15+W16+W17+W21+W25+W26</f>
        <v>1346783</v>
      </c>
      <c r="X27" s="168">
        <f t="shared" si="2"/>
        <v>1515673</v>
      </c>
      <c r="Y27" s="215">
        <f>Y15+Y16+Y17+Y21+Y25+Y26</f>
        <v>2881273</v>
      </c>
    </row>
    <row r="28" spans="1:25" ht="12.75">
      <c r="A28" s="233"/>
      <c r="B28" s="148"/>
      <c r="C28" s="149"/>
      <c r="D28" s="158"/>
      <c r="E28" s="234"/>
      <c r="F28" s="214"/>
      <c r="G28" s="214"/>
      <c r="H28" s="214"/>
      <c r="I28" s="217"/>
      <c r="J28" s="254"/>
      <c r="K28" s="150"/>
      <c r="L28" s="254"/>
      <c r="M28" s="226"/>
      <c r="N28" s="254"/>
      <c r="O28" s="254"/>
      <c r="P28" s="254"/>
      <c r="Q28" s="226"/>
      <c r="R28" s="254"/>
      <c r="S28" s="254"/>
      <c r="T28" s="254"/>
      <c r="U28" s="226"/>
      <c r="V28" s="254"/>
      <c r="W28" s="254"/>
      <c r="X28" s="254"/>
      <c r="Y28" s="217"/>
    </row>
    <row r="29" spans="1:25" ht="12.75">
      <c r="A29" s="233"/>
      <c r="B29" s="154" t="s">
        <v>348</v>
      </c>
      <c r="C29" s="149"/>
      <c r="D29" s="158"/>
      <c r="E29" s="234"/>
      <c r="F29" s="214"/>
      <c r="G29" s="214"/>
      <c r="H29" s="214"/>
      <c r="I29" s="217"/>
      <c r="J29" s="254"/>
      <c r="K29" s="150"/>
      <c r="L29" s="254"/>
      <c r="M29" s="226"/>
      <c r="N29" s="254"/>
      <c r="O29" s="254"/>
      <c r="P29" s="254"/>
      <c r="Q29" s="226"/>
      <c r="R29" s="254"/>
      <c r="S29" s="254"/>
      <c r="T29" s="254"/>
      <c r="U29" s="226"/>
      <c r="V29" s="254"/>
      <c r="W29" s="254"/>
      <c r="X29" s="254"/>
      <c r="Y29" s="217"/>
    </row>
    <row r="30" spans="1:25" s="140" customFormat="1" ht="12.75">
      <c r="A30" s="227" t="s">
        <v>74</v>
      </c>
      <c r="B30" s="148" t="s">
        <v>174</v>
      </c>
      <c r="C30" s="149"/>
      <c r="D30" s="153"/>
      <c r="E30" s="228"/>
      <c r="F30" s="217"/>
      <c r="G30" s="217"/>
      <c r="H30" s="217"/>
      <c r="I30" s="217"/>
      <c r="J30" s="226"/>
      <c r="K30" s="536"/>
      <c r="L30" s="226"/>
      <c r="M30" s="226"/>
      <c r="N30" s="226"/>
      <c r="O30" s="226"/>
      <c r="P30" s="226"/>
      <c r="Q30" s="226"/>
      <c r="R30" s="254"/>
      <c r="S30" s="254"/>
      <c r="T30" s="254"/>
      <c r="U30" s="226"/>
      <c r="V30" s="226"/>
      <c r="W30" s="226"/>
      <c r="X30" s="254"/>
      <c r="Y30" s="217"/>
    </row>
    <row r="31" spans="1:25" ht="12.75">
      <c r="A31" s="233"/>
      <c r="B31" s="141" t="s">
        <v>109</v>
      </c>
      <c r="C31" s="152" t="s">
        <v>261</v>
      </c>
      <c r="D31" s="158"/>
      <c r="E31" s="234"/>
      <c r="F31" s="214"/>
      <c r="G31" s="214"/>
      <c r="H31" s="214"/>
      <c r="I31" s="217">
        <f>SUM(F31:H31)</f>
        <v>0</v>
      </c>
      <c r="J31" s="254"/>
      <c r="K31" s="150"/>
      <c r="L31" s="254"/>
      <c r="M31" s="226">
        <f>SUM(J31:L31)</f>
        <v>0</v>
      </c>
      <c r="N31" s="254"/>
      <c r="O31" s="254"/>
      <c r="P31" s="254"/>
      <c r="Q31" s="226">
        <f t="shared" si="1"/>
        <v>0</v>
      </c>
      <c r="R31" s="254">
        <v>51496</v>
      </c>
      <c r="S31" s="254">
        <v>405178</v>
      </c>
      <c r="T31" s="254">
        <v>31734</v>
      </c>
      <c r="U31" s="226">
        <f>SUM(Q31:T31)</f>
        <v>488408</v>
      </c>
      <c r="V31" s="254">
        <v>41877</v>
      </c>
      <c r="W31" s="254">
        <v>369569</v>
      </c>
      <c r="X31" s="254">
        <f t="shared" si="2"/>
        <v>20514</v>
      </c>
      <c r="Y31" s="217">
        <v>431960</v>
      </c>
    </row>
    <row r="32" spans="1:25" ht="12.75">
      <c r="A32" s="233"/>
      <c r="B32" s="141" t="s">
        <v>113</v>
      </c>
      <c r="C32" s="237" t="s">
        <v>407</v>
      </c>
      <c r="D32" s="158"/>
      <c r="E32" s="234"/>
      <c r="F32" s="214"/>
      <c r="G32" s="214"/>
      <c r="H32" s="214"/>
      <c r="I32" s="217">
        <f aca="true" t="shared" si="9" ref="I32:I39">SUM(F32:H32)</f>
        <v>0</v>
      </c>
      <c r="J32" s="254"/>
      <c r="K32" s="150"/>
      <c r="L32" s="254"/>
      <c r="M32" s="226">
        <f aca="true" t="shared" si="10" ref="M32:M39">SUM(J32:L32)</f>
        <v>0</v>
      </c>
      <c r="N32" s="254"/>
      <c r="O32" s="254"/>
      <c r="P32" s="254"/>
      <c r="Q32" s="226">
        <f t="shared" si="1"/>
        <v>0</v>
      </c>
      <c r="R32" s="254">
        <v>14447</v>
      </c>
      <c r="S32" s="254">
        <v>104253</v>
      </c>
      <c r="T32" s="254">
        <v>9428</v>
      </c>
      <c r="U32" s="226">
        <f aca="true" t="shared" si="11" ref="U32:U39">SUM(Q32:T32)</f>
        <v>128128</v>
      </c>
      <c r="V32" s="254">
        <v>10875</v>
      </c>
      <c r="W32" s="254">
        <v>74921</v>
      </c>
      <c r="X32" s="254">
        <f t="shared" si="2"/>
        <v>5658</v>
      </c>
      <c r="Y32" s="217">
        <v>91454</v>
      </c>
    </row>
    <row r="33" spans="1:25" ht="12.75">
      <c r="A33" s="233"/>
      <c r="B33" s="141" t="s">
        <v>176</v>
      </c>
      <c r="C33" s="152" t="s">
        <v>177</v>
      </c>
      <c r="D33" s="158"/>
      <c r="E33" s="234"/>
      <c r="F33" s="214"/>
      <c r="G33" s="214"/>
      <c r="H33" s="214"/>
      <c r="I33" s="217">
        <f t="shared" si="9"/>
        <v>0</v>
      </c>
      <c r="J33" s="254"/>
      <c r="K33" s="150"/>
      <c r="L33" s="254"/>
      <c r="M33" s="226">
        <f t="shared" si="10"/>
        <v>0</v>
      </c>
      <c r="N33" s="254"/>
      <c r="O33" s="254"/>
      <c r="P33" s="254"/>
      <c r="Q33" s="226">
        <f t="shared" si="1"/>
        <v>0</v>
      </c>
      <c r="R33" s="254">
        <v>26392</v>
      </c>
      <c r="S33" s="254">
        <v>330648</v>
      </c>
      <c r="T33" s="254">
        <v>62609</v>
      </c>
      <c r="U33" s="226">
        <f t="shared" si="11"/>
        <v>419649</v>
      </c>
      <c r="V33" s="254">
        <v>5110</v>
      </c>
      <c r="W33" s="254">
        <v>603151</v>
      </c>
      <c r="X33" s="254">
        <f t="shared" si="2"/>
        <v>78140</v>
      </c>
      <c r="Y33" s="217">
        <v>686401</v>
      </c>
    </row>
    <row r="34" spans="1:25" ht="12.75">
      <c r="A34" s="233"/>
      <c r="B34" s="141" t="s">
        <v>186</v>
      </c>
      <c r="C34" s="152" t="s">
        <v>403</v>
      </c>
      <c r="D34" s="158"/>
      <c r="E34" s="234"/>
      <c r="F34" s="214"/>
      <c r="G34" s="214"/>
      <c r="H34" s="214"/>
      <c r="I34" s="217">
        <f t="shared" si="9"/>
        <v>0</v>
      </c>
      <c r="J34" s="254"/>
      <c r="K34" s="150"/>
      <c r="L34" s="254"/>
      <c r="M34" s="226">
        <f t="shared" si="10"/>
        <v>0</v>
      </c>
      <c r="N34" s="254"/>
      <c r="O34" s="254"/>
      <c r="P34" s="254"/>
      <c r="Q34" s="226">
        <f t="shared" si="1"/>
        <v>0</v>
      </c>
      <c r="R34" s="254">
        <f t="shared" si="5"/>
        <v>0</v>
      </c>
      <c r="S34" s="254">
        <f>G34+O34</f>
        <v>0</v>
      </c>
      <c r="T34" s="254">
        <f>H34+P34</f>
        <v>0</v>
      </c>
      <c r="U34" s="226">
        <f t="shared" si="11"/>
        <v>0</v>
      </c>
      <c r="V34" s="254">
        <v>0</v>
      </c>
      <c r="W34" s="254">
        <v>0</v>
      </c>
      <c r="X34" s="254">
        <f t="shared" si="2"/>
        <v>0</v>
      </c>
      <c r="Y34" s="217">
        <v>0</v>
      </c>
    </row>
    <row r="35" spans="1:25" ht="12.75">
      <c r="A35" s="233"/>
      <c r="B35" s="141" t="s">
        <v>119</v>
      </c>
      <c r="C35" s="129" t="s">
        <v>178</v>
      </c>
      <c r="D35" s="158"/>
      <c r="E35" s="234"/>
      <c r="F35" s="214"/>
      <c r="G35" s="214"/>
      <c r="H35" s="214"/>
      <c r="I35" s="217">
        <f t="shared" si="9"/>
        <v>0</v>
      </c>
      <c r="J35" s="254"/>
      <c r="K35" s="150"/>
      <c r="L35" s="254"/>
      <c r="M35" s="226">
        <f t="shared" si="10"/>
        <v>0</v>
      </c>
      <c r="N35" s="254"/>
      <c r="O35" s="254"/>
      <c r="P35" s="254"/>
      <c r="Q35" s="226">
        <f t="shared" si="1"/>
        <v>0</v>
      </c>
      <c r="R35" s="254">
        <f t="shared" si="5"/>
        <v>0</v>
      </c>
      <c r="S35" s="254">
        <v>265187</v>
      </c>
      <c r="T35" s="254">
        <v>4574</v>
      </c>
      <c r="U35" s="226">
        <f t="shared" si="11"/>
        <v>269761</v>
      </c>
      <c r="V35" s="254">
        <v>0</v>
      </c>
      <c r="W35" s="254">
        <v>98432</v>
      </c>
      <c r="X35" s="254">
        <f t="shared" si="2"/>
        <v>3729</v>
      </c>
      <c r="Y35" s="217">
        <v>102161</v>
      </c>
    </row>
    <row r="36" spans="1:25" ht="12.75">
      <c r="A36" s="233"/>
      <c r="B36" s="141" t="s">
        <v>120</v>
      </c>
      <c r="C36" s="152" t="s">
        <v>349</v>
      </c>
      <c r="D36" s="158"/>
      <c r="E36" s="234"/>
      <c r="F36" s="214"/>
      <c r="G36" s="214"/>
      <c r="H36" s="214"/>
      <c r="I36" s="217">
        <f t="shared" si="9"/>
        <v>0</v>
      </c>
      <c r="J36" s="254"/>
      <c r="K36" s="150"/>
      <c r="L36" s="254"/>
      <c r="M36" s="226">
        <f t="shared" si="10"/>
        <v>0</v>
      </c>
      <c r="N36" s="254"/>
      <c r="O36" s="254"/>
      <c r="P36" s="254"/>
      <c r="Q36" s="226">
        <f t="shared" si="1"/>
        <v>0</v>
      </c>
      <c r="R36" s="254">
        <f t="shared" si="5"/>
        <v>0</v>
      </c>
      <c r="S36" s="254">
        <v>121059</v>
      </c>
      <c r="T36" s="254">
        <v>137829</v>
      </c>
      <c r="U36" s="226">
        <f t="shared" si="11"/>
        <v>258888</v>
      </c>
      <c r="V36" s="254">
        <v>0</v>
      </c>
      <c r="W36" s="254">
        <v>60174</v>
      </c>
      <c r="X36" s="254">
        <f t="shared" si="2"/>
        <v>86754</v>
      </c>
      <c r="Y36" s="217">
        <v>146928</v>
      </c>
    </row>
    <row r="37" spans="1:25" ht="12.75">
      <c r="A37" s="233"/>
      <c r="B37" s="141" t="s">
        <v>180</v>
      </c>
      <c r="C37" s="152" t="s">
        <v>181</v>
      </c>
      <c r="D37" s="158"/>
      <c r="E37" s="234"/>
      <c r="F37" s="214"/>
      <c r="G37" s="214"/>
      <c r="H37" s="214"/>
      <c r="I37" s="217">
        <f t="shared" si="9"/>
        <v>0</v>
      </c>
      <c r="J37" s="254"/>
      <c r="K37" s="150"/>
      <c r="L37" s="254"/>
      <c r="M37" s="226">
        <f t="shared" si="10"/>
        <v>0</v>
      </c>
      <c r="N37" s="254"/>
      <c r="O37" s="254"/>
      <c r="P37" s="254"/>
      <c r="Q37" s="226">
        <f t="shared" si="1"/>
        <v>0</v>
      </c>
      <c r="R37" s="254">
        <f t="shared" si="5"/>
        <v>0</v>
      </c>
      <c r="S37" s="254">
        <v>14127</v>
      </c>
      <c r="T37" s="254">
        <v>38776</v>
      </c>
      <c r="U37" s="226">
        <f t="shared" si="11"/>
        <v>52903</v>
      </c>
      <c r="V37" s="254">
        <v>0</v>
      </c>
      <c r="W37" s="254">
        <v>62853</v>
      </c>
      <c r="X37" s="254">
        <f t="shared" si="2"/>
        <v>26240</v>
      </c>
      <c r="Y37" s="217">
        <v>89093</v>
      </c>
    </row>
    <row r="38" spans="1:25" ht="12.75">
      <c r="A38" s="233"/>
      <c r="B38" s="141" t="s">
        <v>182</v>
      </c>
      <c r="C38" s="152" t="s">
        <v>183</v>
      </c>
      <c r="D38" s="158"/>
      <c r="E38" s="234"/>
      <c r="F38" s="214"/>
      <c r="G38" s="214"/>
      <c r="H38" s="214"/>
      <c r="I38" s="217">
        <f t="shared" si="9"/>
        <v>0</v>
      </c>
      <c r="J38" s="254"/>
      <c r="K38" s="150"/>
      <c r="L38" s="254"/>
      <c r="M38" s="226">
        <f t="shared" si="10"/>
        <v>0</v>
      </c>
      <c r="N38" s="254"/>
      <c r="O38" s="254"/>
      <c r="P38" s="254"/>
      <c r="Q38" s="226">
        <f t="shared" si="1"/>
        <v>0</v>
      </c>
      <c r="R38" s="254">
        <f t="shared" si="5"/>
        <v>0</v>
      </c>
      <c r="S38" s="254">
        <v>10000</v>
      </c>
      <c r="T38" s="254">
        <f>H38+P38</f>
        <v>0</v>
      </c>
      <c r="U38" s="226">
        <f t="shared" si="11"/>
        <v>10000</v>
      </c>
      <c r="V38" s="254">
        <v>0</v>
      </c>
      <c r="W38" s="254">
        <v>0</v>
      </c>
      <c r="X38" s="254">
        <f t="shared" si="2"/>
        <v>20511</v>
      </c>
      <c r="Y38" s="217">
        <v>20511</v>
      </c>
    </row>
    <row r="39" spans="1:25" ht="12" customHeight="1">
      <c r="A39" s="233"/>
      <c r="B39" s="141" t="s">
        <v>184</v>
      </c>
      <c r="C39" s="158" t="s">
        <v>188</v>
      </c>
      <c r="D39" s="158"/>
      <c r="E39" s="234"/>
      <c r="F39" s="214"/>
      <c r="G39" s="214"/>
      <c r="H39" s="214"/>
      <c r="I39" s="217">
        <f t="shared" si="9"/>
        <v>0</v>
      </c>
      <c r="J39" s="254"/>
      <c r="K39" s="150"/>
      <c r="L39" s="254"/>
      <c r="M39" s="226">
        <f t="shared" si="10"/>
        <v>0</v>
      </c>
      <c r="N39" s="254"/>
      <c r="O39" s="254"/>
      <c r="P39" s="254"/>
      <c r="Q39" s="226">
        <f t="shared" si="1"/>
        <v>0</v>
      </c>
      <c r="R39" s="254">
        <f t="shared" si="5"/>
        <v>0</v>
      </c>
      <c r="S39" s="254">
        <f>G39+O39</f>
        <v>0</v>
      </c>
      <c r="T39" s="254">
        <v>27458</v>
      </c>
      <c r="U39" s="226">
        <f t="shared" si="11"/>
        <v>27458</v>
      </c>
      <c r="V39" s="254">
        <v>0</v>
      </c>
      <c r="W39" s="254">
        <v>0</v>
      </c>
      <c r="X39" s="254">
        <f t="shared" si="2"/>
        <v>0</v>
      </c>
      <c r="Y39" s="217">
        <v>0</v>
      </c>
    </row>
    <row r="40" spans="1:25" s="140" customFormat="1" ht="12.75">
      <c r="A40" s="235" t="s">
        <v>74</v>
      </c>
      <c r="B40" s="142" t="s">
        <v>187</v>
      </c>
      <c r="C40" s="156"/>
      <c r="D40" s="144"/>
      <c r="E40" s="236"/>
      <c r="F40" s="215">
        <f>SUM(F31:F39)</f>
        <v>0</v>
      </c>
      <c r="G40" s="215">
        <f>SUM(G31:G39)</f>
        <v>0</v>
      </c>
      <c r="H40" s="215">
        <f>SUM(H31:H39)</f>
        <v>0</v>
      </c>
      <c r="I40" s="215">
        <f>SUM(F40:H40)</f>
        <v>0</v>
      </c>
      <c r="J40" s="168">
        <f aca="true" t="shared" si="12" ref="J40:P40">SUM(J31:J39)</f>
        <v>0</v>
      </c>
      <c r="K40" s="168">
        <f t="shared" si="12"/>
        <v>0</v>
      </c>
      <c r="L40" s="168">
        <f t="shared" si="12"/>
        <v>0</v>
      </c>
      <c r="M40" s="168">
        <f t="shared" si="12"/>
        <v>0</v>
      </c>
      <c r="N40" s="168">
        <f t="shared" si="12"/>
        <v>0</v>
      </c>
      <c r="O40" s="168">
        <f t="shared" si="12"/>
        <v>0</v>
      </c>
      <c r="P40" s="168">
        <f t="shared" si="12"/>
        <v>0</v>
      </c>
      <c r="Q40" s="168">
        <f t="shared" si="1"/>
        <v>0</v>
      </c>
      <c r="R40" s="168">
        <f aca="true" t="shared" si="13" ref="R40:W40">SUM(R31:R39)</f>
        <v>92335</v>
      </c>
      <c r="S40" s="168">
        <f t="shared" si="13"/>
        <v>1250452</v>
      </c>
      <c r="T40" s="168">
        <f t="shared" si="13"/>
        <v>312408</v>
      </c>
      <c r="U40" s="168">
        <f t="shared" si="13"/>
        <v>1655195</v>
      </c>
      <c r="V40" s="168">
        <f t="shared" si="13"/>
        <v>57862</v>
      </c>
      <c r="W40" s="168">
        <f t="shared" si="13"/>
        <v>1269100</v>
      </c>
      <c r="X40" s="168">
        <f t="shared" si="2"/>
        <v>241546</v>
      </c>
      <c r="Y40" s="215">
        <f>SUM(Y31:Y39)</f>
        <v>1568508</v>
      </c>
    </row>
    <row r="41" spans="1:25" ht="12.75">
      <c r="A41" s="227" t="s">
        <v>79</v>
      </c>
      <c r="B41" s="148" t="s">
        <v>190</v>
      </c>
      <c r="C41" s="152"/>
      <c r="D41" s="158"/>
      <c r="E41" s="234"/>
      <c r="F41" s="214"/>
      <c r="G41" s="214"/>
      <c r="H41" s="214"/>
      <c r="I41" s="217"/>
      <c r="J41" s="254"/>
      <c r="K41" s="150"/>
      <c r="L41" s="254"/>
      <c r="M41" s="226"/>
      <c r="N41" s="254"/>
      <c r="O41" s="254"/>
      <c r="P41" s="254"/>
      <c r="Q41" s="226"/>
      <c r="R41" s="254"/>
      <c r="S41" s="254"/>
      <c r="T41" s="254"/>
      <c r="U41" s="226"/>
      <c r="V41" s="254"/>
      <c r="W41" s="254"/>
      <c r="X41" s="254"/>
      <c r="Y41" s="217"/>
    </row>
    <row r="42" spans="1:25" ht="12.75">
      <c r="A42" s="233"/>
      <c r="B42" s="141" t="s">
        <v>191</v>
      </c>
      <c r="C42" s="152" t="s">
        <v>398</v>
      </c>
      <c r="D42" s="158"/>
      <c r="E42" s="234"/>
      <c r="F42" s="214">
        <v>0</v>
      </c>
      <c r="G42" s="214"/>
      <c r="H42" s="214"/>
      <c r="I42" s="217">
        <f aca="true" t="shared" si="14" ref="I42:I48">SUM(G42:H42)</f>
        <v>0</v>
      </c>
      <c r="J42" s="254">
        <v>0</v>
      </c>
      <c r="K42" s="150"/>
      <c r="L42" s="254"/>
      <c r="M42" s="226">
        <f>SUM(J42:L42)</f>
        <v>0</v>
      </c>
      <c r="N42" s="254">
        <v>0</v>
      </c>
      <c r="O42" s="254"/>
      <c r="P42" s="254"/>
      <c r="Q42" s="226">
        <f t="shared" si="1"/>
        <v>0</v>
      </c>
      <c r="R42" s="254">
        <f t="shared" si="5"/>
        <v>0</v>
      </c>
      <c r="S42" s="254">
        <v>103767</v>
      </c>
      <c r="T42" s="254">
        <v>418554</v>
      </c>
      <c r="U42" s="226">
        <f aca="true" t="shared" si="15" ref="U42:U47">SUM(Q42:T42)</f>
        <v>522321</v>
      </c>
      <c r="V42" s="254">
        <v>0</v>
      </c>
      <c r="W42" s="254">
        <v>338209</v>
      </c>
      <c r="X42" s="254">
        <f t="shared" si="2"/>
        <v>711452</v>
      </c>
      <c r="Y42" s="217">
        <v>1049661</v>
      </c>
    </row>
    <row r="43" spans="1:25" ht="12.75">
      <c r="A43" s="233"/>
      <c r="B43" s="141" t="s">
        <v>81</v>
      </c>
      <c r="C43" s="152" t="s">
        <v>399</v>
      </c>
      <c r="D43" s="158"/>
      <c r="E43" s="234"/>
      <c r="F43" s="214">
        <v>0</v>
      </c>
      <c r="G43" s="214"/>
      <c r="H43" s="214"/>
      <c r="I43" s="217">
        <f t="shared" si="14"/>
        <v>0</v>
      </c>
      <c r="J43" s="254">
        <v>0</v>
      </c>
      <c r="K43" s="150"/>
      <c r="L43" s="254"/>
      <c r="M43" s="226">
        <f aca="true" t="shared" si="16" ref="M43:M48">SUM(J43:L43)</f>
        <v>0</v>
      </c>
      <c r="N43" s="254">
        <v>0</v>
      </c>
      <c r="O43" s="254"/>
      <c r="P43" s="254"/>
      <c r="Q43" s="226">
        <f t="shared" si="1"/>
        <v>0</v>
      </c>
      <c r="R43" s="254">
        <f t="shared" si="5"/>
        <v>0</v>
      </c>
      <c r="S43" s="254">
        <f>G43+O43</f>
        <v>0</v>
      </c>
      <c r="T43" s="254">
        <f>H43+P43</f>
        <v>0</v>
      </c>
      <c r="U43" s="226">
        <f t="shared" si="15"/>
        <v>0</v>
      </c>
      <c r="V43" s="254">
        <v>0</v>
      </c>
      <c r="W43" s="254">
        <v>865</v>
      </c>
      <c r="X43" s="254">
        <f t="shared" si="2"/>
        <v>992</v>
      </c>
      <c r="Y43" s="217">
        <v>1857</v>
      </c>
    </row>
    <row r="44" spans="1:25" ht="12.75">
      <c r="A44" s="233"/>
      <c r="B44" s="141" t="s">
        <v>90</v>
      </c>
      <c r="C44" s="152" t="s">
        <v>350</v>
      </c>
      <c r="D44" s="158"/>
      <c r="E44" s="234"/>
      <c r="F44" s="214">
        <v>0</v>
      </c>
      <c r="G44" s="214"/>
      <c r="H44" s="214"/>
      <c r="I44" s="217">
        <f t="shared" si="14"/>
        <v>0</v>
      </c>
      <c r="J44" s="254">
        <v>0</v>
      </c>
      <c r="K44" s="150"/>
      <c r="L44" s="254"/>
      <c r="M44" s="226">
        <f t="shared" si="16"/>
        <v>0</v>
      </c>
      <c r="N44" s="254">
        <v>0</v>
      </c>
      <c r="O44" s="254"/>
      <c r="P44" s="254"/>
      <c r="Q44" s="226">
        <f t="shared" si="1"/>
        <v>0</v>
      </c>
      <c r="R44" s="254">
        <f t="shared" si="5"/>
        <v>0</v>
      </c>
      <c r="S44" s="254">
        <f>G44+O44</f>
        <v>0</v>
      </c>
      <c r="T44" s="254">
        <v>2700</v>
      </c>
      <c r="U44" s="226">
        <f t="shared" si="15"/>
        <v>2700</v>
      </c>
      <c r="V44" s="254">
        <v>0</v>
      </c>
      <c r="W44" s="254">
        <v>0</v>
      </c>
      <c r="X44" s="254">
        <f t="shared" si="2"/>
        <v>9543</v>
      </c>
      <c r="Y44" s="217">
        <v>9543</v>
      </c>
    </row>
    <row r="45" spans="1:25" ht="12.75">
      <c r="A45" s="233"/>
      <c r="B45" s="141" t="s">
        <v>94</v>
      </c>
      <c r="C45" s="152" t="s">
        <v>351</v>
      </c>
      <c r="D45" s="158"/>
      <c r="E45" s="234"/>
      <c r="F45" s="214">
        <v>0</v>
      </c>
      <c r="G45" s="214"/>
      <c r="H45" s="214"/>
      <c r="I45" s="217">
        <f t="shared" si="14"/>
        <v>0</v>
      </c>
      <c r="J45" s="254">
        <v>0</v>
      </c>
      <c r="K45" s="150"/>
      <c r="L45" s="254"/>
      <c r="M45" s="226">
        <f t="shared" si="16"/>
        <v>0</v>
      </c>
      <c r="N45" s="254">
        <v>0</v>
      </c>
      <c r="O45" s="254"/>
      <c r="P45" s="254"/>
      <c r="Q45" s="226">
        <f t="shared" si="1"/>
        <v>0</v>
      </c>
      <c r="R45" s="254">
        <f t="shared" si="5"/>
        <v>0</v>
      </c>
      <c r="S45" s="254">
        <f>G45+O45</f>
        <v>0</v>
      </c>
      <c r="T45" s="254">
        <f>H45+P45</f>
        <v>0</v>
      </c>
      <c r="U45" s="226">
        <f t="shared" si="15"/>
        <v>0</v>
      </c>
      <c r="V45" s="254">
        <v>0</v>
      </c>
      <c r="W45" s="254">
        <v>61</v>
      </c>
      <c r="X45" s="254">
        <f t="shared" si="2"/>
        <v>498</v>
      </c>
      <c r="Y45" s="217">
        <v>559</v>
      </c>
    </row>
    <row r="46" spans="1:25" ht="12.75">
      <c r="A46" s="233"/>
      <c r="B46" s="141" t="s">
        <v>195</v>
      </c>
      <c r="C46" s="152" t="s">
        <v>196</v>
      </c>
      <c r="D46" s="158"/>
      <c r="E46" s="234"/>
      <c r="F46" s="214">
        <v>0</v>
      </c>
      <c r="G46" s="214"/>
      <c r="H46" s="214"/>
      <c r="I46" s="217">
        <f t="shared" si="14"/>
        <v>0</v>
      </c>
      <c r="J46" s="254">
        <v>0</v>
      </c>
      <c r="K46" s="150"/>
      <c r="L46" s="254"/>
      <c r="M46" s="226">
        <f t="shared" si="16"/>
        <v>0</v>
      </c>
      <c r="N46" s="254">
        <v>0</v>
      </c>
      <c r="O46" s="254"/>
      <c r="P46" s="254"/>
      <c r="Q46" s="226">
        <f t="shared" si="1"/>
        <v>0</v>
      </c>
      <c r="R46" s="254">
        <f t="shared" si="5"/>
        <v>0</v>
      </c>
      <c r="S46" s="254">
        <f>G46+O46</f>
        <v>0</v>
      </c>
      <c r="T46" s="254">
        <f>H46+P46</f>
        <v>0</v>
      </c>
      <c r="U46" s="226">
        <f t="shared" si="15"/>
        <v>0</v>
      </c>
      <c r="V46" s="254">
        <v>0</v>
      </c>
      <c r="W46" s="254">
        <v>0</v>
      </c>
      <c r="X46" s="254">
        <f t="shared" si="2"/>
        <v>0</v>
      </c>
      <c r="Y46" s="217">
        <v>0</v>
      </c>
    </row>
    <row r="47" spans="1:25" ht="12.75">
      <c r="A47" s="233"/>
      <c r="B47" s="141" t="s">
        <v>197</v>
      </c>
      <c r="C47" s="152" t="s">
        <v>198</v>
      </c>
      <c r="D47" s="158"/>
      <c r="E47" s="234"/>
      <c r="F47" s="214">
        <v>0</v>
      </c>
      <c r="G47" s="214"/>
      <c r="H47" s="214"/>
      <c r="I47" s="217">
        <f t="shared" si="14"/>
        <v>0</v>
      </c>
      <c r="J47" s="254">
        <v>0</v>
      </c>
      <c r="K47" s="150"/>
      <c r="L47" s="254"/>
      <c r="M47" s="226">
        <f t="shared" si="16"/>
        <v>0</v>
      </c>
      <c r="N47" s="254">
        <v>0</v>
      </c>
      <c r="O47" s="254"/>
      <c r="P47" s="254"/>
      <c r="Q47" s="226">
        <f t="shared" si="1"/>
        <v>0</v>
      </c>
      <c r="R47" s="254">
        <f t="shared" si="5"/>
        <v>0</v>
      </c>
      <c r="S47" s="254">
        <f>G47+O47</f>
        <v>0</v>
      </c>
      <c r="T47" s="254">
        <v>1446077</v>
      </c>
      <c r="U47" s="226">
        <f t="shared" si="15"/>
        <v>1446077</v>
      </c>
      <c r="V47" s="254">
        <v>0</v>
      </c>
      <c r="W47" s="254">
        <v>0</v>
      </c>
      <c r="X47" s="254">
        <f t="shared" si="2"/>
        <v>0</v>
      </c>
      <c r="Y47" s="217">
        <v>0</v>
      </c>
    </row>
    <row r="48" spans="1:25" s="140" customFormat="1" ht="12.75">
      <c r="A48" s="235" t="s">
        <v>79</v>
      </c>
      <c r="B48" s="142" t="s">
        <v>352</v>
      </c>
      <c r="C48" s="156"/>
      <c r="D48" s="144"/>
      <c r="E48" s="236"/>
      <c r="F48" s="215">
        <f>SUM(F42:F47)</f>
        <v>0</v>
      </c>
      <c r="G48" s="215">
        <f>SUM(G42:G47)</f>
        <v>0</v>
      </c>
      <c r="H48" s="215">
        <f>SUM(H42:H47)</f>
        <v>0</v>
      </c>
      <c r="I48" s="215">
        <f t="shared" si="14"/>
        <v>0</v>
      </c>
      <c r="J48" s="168">
        <f>SUM(J42:J47)</f>
        <v>0</v>
      </c>
      <c r="K48" s="168">
        <f>SUM(K42:K47)</f>
        <v>0</v>
      </c>
      <c r="L48" s="168">
        <f>SUM(L42:L47)</f>
        <v>0</v>
      </c>
      <c r="M48" s="168">
        <f t="shared" si="16"/>
        <v>0</v>
      </c>
      <c r="N48" s="168">
        <f>SUM(N42:N47)</f>
        <v>0</v>
      </c>
      <c r="O48" s="168">
        <f>SUM(O42:O47)</f>
        <v>0</v>
      </c>
      <c r="P48" s="168">
        <f>SUM(P42:P47)</f>
        <v>0</v>
      </c>
      <c r="Q48" s="168">
        <f t="shared" si="1"/>
        <v>0</v>
      </c>
      <c r="R48" s="168">
        <f aca="true" t="shared" si="17" ref="R48:W48">SUM(R42:R47)</f>
        <v>0</v>
      </c>
      <c r="S48" s="168">
        <f t="shared" si="17"/>
        <v>103767</v>
      </c>
      <c r="T48" s="168">
        <f t="shared" si="17"/>
        <v>1867331</v>
      </c>
      <c r="U48" s="168">
        <f t="shared" si="17"/>
        <v>1971098</v>
      </c>
      <c r="V48" s="168">
        <f t="shared" si="17"/>
        <v>0</v>
      </c>
      <c r="W48" s="168">
        <f t="shared" si="17"/>
        <v>339135</v>
      </c>
      <c r="X48" s="168">
        <f t="shared" si="2"/>
        <v>722485</v>
      </c>
      <c r="Y48" s="215">
        <f>SUM(Y42:Y47)</f>
        <v>1061620</v>
      </c>
    </row>
    <row r="49" spans="1:25" s="140" customFormat="1" ht="12.75">
      <c r="A49" s="235"/>
      <c r="B49" s="142" t="s">
        <v>353</v>
      </c>
      <c r="C49" s="156"/>
      <c r="D49" s="144"/>
      <c r="E49" s="236"/>
      <c r="F49" s="215">
        <f>SUM(F40+F48)</f>
        <v>0</v>
      </c>
      <c r="G49" s="215">
        <f>SUM(G40+G48)</f>
        <v>0</v>
      </c>
      <c r="H49" s="215">
        <f>SUM(H40+H48)</f>
        <v>0</v>
      </c>
      <c r="I49" s="215">
        <f>SUM(F49:H49)</f>
        <v>0</v>
      </c>
      <c r="J49" s="168">
        <f aca="true" t="shared" si="18" ref="J49:P49">J40+J48</f>
        <v>0</v>
      </c>
      <c r="K49" s="168">
        <f t="shared" si="18"/>
        <v>0</v>
      </c>
      <c r="L49" s="168">
        <f t="shared" si="18"/>
        <v>0</v>
      </c>
      <c r="M49" s="168">
        <f t="shared" si="18"/>
        <v>0</v>
      </c>
      <c r="N49" s="168">
        <f t="shared" si="18"/>
        <v>0</v>
      </c>
      <c r="O49" s="168">
        <f t="shared" si="18"/>
        <v>0</v>
      </c>
      <c r="P49" s="168">
        <f t="shared" si="18"/>
        <v>0</v>
      </c>
      <c r="Q49" s="168">
        <f t="shared" si="1"/>
        <v>0</v>
      </c>
      <c r="R49" s="168">
        <f>SUM(R40+R48)</f>
        <v>92335</v>
      </c>
      <c r="S49" s="168">
        <f>SUM(S40+S48)</f>
        <v>1354219</v>
      </c>
      <c r="T49" s="168">
        <f>SUM(T40+T48)</f>
        <v>2179739</v>
      </c>
      <c r="U49" s="168">
        <f>SUM(U40+U48)</f>
        <v>3626293</v>
      </c>
      <c r="V49" s="168">
        <f>V40+V48</f>
        <v>57862</v>
      </c>
      <c r="W49" s="168">
        <f>W40+W48</f>
        <v>1608235</v>
      </c>
      <c r="X49" s="168">
        <f t="shared" si="2"/>
        <v>964031</v>
      </c>
      <c r="Y49" s="215">
        <f>Y40+Y48</f>
        <v>2630128</v>
      </c>
    </row>
    <row r="50" spans="1:25" ht="12.75">
      <c r="A50" s="233"/>
      <c r="B50" s="141"/>
      <c r="C50" s="157"/>
      <c r="D50" s="158"/>
      <c r="E50" s="234"/>
      <c r="F50" s="214"/>
      <c r="G50" s="214"/>
      <c r="H50" s="253"/>
      <c r="I50" s="221"/>
      <c r="J50" s="254"/>
      <c r="K50" s="150"/>
      <c r="L50" s="254"/>
      <c r="M50" s="226"/>
      <c r="N50" s="254"/>
      <c r="O50" s="254"/>
      <c r="P50" s="254"/>
      <c r="Q50" s="226"/>
      <c r="R50" s="254"/>
      <c r="S50" s="254"/>
      <c r="T50" s="254"/>
      <c r="U50" s="226"/>
      <c r="V50" s="254"/>
      <c r="W50" s="254"/>
      <c r="X50" s="254"/>
      <c r="Y50" s="217"/>
    </row>
    <row r="51" spans="1:25" s="140" customFormat="1" ht="12.75">
      <c r="A51" s="227"/>
      <c r="B51" s="148" t="s">
        <v>334</v>
      </c>
      <c r="C51" s="138"/>
      <c r="D51" s="153"/>
      <c r="E51" s="228"/>
      <c r="F51" s="217"/>
      <c r="G51" s="222"/>
      <c r="H51" s="226"/>
      <c r="I51" s="217"/>
      <c r="J51" s="226"/>
      <c r="K51" s="536"/>
      <c r="L51" s="226"/>
      <c r="M51" s="226"/>
      <c r="N51" s="226"/>
      <c r="O51" s="226"/>
      <c r="P51" s="226"/>
      <c r="Q51" s="226"/>
      <c r="R51" s="254"/>
      <c r="S51" s="254"/>
      <c r="T51" s="254"/>
      <c r="U51" s="226"/>
      <c r="V51" s="226"/>
      <c r="W51" s="226"/>
      <c r="X51" s="254"/>
      <c r="Y51" s="217"/>
    </row>
    <row r="52" spans="1:25" s="140" customFormat="1" ht="12.75">
      <c r="A52" s="227" t="s">
        <v>162</v>
      </c>
      <c r="B52" s="148" t="s">
        <v>354</v>
      </c>
      <c r="C52" s="138"/>
      <c r="D52" s="153"/>
      <c r="E52" s="228"/>
      <c r="F52" s="217"/>
      <c r="G52" s="222"/>
      <c r="H52" s="226"/>
      <c r="I52" s="217"/>
      <c r="J52" s="226"/>
      <c r="K52" s="536"/>
      <c r="L52" s="226"/>
      <c r="M52" s="226"/>
      <c r="N52" s="226"/>
      <c r="O52" s="226"/>
      <c r="P52" s="226"/>
      <c r="Q52" s="226"/>
      <c r="R52" s="254"/>
      <c r="S52" s="254"/>
      <c r="T52" s="254"/>
      <c r="U52" s="226"/>
      <c r="V52" s="226"/>
      <c r="W52" s="226"/>
      <c r="X52" s="254"/>
      <c r="Y52" s="217"/>
    </row>
    <row r="53" spans="1:25" ht="12.75">
      <c r="A53" s="233"/>
      <c r="B53" s="141" t="s">
        <v>74</v>
      </c>
      <c r="C53" s="157" t="s">
        <v>164</v>
      </c>
      <c r="D53" s="158"/>
      <c r="E53" s="234"/>
      <c r="F53" s="214">
        <v>0</v>
      </c>
      <c r="G53" s="214"/>
      <c r="H53" s="254"/>
      <c r="I53" s="217">
        <f aca="true" t="shared" si="19" ref="I53:I62">SUM(G53:H53)</f>
        <v>0</v>
      </c>
      <c r="J53" s="254">
        <v>0</v>
      </c>
      <c r="K53" s="150">
        <v>0</v>
      </c>
      <c r="L53" s="254">
        <v>0</v>
      </c>
      <c r="M53" s="226">
        <v>0</v>
      </c>
      <c r="N53" s="254">
        <v>0</v>
      </c>
      <c r="O53" s="254">
        <v>0</v>
      </c>
      <c r="P53" s="254">
        <v>0</v>
      </c>
      <c r="Q53" s="226">
        <f t="shared" si="1"/>
        <v>0</v>
      </c>
      <c r="R53" s="254">
        <f t="shared" si="5"/>
        <v>0</v>
      </c>
      <c r="S53" s="254">
        <f>G53+O53</f>
        <v>0</v>
      </c>
      <c r="T53" s="254">
        <v>134035</v>
      </c>
      <c r="U53" s="226">
        <f>SUM(J53:T53)</f>
        <v>134035</v>
      </c>
      <c r="V53" s="254">
        <v>0</v>
      </c>
      <c r="W53" s="254">
        <v>0</v>
      </c>
      <c r="X53" s="254">
        <f t="shared" si="2"/>
        <v>0</v>
      </c>
      <c r="Y53" s="217">
        <v>0</v>
      </c>
    </row>
    <row r="54" spans="1:25" ht="12.75">
      <c r="A54" s="238"/>
      <c r="B54" s="159" t="s">
        <v>79</v>
      </c>
      <c r="C54" s="160" t="s">
        <v>165</v>
      </c>
      <c r="D54" s="161"/>
      <c r="E54" s="239"/>
      <c r="F54" s="218">
        <v>0</v>
      </c>
      <c r="G54" s="218"/>
      <c r="H54" s="254"/>
      <c r="I54" s="217">
        <f t="shared" si="19"/>
        <v>0</v>
      </c>
      <c r="J54" s="254">
        <v>0</v>
      </c>
      <c r="K54" s="150">
        <v>0</v>
      </c>
      <c r="L54" s="254">
        <v>0</v>
      </c>
      <c r="M54" s="226">
        <v>0</v>
      </c>
      <c r="N54" s="254">
        <v>0</v>
      </c>
      <c r="O54" s="254">
        <v>0</v>
      </c>
      <c r="P54" s="254"/>
      <c r="Q54" s="226">
        <f t="shared" si="1"/>
        <v>0</v>
      </c>
      <c r="R54" s="254">
        <f t="shared" si="5"/>
        <v>0</v>
      </c>
      <c r="S54" s="254">
        <f>G54+O54</f>
        <v>0</v>
      </c>
      <c r="T54" s="254">
        <f>H54+P54</f>
        <v>0</v>
      </c>
      <c r="U54" s="226">
        <f>SUM(J54:T54)</f>
        <v>0</v>
      </c>
      <c r="V54" s="254">
        <v>0</v>
      </c>
      <c r="W54" s="254">
        <v>0</v>
      </c>
      <c r="X54" s="254">
        <f t="shared" si="2"/>
        <v>0</v>
      </c>
      <c r="Y54" s="217">
        <v>0</v>
      </c>
    </row>
    <row r="55" spans="1:25" s="140" customFormat="1" ht="12.75">
      <c r="A55" s="227"/>
      <c r="B55" s="148" t="s">
        <v>167</v>
      </c>
      <c r="C55" s="138"/>
      <c r="D55" s="153"/>
      <c r="E55" s="228"/>
      <c r="F55" s="217">
        <f>SUM(F53:F54)</f>
        <v>0</v>
      </c>
      <c r="G55" s="217">
        <f>SUM(G53:G54)</f>
        <v>0</v>
      </c>
      <c r="H55" s="168">
        <f>SUM(H53:H54)</f>
        <v>0</v>
      </c>
      <c r="I55" s="215">
        <f t="shared" si="19"/>
        <v>0</v>
      </c>
      <c r="J55" s="168">
        <f aca="true" t="shared" si="20" ref="J55:P55">SUM(J53:J54)</f>
        <v>0</v>
      </c>
      <c r="K55" s="168">
        <f t="shared" si="20"/>
        <v>0</v>
      </c>
      <c r="L55" s="168">
        <f t="shared" si="20"/>
        <v>0</v>
      </c>
      <c r="M55" s="168">
        <f t="shared" si="20"/>
        <v>0</v>
      </c>
      <c r="N55" s="168">
        <f t="shared" si="20"/>
        <v>0</v>
      </c>
      <c r="O55" s="168">
        <f t="shared" si="20"/>
        <v>0</v>
      </c>
      <c r="P55" s="168">
        <f t="shared" si="20"/>
        <v>0</v>
      </c>
      <c r="Q55" s="168">
        <f t="shared" si="1"/>
        <v>0</v>
      </c>
      <c r="R55" s="168">
        <f aca="true" t="shared" si="21" ref="R55:W55">SUM(R53:R54)</f>
        <v>0</v>
      </c>
      <c r="S55" s="168">
        <f t="shared" si="21"/>
        <v>0</v>
      </c>
      <c r="T55" s="168">
        <f t="shared" si="21"/>
        <v>134035</v>
      </c>
      <c r="U55" s="168">
        <f t="shared" si="21"/>
        <v>134035</v>
      </c>
      <c r="V55" s="168">
        <f t="shared" si="21"/>
        <v>0</v>
      </c>
      <c r="W55" s="168">
        <f t="shared" si="21"/>
        <v>0</v>
      </c>
      <c r="X55" s="168">
        <f t="shared" si="2"/>
        <v>0</v>
      </c>
      <c r="Y55" s="215">
        <f>SUM(Y53:Y54)</f>
        <v>0</v>
      </c>
    </row>
    <row r="56" spans="1:25" s="140" customFormat="1" ht="12.75">
      <c r="A56" s="235" t="s">
        <v>168</v>
      </c>
      <c r="B56" s="142" t="s">
        <v>169</v>
      </c>
      <c r="C56" s="143"/>
      <c r="D56" s="144"/>
      <c r="E56" s="236"/>
      <c r="F56" s="215">
        <v>0</v>
      </c>
      <c r="G56" s="215">
        <v>0</v>
      </c>
      <c r="H56" s="168"/>
      <c r="I56" s="217">
        <f t="shared" si="19"/>
        <v>0</v>
      </c>
      <c r="J56" s="168">
        <v>0</v>
      </c>
      <c r="K56" s="168">
        <v>0</v>
      </c>
      <c r="L56" s="168"/>
      <c r="M56" s="168">
        <f>SUM(J56:L56)</f>
        <v>0</v>
      </c>
      <c r="N56" s="226">
        <v>0</v>
      </c>
      <c r="O56" s="226">
        <v>0</v>
      </c>
      <c r="P56" s="226">
        <v>0</v>
      </c>
      <c r="Q56" s="226">
        <f t="shared" si="1"/>
        <v>0</v>
      </c>
      <c r="R56" s="226">
        <f t="shared" si="5"/>
        <v>0</v>
      </c>
      <c r="S56" s="226">
        <f>G56+O56</f>
        <v>0</v>
      </c>
      <c r="T56" s="226">
        <v>1337168</v>
      </c>
      <c r="U56" s="226">
        <f>SUM(N56:T56)</f>
        <v>1337168</v>
      </c>
      <c r="V56" s="226">
        <v>0</v>
      </c>
      <c r="W56" s="226">
        <v>751099</v>
      </c>
      <c r="X56" s="226">
        <f t="shared" si="2"/>
        <v>0</v>
      </c>
      <c r="Y56" s="217">
        <v>751099</v>
      </c>
    </row>
    <row r="57" spans="1:25" s="140" customFormat="1" ht="12.75">
      <c r="A57" s="235"/>
      <c r="B57" s="142" t="s">
        <v>172</v>
      </c>
      <c r="C57" s="162"/>
      <c r="D57" s="144"/>
      <c r="E57" s="236"/>
      <c r="F57" s="215">
        <v>0</v>
      </c>
      <c r="G57" s="215">
        <f>SUM(G55+G56)</f>
        <v>0</v>
      </c>
      <c r="H57" s="168">
        <f>SUM(H55+H56)</f>
        <v>0</v>
      </c>
      <c r="I57" s="215">
        <f t="shared" si="19"/>
        <v>0</v>
      </c>
      <c r="J57" s="168">
        <f aca="true" t="shared" si="22" ref="J57:P57">J55+J56</f>
        <v>0</v>
      </c>
      <c r="K57" s="168">
        <f t="shared" si="22"/>
        <v>0</v>
      </c>
      <c r="L57" s="168">
        <f t="shared" si="22"/>
        <v>0</v>
      </c>
      <c r="M57" s="168">
        <f t="shared" si="22"/>
        <v>0</v>
      </c>
      <c r="N57" s="168">
        <f t="shared" si="22"/>
        <v>0</v>
      </c>
      <c r="O57" s="168">
        <f t="shared" si="22"/>
        <v>0</v>
      </c>
      <c r="P57" s="168">
        <f t="shared" si="22"/>
        <v>0</v>
      </c>
      <c r="Q57" s="168">
        <f t="shared" si="1"/>
        <v>0</v>
      </c>
      <c r="R57" s="168">
        <f>SUM(R55+R56)</f>
        <v>0</v>
      </c>
      <c r="S57" s="168">
        <f>SUM(S55+S56)</f>
        <v>0</v>
      </c>
      <c r="T57" s="168">
        <f>SUM(T55+T56)</f>
        <v>1471203</v>
      </c>
      <c r="U57" s="168">
        <f>SUM(U55+U56)</f>
        <v>1471203</v>
      </c>
      <c r="V57" s="168">
        <f>SUM(V56)</f>
        <v>0</v>
      </c>
      <c r="W57" s="168">
        <f>SUM(W56)</f>
        <v>751099</v>
      </c>
      <c r="X57" s="168">
        <f t="shared" si="2"/>
        <v>0</v>
      </c>
      <c r="Y57" s="215">
        <f>SUM(Y56)</f>
        <v>751099</v>
      </c>
    </row>
    <row r="58" spans="1:25" ht="12.75">
      <c r="A58" s="233"/>
      <c r="B58" s="141"/>
      <c r="C58" s="157"/>
      <c r="D58" s="158"/>
      <c r="E58" s="234"/>
      <c r="F58" s="214"/>
      <c r="G58" s="214"/>
      <c r="H58" s="254"/>
      <c r="I58" s="217"/>
      <c r="J58" s="254"/>
      <c r="K58" s="150"/>
      <c r="L58" s="254"/>
      <c r="M58" s="226"/>
      <c r="N58" s="254"/>
      <c r="O58" s="254"/>
      <c r="P58" s="254"/>
      <c r="Q58" s="226"/>
      <c r="R58" s="254"/>
      <c r="S58" s="254"/>
      <c r="T58" s="254"/>
      <c r="U58" s="226"/>
      <c r="V58" s="254"/>
      <c r="W58" s="254"/>
      <c r="X58" s="254"/>
      <c r="Y58" s="217"/>
    </row>
    <row r="59" spans="1:25" s="140" customFormat="1" ht="12.75">
      <c r="A59" s="227" t="s">
        <v>126</v>
      </c>
      <c r="B59" s="148" t="s">
        <v>355</v>
      </c>
      <c r="C59" s="138"/>
      <c r="D59" s="153"/>
      <c r="E59" s="228"/>
      <c r="F59" s="217"/>
      <c r="G59" s="222"/>
      <c r="H59" s="226"/>
      <c r="I59" s="217"/>
      <c r="J59" s="226"/>
      <c r="K59" s="536"/>
      <c r="L59" s="226"/>
      <c r="M59" s="226"/>
      <c r="N59" s="226"/>
      <c r="O59" s="226"/>
      <c r="P59" s="226"/>
      <c r="Q59" s="226"/>
      <c r="R59" s="254"/>
      <c r="S59" s="254"/>
      <c r="T59" s="254"/>
      <c r="U59" s="226"/>
      <c r="V59" s="226"/>
      <c r="W59" s="226"/>
      <c r="X59" s="254"/>
      <c r="Y59" s="217"/>
    </row>
    <row r="60" spans="1:25" ht="12.75">
      <c r="A60" s="233"/>
      <c r="B60" s="155" t="s">
        <v>205</v>
      </c>
      <c r="C60" s="158" t="s">
        <v>356</v>
      </c>
      <c r="D60" s="158"/>
      <c r="E60" s="234"/>
      <c r="F60" s="214">
        <v>0</v>
      </c>
      <c r="G60" s="214"/>
      <c r="H60" s="254">
        <v>0</v>
      </c>
      <c r="I60" s="217">
        <f t="shared" si="19"/>
        <v>0</v>
      </c>
      <c r="J60" s="254">
        <v>0</v>
      </c>
      <c r="K60" s="150"/>
      <c r="L60" s="254">
        <v>0</v>
      </c>
      <c r="M60" s="226">
        <f>SUM(J60:L60)</f>
        <v>0</v>
      </c>
      <c r="N60" s="254">
        <v>0</v>
      </c>
      <c r="O60" s="254">
        <v>0</v>
      </c>
      <c r="P60" s="254">
        <v>0</v>
      </c>
      <c r="Q60" s="226">
        <f t="shared" si="1"/>
        <v>0</v>
      </c>
      <c r="R60" s="254">
        <f t="shared" si="5"/>
        <v>0</v>
      </c>
      <c r="S60" s="254">
        <v>55910</v>
      </c>
      <c r="T60" s="254">
        <f aca="true" t="shared" si="23" ref="S60:U61">H60+P60</f>
        <v>0</v>
      </c>
      <c r="U60" s="226">
        <f>SUM(N60:T60)</f>
        <v>55910</v>
      </c>
      <c r="V60" s="254">
        <v>0</v>
      </c>
      <c r="W60" s="254">
        <v>104947</v>
      </c>
      <c r="X60" s="254">
        <f t="shared" si="2"/>
        <v>0</v>
      </c>
      <c r="Y60" s="217">
        <v>104947</v>
      </c>
    </row>
    <row r="61" spans="1:25" ht="12.75">
      <c r="A61" s="238"/>
      <c r="B61" s="163" t="s">
        <v>210</v>
      </c>
      <c r="C61" s="161" t="s">
        <v>208</v>
      </c>
      <c r="D61" s="161"/>
      <c r="E61" s="239"/>
      <c r="F61" s="218">
        <v>0</v>
      </c>
      <c r="G61" s="218">
        <f>SUM('címrendes kiadás'!M105)</f>
        <v>0</v>
      </c>
      <c r="H61" s="254">
        <v>0</v>
      </c>
      <c r="I61" s="217">
        <f t="shared" si="19"/>
        <v>0</v>
      </c>
      <c r="J61" s="254">
        <v>0</v>
      </c>
      <c r="K61" s="150"/>
      <c r="L61" s="254">
        <v>0</v>
      </c>
      <c r="M61" s="226">
        <f>SUM(J61:L61)</f>
        <v>0</v>
      </c>
      <c r="N61" s="254">
        <v>0</v>
      </c>
      <c r="O61" s="254">
        <v>0</v>
      </c>
      <c r="P61" s="254">
        <v>0</v>
      </c>
      <c r="Q61" s="226">
        <f t="shared" si="1"/>
        <v>0</v>
      </c>
      <c r="R61" s="254">
        <f t="shared" si="5"/>
        <v>0</v>
      </c>
      <c r="S61" s="254">
        <f t="shared" si="23"/>
        <v>0</v>
      </c>
      <c r="T61" s="254">
        <f t="shared" si="23"/>
        <v>0</v>
      </c>
      <c r="U61" s="226">
        <f t="shared" si="23"/>
        <v>0</v>
      </c>
      <c r="V61" s="254">
        <v>0</v>
      </c>
      <c r="W61" s="254">
        <v>155000</v>
      </c>
      <c r="X61" s="254">
        <f t="shared" si="2"/>
        <v>0</v>
      </c>
      <c r="Y61" s="217">
        <v>155000</v>
      </c>
    </row>
    <row r="62" spans="1:25" s="140" customFormat="1" ht="12.75">
      <c r="A62" s="229"/>
      <c r="B62" s="145" t="s">
        <v>357</v>
      </c>
      <c r="C62" s="147"/>
      <c r="D62" s="147"/>
      <c r="E62" s="231"/>
      <c r="F62" s="216">
        <f>SUM(F60:F61)</f>
        <v>0</v>
      </c>
      <c r="G62" s="216">
        <f>SUM(G60:G61)</f>
        <v>0</v>
      </c>
      <c r="H62" s="168">
        <f>SUM(H60:H61)</f>
        <v>0</v>
      </c>
      <c r="I62" s="215">
        <f t="shared" si="19"/>
        <v>0</v>
      </c>
      <c r="J62" s="168">
        <f aca="true" t="shared" si="24" ref="J62:P62">SUM(J60:J61)</f>
        <v>0</v>
      </c>
      <c r="K62" s="168">
        <f t="shared" si="24"/>
        <v>0</v>
      </c>
      <c r="L62" s="168">
        <f t="shared" si="24"/>
        <v>0</v>
      </c>
      <c r="M62" s="168">
        <f t="shared" si="24"/>
        <v>0</v>
      </c>
      <c r="N62" s="168">
        <f t="shared" si="24"/>
        <v>0</v>
      </c>
      <c r="O62" s="168">
        <f t="shared" si="24"/>
        <v>0</v>
      </c>
      <c r="P62" s="168">
        <f t="shared" si="24"/>
        <v>0</v>
      </c>
      <c r="Q62" s="168">
        <f t="shared" si="1"/>
        <v>0</v>
      </c>
      <c r="R62" s="168">
        <f t="shared" si="5"/>
        <v>0</v>
      </c>
      <c r="S62" s="168">
        <f>SUM(S60:S61)</f>
        <v>55910</v>
      </c>
      <c r="T62" s="168">
        <f>SUM(T60:T61)</f>
        <v>0</v>
      </c>
      <c r="U62" s="168">
        <f>SUM(U60:U61)</f>
        <v>55910</v>
      </c>
      <c r="V62" s="168">
        <f>SUM(V60:V61)</f>
        <v>0</v>
      </c>
      <c r="W62" s="168">
        <f>SUM(W60:W61)</f>
        <v>259947</v>
      </c>
      <c r="X62" s="168">
        <f t="shared" si="2"/>
        <v>0</v>
      </c>
      <c r="Y62" s="215">
        <f>SUM(Y60:Y61)</f>
        <v>259947</v>
      </c>
    </row>
    <row r="63" spans="1:25" s="140" customFormat="1" ht="12.75">
      <c r="A63" s="229"/>
      <c r="B63" s="145"/>
      <c r="C63" s="147"/>
      <c r="D63" s="147"/>
      <c r="E63" s="231"/>
      <c r="F63" s="216"/>
      <c r="G63" s="216"/>
      <c r="H63" s="168"/>
      <c r="I63" s="217"/>
      <c r="J63" s="226"/>
      <c r="K63" s="536"/>
      <c r="L63" s="226"/>
      <c r="M63" s="226"/>
      <c r="N63" s="226"/>
      <c r="O63" s="226"/>
      <c r="P63" s="226"/>
      <c r="Q63" s="226"/>
      <c r="R63" s="254"/>
      <c r="S63" s="254"/>
      <c r="T63" s="254"/>
      <c r="U63" s="226"/>
      <c r="V63" s="226"/>
      <c r="W63" s="226"/>
      <c r="X63" s="254"/>
      <c r="Y63" s="217"/>
    </row>
    <row r="64" spans="1:25" s="140" customFormat="1" ht="12.75">
      <c r="A64" s="229"/>
      <c r="B64" s="145" t="s">
        <v>173</v>
      </c>
      <c r="C64" s="147"/>
      <c r="D64" s="147"/>
      <c r="E64" s="231"/>
      <c r="F64" s="216">
        <f>SUM(F57+F27)</f>
        <v>0</v>
      </c>
      <c r="G64" s="216">
        <f>SUM(G57+G27)</f>
        <v>0</v>
      </c>
      <c r="H64" s="255">
        <f>SUM(H57+H27)</f>
        <v>0</v>
      </c>
      <c r="I64" s="215">
        <f>SUM(F64:H64)</f>
        <v>0</v>
      </c>
      <c r="J64" s="168">
        <f aca="true" t="shared" si="25" ref="J64:P64">J27+J57</f>
        <v>0</v>
      </c>
      <c r="K64" s="168">
        <f t="shared" si="25"/>
        <v>0</v>
      </c>
      <c r="L64" s="168">
        <f t="shared" si="25"/>
        <v>0</v>
      </c>
      <c r="M64" s="168">
        <f t="shared" si="25"/>
        <v>0</v>
      </c>
      <c r="N64" s="168">
        <f t="shared" si="25"/>
        <v>0</v>
      </c>
      <c r="O64" s="168">
        <f t="shared" si="25"/>
        <v>0</v>
      </c>
      <c r="P64" s="168">
        <f t="shared" si="25"/>
        <v>0</v>
      </c>
      <c r="Q64" s="168">
        <f t="shared" si="1"/>
        <v>0</v>
      </c>
      <c r="R64" s="168">
        <f>SUM(R57+R27)</f>
        <v>1000</v>
      </c>
      <c r="S64" s="168">
        <f>SUM(S57+S27)</f>
        <v>1787243</v>
      </c>
      <c r="T64" s="168">
        <f>SUM(T57+T27)</f>
        <v>1893960</v>
      </c>
      <c r="U64" s="168">
        <f>SUM(U57+U27)</f>
        <v>3682203</v>
      </c>
      <c r="V64" s="168">
        <f>V27+V57</f>
        <v>18817</v>
      </c>
      <c r="W64" s="168">
        <f>W27+W57</f>
        <v>2097882</v>
      </c>
      <c r="X64" s="168">
        <f t="shared" si="2"/>
        <v>1515673</v>
      </c>
      <c r="Y64" s="215">
        <f>Y27+Y57</f>
        <v>3632372</v>
      </c>
    </row>
    <row r="65" spans="1:25" s="140" customFormat="1" ht="12.75">
      <c r="A65" s="235"/>
      <c r="B65" s="142" t="s">
        <v>340</v>
      </c>
      <c r="C65" s="144"/>
      <c r="D65" s="144"/>
      <c r="E65" s="236"/>
      <c r="F65" s="215">
        <f>SUM(F62+F49)</f>
        <v>0</v>
      </c>
      <c r="G65" s="215">
        <f>SUM(G62+G49)</f>
        <v>0</v>
      </c>
      <c r="H65" s="168">
        <f>SUM(H62+H49)</f>
        <v>0</v>
      </c>
      <c r="I65" s="215">
        <f>SUM(F65:H65)</f>
        <v>0</v>
      </c>
      <c r="J65" s="168">
        <f aca="true" t="shared" si="26" ref="J65:P65">J49+J62</f>
        <v>0</v>
      </c>
      <c r="K65" s="168">
        <f t="shared" si="26"/>
        <v>0</v>
      </c>
      <c r="L65" s="168">
        <f t="shared" si="26"/>
        <v>0</v>
      </c>
      <c r="M65" s="168">
        <f t="shared" si="26"/>
        <v>0</v>
      </c>
      <c r="N65" s="168">
        <f t="shared" si="26"/>
        <v>0</v>
      </c>
      <c r="O65" s="168">
        <f t="shared" si="26"/>
        <v>0</v>
      </c>
      <c r="P65" s="168">
        <f t="shared" si="26"/>
        <v>0</v>
      </c>
      <c r="Q65" s="168">
        <f t="shared" si="1"/>
        <v>0</v>
      </c>
      <c r="R65" s="168">
        <f>SUM(R49+R62)</f>
        <v>92335</v>
      </c>
      <c r="S65" s="168">
        <f>SUM(S49+S62)</f>
        <v>1410129</v>
      </c>
      <c r="T65" s="168">
        <f>SUM(T49+T62)</f>
        <v>2179739</v>
      </c>
      <c r="U65" s="168">
        <f>SUM(U49+U62)</f>
        <v>3682203</v>
      </c>
      <c r="V65" s="255">
        <f>V49+V62</f>
        <v>57862</v>
      </c>
      <c r="W65" s="255">
        <f>W49+W62</f>
        <v>1868182</v>
      </c>
      <c r="X65" s="255">
        <f t="shared" si="2"/>
        <v>964031</v>
      </c>
      <c r="Y65" s="255">
        <f>Y49+Y62</f>
        <v>2890075</v>
      </c>
    </row>
  </sheetData>
  <sheetProtection/>
  <mergeCells count="25">
    <mergeCell ref="W9:X9"/>
    <mergeCell ref="Y9:Y10"/>
    <mergeCell ref="N9:N10"/>
    <mergeCell ref="O9:P9"/>
    <mergeCell ref="Q9:Q10"/>
    <mergeCell ref="R9:R10"/>
    <mergeCell ref="S9:T9"/>
    <mergeCell ref="U9:U10"/>
    <mergeCell ref="V9:V10"/>
    <mergeCell ref="J9:J10"/>
    <mergeCell ref="K9:L9"/>
    <mergeCell ref="M9:M10"/>
    <mergeCell ref="G9:H9"/>
    <mergeCell ref="F9:F10"/>
    <mergeCell ref="F8:I8"/>
    <mergeCell ref="A7:E7"/>
    <mergeCell ref="I9:I10"/>
    <mergeCell ref="I1:Y1"/>
    <mergeCell ref="A3:Y3"/>
    <mergeCell ref="J8:M8"/>
    <mergeCell ref="N8:Q8"/>
    <mergeCell ref="V8:Y8"/>
    <mergeCell ref="R8:U8"/>
    <mergeCell ref="A4:Y4"/>
    <mergeCell ref="G6:Y6"/>
  </mergeCells>
  <printOptions/>
  <pageMargins left="0.57" right="0.34" top="0.65" bottom="0.48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75390625" style="132" customWidth="1"/>
    <col min="2" max="2" width="5.625" style="133" customWidth="1"/>
    <col min="3" max="3" width="18.375" style="134" customWidth="1"/>
    <col min="4" max="4" width="18.25390625" style="134" customWidth="1"/>
    <col min="5" max="5" width="10.125" style="134" customWidth="1"/>
    <col min="6" max="6" width="9.125" style="135" customWidth="1"/>
    <col min="7" max="7" width="9.00390625" style="135" customWidth="1"/>
    <col min="8" max="16384" width="9.125" style="134" customWidth="1"/>
  </cols>
  <sheetData>
    <row r="1" spans="2:7" ht="12.75">
      <c r="B1" s="133" t="s">
        <v>112</v>
      </c>
      <c r="C1" s="880" t="s">
        <v>704</v>
      </c>
      <c r="D1" s="880"/>
      <c r="E1" s="880"/>
      <c r="F1" s="880"/>
      <c r="G1" s="880"/>
    </row>
    <row r="3" spans="1:7" ht="12.75">
      <c r="A3" s="862" t="s">
        <v>58</v>
      </c>
      <c r="B3" s="862"/>
      <c r="C3" s="862"/>
      <c r="D3" s="862"/>
      <c r="E3" s="862"/>
      <c r="F3" s="862"/>
      <c r="G3" s="862"/>
    </row>
    <row r="6" spans="6:7" ht="12.75">
      <c r="F6" s="879" t="s">
        <v>60</v>
      </c>
      <c r="G6" s="879"/>
    </row>
    <row r="7" spans="1:7" ht="12.75">
      <c r="A7" s="881" t="s">
        <v>314</v>
      </c>
      <c r="B7" s="881"/>
      <c r="C7" s="881"/>
      <c r="D7" s="881"/>
      <c r="E7" s="702" t="s">
        <v>315</v>
      </c>
      <c r="F7" s="203" t="s">
        <v>316</v>
      </c>
      <c r="G7" s="203" t="s">
        <v>317</v>
      </c>
    </row>
    <row r="8" spans="1:7" ht="12.75">
      <c r="A8" s="533"/>
      <c r="B8" s="703" t="s">
        <v>341</v>
      </c>
      <c r="C8" s="533"/>
      <c r="D8" s="533"/>
      <c r="E8" s="533"/>
      <c r="F8" s="704"/>
      <c r="G8" s="704"/>
    </row>
    <row r="9" spans="1:7" s="140" customFormat="1" ht="12.75">
      <c r="A9" s="137" t="s">
        <v>342</v>
      </c>
      <c r="B9" s="138" t="s">
        <v>343</v>
      </c>
      <c r="C9" s="139"/>
      <c r="E9" s="705" t="s">
        <v>285</v>
      </c>
      <c r="F9" s="705" t="s">
        <v>286</v>
      </c>
      <c r="G9" s="705" t="s">
        <v>287</v>
      </c>
    </row>
    <row r="10" spans="2:7" ht="12.75">
      <c r="B10" s="706" t="s">
        <v>203</v>
      </c>
      <c r="C10" s="141" t="s">
        <v>146</v>
      </c>
      <c r="E10" s="135">
        <v>138290</v>
      </c>
      <c r="F10" s="135">
        <f>SUM(E10)*1.03</f>
        <v>142438.7</v>
      </c>
      <c r="G10" s="135">
        <f>SUM(F10)*1.03</f>
        <v>146711.861</v>
      </c>
    </row>
    <row r="11" spans="2:7" ht="12.75">
      <c r="B11" s="706" t="s">
        <v>200</v>
      </c>
      <c r="C11" s="141" t="s">
        <v>344</v>
      </c>
      <c r="E11" s="135">
        <v>739000</v>
      </c>
      <c r="F11" s="135">
        <f>SUM(E11)*1.01</f>
        <v>746390</v>
      </c>
      <c r="G11" s="135">
        <f>SUM(F11)*1.01</f>
        <v>753853.9</v>
      </c>
    </row>
    <row r="12" spans="1:7" ht="12.75">
      <c r="A12" s="707" t="s">
        <v>76</v>
      </c>
      <c r="B12" s="142" t="s">
        <v>411</v>
      </c>
      <c r="C12" s="143"/>
      <c r="D12" s="144"/>
      <c r="E12" s="708">
        <f>SUM(E10:E11)</f>
        <v>877290</v>
      </c>
      <c r="F12" s="708">
        <f>SUM(F10:F11)</f>
        <v>888828.7</v>
      </c>
      <c r="G12" s="708">
        <f>SUM(G10:G11)</f>
        <v>900565.761</v>
      </c>
    </row>
    <row r="13" spans="1:7" ht="12.75">
      <c r="A13" s="707" t="s">
        <v>106</v>
      </c>
      <c r="B13" s="142" t="s">
        <v>107</v>
      </c>
      <c r="C13" s="143"/>
      <c r="D13" s="144"/>
      <c r="E13" s="708">
        <v>707633</v>
      </c>
      <c r="F13" s="708">
        <v>529000</v>
      </c>
      <c r="G13" s="708">
        <v>529000</v>
      </c>
    </row>
    <row r="14" spans="1:7" ht="12.75">
      <c r="A14" s="709" t="s">
        <v>345</v>
      </c>
      <c r="B14" s="145" t="s">
        <v>123</v>
      </c>
      <c r="C14" s="146"/>
      <c r="D14" s="147"/>
      <c r="E14" s="708">
        <v>86561</v>
      </c>
      <c r="F14" s="708">
        <v>85000</v>
      </c>
      <c r="G14" s="708">
        <v>86000</v>
      </c>
    </row>
    <row r="15" spans="1:7" s="140" customFormat="1" ht="12.75">
      <c r="A15" s="137" t="s">
        <v>129</v>
      </c>
      <c r="B15" s="148" t="s">
        <v>155</v>
      </c>
      <c r="C15" s="149"/>
      <c r="E15" s="710"/>
      <c r="F15" s="535"/>
      <c r="G15" s="535"/>
    </row>
    <row r="16" spans="2:7" ht="12.75">
      <c r="B16" s="706" t="s">
        <v>74</v>
      </c>
      <c r="C16" s="129" t="s">
        <v>131</v>
      </c>
      <c r="E16" s="150">
        <v>73309</v>
      </c>
      <c r="F16" s="135">
        <v>10000</v>
      </c>
      <c r="G16" s="135">
        <v>10000</v>
      </c>
    </row>
    <row r="17" spans="2:7" ht="12.75">
      <c r="B17" s="151" t="s">
        <v>79</v>
      </c>
      <c r="C17" s="130" t="s">
        <v>132</v>
      </c>
      <c r="E17" s="150">
        <v>462607</v>
      </c>
      <c r="F17" s="711">
        <v>192191</v>
      </c>
      <c r="G17" s="711">
        <v>0</v>
      </c>
    </row>
    <row r="18" spans="1:7" ht="12.75">
      <c r="A18" s="707" t="s">
        <v>129</v>
      </c>
      <c r="B18" s="142" t="s">
        <v>412</v>
      </c>
      <c r="C18" s="143"/>
      <c r="D18" s="144"/>
      <c r="E18" s="708">
        <f>SUM(E16:E17)</f>
        <v>535916</v>
      </c>
      <c r="F18" s="708">
        <f>SUM(F16:F17)</f>
        <v>202191</v>
      </c>
      <c r="G18" s="708">
        <f>SUM(G16:G17)</f>
        <v>10000</v>
      </c>
    </row>
    <row r="19" spans="1:5" ht="12.75">
      <c r="A19" s="137" t="s">
        <v>134</v>
      </c>
      <c r="B19" s="148" t="s">
        <v>135</v>
      </c>
      <c r="C19" s="149"/>
      <c r="D19" s="140"/>
      <c r="E19" s="710"/>
    </row>
    <row r="20" spans="2:7" ht="12.75">
      <c r="B20" s="706" t="s">
        <v>74</v>
      </c>
      <c r="C20" s="141" t="s">
        <v>157</v>
      </c>
      <c r="E20" s="150">
        <f>SUM('[1]5.mell. (2)'!F21)</f>
        <v>0</v>
      </c>
      <c r="F20" s="135">
        <v>0</v>
      </c>
      <c r="G20" s="135">
        <v>0</v>
      </c>
    </row>
    <row r="21" spans="1:7" ht="12.75">
      <c r="A21" s="712"/>
      <c r="B21" s="151" t="s">
        <v>79</v>
      </c>
      <c r="C21" s="152" t="s">
        <v>137</v>
      </c>
      <c r="E21" s="150">
        <f>SUM('[1]5.mell. (2)'!F22)</f>
        <v>500</v>
      </c>
      <c r="F21" s="135">
        <v>500</v>
      </c>
      <c r="G21" s="135">
        <v>500</v>
      </c>
    </row>
    <row r="22" spans="1:7" ht="12.75">
      <c r="A22" s="707" t="s">
        <v>134</v>
      </c>
      <c r="B22" s="142" t="s">
        <v>138</v>
      </c>
      <c r="C22" s="143"/>
      <c r="D22" s="144"/>
      <c r="E22" s="708">
        <f>SUM(E20:E21)</f>
        <v>500</v>
      </c>
      <c r="F22" s="708">
        <f>SUM(F20:F21)</f>
        <v>500</v>
      </c>
      <c r="G22" s="708">
        <f>SUM(G20:G21)</f>
        <v>500</v>
      </c>
    </row>
    <row r="23" spans="1:7" ht="12.75">
      <c r="A23" s="707" t="s">
        <v>139</v>
      </c>
      <c r="B23" s="142" t="s">
        <v>416</v>
      </c>
      <c r="C23" s="143"/>
      <c r="D23" s="144"/>
      <c r="E23" s="708">
        <f>SUM('[1]5.mell. (2)'!F24)</f>
        <v>3100</v>
      </c>
      <c r="F23" s="708">
        <v>3000</v>
      </c>
      <c r="G23" s="708">
        <v>2900</v>
      </c>
    </row>
    <row r="24" spans="1:7" ht="12.75">
      <c r="A24" s="702" t="s">
        <v>112</v>
      </c>
      <c r="B24" s="142" t="s">
        <v>347</v>
      </c>
      <c r="C24" s="143"/>
      <c r="D24" s="713"/>
      <c r="E24" s="708">
        <f>SUM(E12+E13+E14+E18+E22+E23)</f>
        <v>2211000</v>
      </c>
      <c r="F24" s="708">
        <f>SUM(F12+F13+F14+F18+F22+F23)</f>
        <v>1708519.7</v>
      </c>
      <c r="G24" s="708">
        <f>SUM(G12+G13+G14+G18+G22+G23)</f>
        <v>1528965.761</v>
      </c>
    </row>
    <row r="25" spans="2:5" ht="12.75">
      <c r="B25" s="148"/>
      <c r="C25" s="149"/>
      <c r="E25" s="135"/>
    </row>
    <row r="26" spans="2:5" ht="12.75">
      <c r="B26" s="154" t="s">
        <v>348</v>
      </c>
      <c r="C26" s="149"/>
      <c r="E26" s="135"/>
    </row>
    <row r="27" spans="1:7" s="140" customFormat="1" ht="12.75">
      <c r="A27" s="137" t="s">
        <v>74</v>
      </c>
      <c r="B27" s="148" t="s">
        <v>174</v>
      </c>
      <c r="C27" s="149"/>
      <c r="E27" s="535"/>
      <c r="F27" s="535"/>
      <c r="G27" s="535"/>
    </row>
    <row r="28" spans="2:7" ht="12.75">
      <c r="B28" s="141" t="s">
        <v>109</v>
      </c>
      <c r="C28" s="152" t="s">
        <v>261</v>
      </c>
      <c r="E28" s="135">
        <v>488408</v>
      </c>
      <c r="F28" s="135">
        <f aca="true" t="shared" si="0" ref="F28:G30">SUM(E28)*1.005</f>
        <v>490850.0399999999</v>
      </c>
      <c r="G28" s="135">
        <f t="shared" si="0"/>
        <v>493304.2901999999</v>
      </c>
    </row>
    <row r="29" spans="2:7" ht="12.75">
      <c r="B29" s="141" t="s">
        <v>113</v>
      </c>
      <c r="C29" s="714" t="s">
        <v>407</v>
      </c>
      <c r="E29" s="135">
        <v>128128</v>
      </c>
      <c r="F29" s="135">
        <f t="shared" si="0"/>
        <v>128768.63999999998</v>
      </c>
      <c r="G29" s="135">
        <f t="shared" si="0"/>
        <v>129412.48319999997</v>
      </c>
    </row>
    <row r="30" spans="2:7" ht="12.75">
      <c r="B30" s="141" t="s">
        <v>176</v>
      </c>
      <c r="C30" s="152" t="s">
        <v>177</v>
      </c>
      <c r="E30" s="135">
        <v>419649</v>
      </c>
      <c r="F30" s="135">
        <f t="shared" si="0"/>
        <v>421747.24499999994</v>
      </c>
      <c r="G30" s="135">
        <f t="shared" si="0"/>
        <v>423855.9812249999</v>
      </c>
    </row>
    <row r="31" spans="2:7" ht="12.75">
      <c r="B31" s="141" t="s">
        <v>186</v>
      </c>
      <c r="C31" s="152" t="s">
        <v>403</v>
      </c>
      <c r="E31" s="135">
        <v>0</v>
      </c>
      <c r="F31" s="135">
        <v>0</v>
      </c>
      <c r="G31" s="135">
        <v>0</v>
      </c>
    </row>
    <row r="32" spans="2:7" ht="12.75">
      <c r="B32" s="141" t="s">
        <v>119</v>
      </c>
      <c r="C32" s="679" t="s">
        <v>178</v>
      </c>
      <c r="E32" s="135">
        <v>269761</v>
      </c>
      <c r="F32" s="135">
        <f aca="true" t="shared" si="1" ref="F32:G34">SUM(E32)*1.005</f>
        <v>271109.805</v>
      </c>
      <c r="G32" s="135">
        <f t="shared" si="1"/>
        <v>272465.35402499995</v>
      </c>
    </row>
    <row r="33" spans="2:7" ht="12.75">
      <c r="B33" s="141" t="s">
        <v>120</v>
      </c>
      <c r="C33" s="152" t="s">
        <v>349</v>
      </c>
      <c r="E33" s="135">
        <v>258888</v>
      </c>
      <c r="F33" s="135">
        <f t="shared" si="1"/>
        <v>260182.43999999997</v>
      </c>
      <c r="G33" s="135">
        <f t="shared" si="1"/>
        <v>261483.35219999994</v>
      </c>
    </row>
    <row r="34" spans="2:7" ht="12.75">
      <c r="B34" s="141" t="s">
        <v>180</v>
      </c>
      <c r="C34" s="152" t="s">
        <v>181</v>
      </c>
      <c r="E34" s="135">
        <v>52903</v>
      </c>
      <c r="F34" s="135">
        <f t="shared" si="1"/>
        <v>53167.51499999999</v>
      </c>
      <c r="G34" s="135">
        <f t="shared" si="1"/>
        <v>53433.35257499999</v>
      </c>
    </row>
    <row r="35" spans="2:7" ht="15.75" customHeight="1">
      <c r="B35" s="141" t="s">
        <v>182</v>
      </c>
      <c r="C35" s="152" t="s">
        <v>183</v>
      </c>
      <c r="E35" s="135">
        <v>10000</v>
      </c>
      <c r="F35" s="135">
        <v>10000</v>
      </c>
      <c r="G35" s="135">
        <v>10000</v>
      </c>
    </row>
    <row r="36" spans="2:5" ht="15.75" customHeight="1">
      <c r="B36" s="141" t="s">
        <v>184</v>
      </c>
      <c r="C36" s="134" t="s">
        <v>188</v>
      </c>
      <c r="E36" s="135">
        <v>27458</v>
      </c>
    </row>
    <row r="37" spans="1:7" ht="12.75">
      <c r="A37" s="707" t="s">
        <v>74</v>
      </c>
      <c r="B37" s="142" t="s">
        <v>187</v>
      </c>
      <c r="C37" s="156"/>
      <c r="D37" s="144"/>
      <c r="E37" s="708">
        <f>SUM(E28:E36)</f>
        <v>1655195</v>
      </c>
      <c r="F37" s="708">
        <f>SUM(F28:F36)</f>
        <v>1635825.6849999996</v>
      </c>
      <c r="G37" s="708">
        <f>SUM(G28:G36)</f>
        <v>1643954.8134249994</v>
      </c>
    </row>
    <row r="38" spans="1:5" ht="12.75">
      <c r="A38" s="137" t="s">
        <v>79</v>
      </c>
      <c r="B38" s="148" t="s">
        <v>190</v>
      </c>
      <c r="C38" s="152"/>
      <c r="E38" s="135"/>
    </row>
    <row r="39" spans="2:7" ht="12.75">
      <c r="B39" s="141" t="s">
        <v>191</v>
      </c>
      <c r="C39" s="152" t="s">
        <v>398</v>
      </c>
      <c r="E39" s="135">
        <v>522321</v>
      </c>
      <c r="F39" s="135">
        <v>195191</v>
      </c>
      <c r="G39" s="135">
        <v>3000</v>
      </c>
    </row>
    <row r="40" spans="2:7" ht="12.75">
      <c r="B40" s="141" t="s">
        <v>81</v>
      </c>
      <c r="C40" s="152" t="s">
        <v>399</v>
      </c>
      <c r="E40" s="135">
        <v>0</v>
      </c>
      <c r="F40" s="135">
        <v>0</v>
      </c>
      <c r="G40" s="135">
        <v>0</v>
      </c>
    </row>
    <row r="41" spans="2:7" ht="12.75">
      <c r="B41" s="141" t="s">
        <v>90</v>
      </c>
      <c r="C41" s="152" t="s">
        <v>350</v>
      </c>
      <c r="E41" s="135">
        <v>2700</v>
      </c>
      <c r="F41" s="135">
        <v>0</v>
      </c>
      <c r="G41" s="135">
        <v>0</v>
      </c>
    </row>
    <row r="42" spans="2:7" ht="12.75">
      <c r="B42" s="141" t="s">
        <v>94</v>
      </c>
      <c r="C42" s="152" t="s">
        <v>351</v>
      </c>
      <c r="E42" s="135">
        <f>SUM('[2]5.mell. (2)'!F41)</f>
        <v>0</v>
      </c>
      <c r="F42" s="135">
        <v>0</v>
      </c>
      <c r="G42" s="135">
        <v>0</v>
      </c>
    </row>
    <row r="43" spans="2:7" ht="12.75">
      <c r="B43" s="141" t="s">
        <v>195</v>
      </c>
      <c r="C43" s="152" t="s">
        <v>196</v>
      </c>
      <c r="E43" s="135">
        <f>SUM('[2]5.mell. (2)'!F42)</f>
        <v>0</v>
      </c>
      <c r="F43" s="135">
        <v>0</v>
      </c>
      <c r="G43" s="135">
        <v>0</v>
      </c>
    </row>
    <row r="44" spans="2:6" ht="12.75">
      <c r="B44" s="133" t="s">
        <v>197</v>
      </c>
      <c r="C44" s="152" t="s">
        <v>198</v>
      </c>
      <c r="E44" s="135">
        <v>1446077</v>
      </c>
      <c r="F44" s="135">
        <v>0</v>
      </c>
    </row>
    <row r="45" spans="1:7" ht="12.75">
      <c r="A45" s="707" t="s">
        <v>79</v>
      </c>
      <c r="B45" s="142" t="s">
        <v>352</v>
      </c>
      <c r="C45" s="156"/>
      <c r="D45" s="144"/>
      <c r="E45" s="708">
        <f>SUM(E39:E44)</f>
        <v>1971098</v>
      </c>
      <c r="F45" s="708">
        <f>SUM(F39:F44)</f>
        <v>195191</v>
      </c>
      <c r="G45" s="708">
        <f>SUM(G39:G44)</f>
        <v>3000</v>
      </c>
    </row>
    <row r="46" spans="1:7" s="140" customFormat="1" ht="12.75">
      <c r="A46" s="707"/>
      <c r="B46" s="142" t="s">
        <v>353</v>
      </c>
      <c r="C46" s="156"/>
      <c r="D46" s="144"/>
      <c r="E46" s="708">
        <f>SUM(E37+E45)</f>
        <v>3626293</v>
      </c>
      <c r="F46" s="708">
        <f>SUM(F37+F45)</f>
        <v>1831016.6849999996</v>
      </c>
      <c r="G46" s="708">
        <f>SUM(G37+G45)</f>
        <v>1646954.8134249994</v>
      </c>
    </row>
    <row r="47" spans="3:5" ht="12.75">
      <c r="C47" s="715"/>
      <c r="E47" s="135"/>
    </row>
    <row r="48" spans="1:7" s="140" customFormat="1" ht="12.75">
      <c r="A48" s="712"/>
      <c r="B48" s="148" t="s">
        <v>57</v>
      </c>
      <c r="C48" s="138"/>
      <c r="D48" s="153"/>
      <c r="E48" s="153"/>
      <c r="F48" s="536"/>
      <c r="G48" s="536"/>
    </row>
    <row r="49" spans="1:7" s="140" customFormat="1" ht="12.75">
      <c r="A49" s="712" t="s">
        <v>162</v>
      </c>
      <c r="B49" s="148" t="s">
        <v>354</v>
      </c>
      <c r="C49" s="138"/>
      <c r="D49" s="153"/>
      <c r="E49" s="153"/>
      <c r="F49" s="535"/>
      <c r="G49" s="535"/>
    </row>
    <row r="50" spans="1:7" ht="12.75">
      <c r="A50" s="533"/>
      <c r="B50" s="141" t="s">
        <v>74</v>
      </c>
      <c r="C50" s="157" t="s">
        <v>164</v>
      </c>
      <c r="D50" s="158"/>
      <c r="E50" s="150">
        <f>SUM('[2]címrendes bevétel'!M160)</f>
        <v>0</v>
      </c>
      <c r="F50" s="135">
        <v>0</v>
      </c>
      <c r="G50" s="135">
        <v>0</v>
      </c>
    </row>
    <row r="51" spans="1:7" ht="12.75">
      <c r="A51" s="716"/>
      <c r="B51" s="159" t="s">
        <v>79</v>
      </c>
      <c r="C51" s="160" t="s">
        <v>165</v>
      </c>
      <c r="D51" s="161"/>
      <c r="E51" s="711">
        <v>134035</v>
      </c>
      <c r="F51" s="711">
        <v>0</v>
      </c>
      <c r="G51" s="711">
        <v>0</v>
      </c>
    </row>
    <row r="52" spans="1:7" s="140" customFormat="1" ht="12.75">
      <c r="A52" s="712"/>
      <c r="B52" s="148" t="s">
        <v>167</v>
      </c>
      <c r="C52" s="138"/>
      <c r="D52" s="153"/>
      <c r="E52" s="536">
        <f>SUM(E50:E51)</f>
        <v>134035</v>
      </c>
      <c r="F52" s="536">
        <f>SUM(F50:F51)</f>
        <v>0</v>
      </c>
      <c r="G52" s="536">
        <f>SUM(G50:G51)</f>
        <v>0</v>
      </c>
    </row>
    <row r="53" spans="1:7" ht="12.75">
      <c r="A53" s="707" t="s">
        <v>168</v>
      </c>
      <c r="B53" s="142" t="s">
        <v>169</v>
      </c>
      <c r="C53" s="143"/>
      <c r="D53" s="144"/>
      <c r="E53" s="708">
        <v>1337168</v>
      </c>
      <c r="F53" s="708">
        <v>132618</v>
      </c>
      <c r="G53" s="708">
        <v>128110</v>
      </c>
    </row>
    <row r="54" spans="1:7" s="140" customFormat="1" ht="12.75">
      <c r="A54" s="707"/>
      <c r="B54" s="142" t="s">
        <v>172</v>
      </c>
      <c r="C54" s="162"/>
      <c r="D54" s="144"/>
      <c r="E54" s="708">
        <f>SUM(E52+E53)</f>
        <v>1471203</v>
      </c>
      <c r="F54" s="708">
        <f>SUM(F52+F53)</f>
        <v>132618</v>
      </c>
      <c r="G54" s="708">
        <f>SUM(G52+G53)</f>
        <v>128110</v>
      </c>
    </row>
    <row r="55" spans="3:5" ht="12.75">
      <c r="C55" s="715"/>
      <c r="E55" s="135"/>
    </row>
    <row r="56" spans="1:7" s="140" customFormat="1" ht="12.75">
      <c r="A56" s="137" t="s">
        <v>126</v>
      </c>
      <c r="B56" s="148" t="s">
        <v>355</v>
      </c>
      <c r="C56" s="138"/>
      <c r="F56" s="535"/>
      <c r="G56" s="535"/>
    </row>
    <row r="57" spans="1:7" ht="12.75">
      <c r="A57" s="533"/>
      <c r="B57" s="155" t="s">
        <v>205</v>
      </c>
      <c r="C57" s="158" t="s">
        <v>356</v>
      </c>
      <c r="D57" s="158"/>
      <c r="E57" s="150">
        <v>55910</v>
      </c>
      <c r="F57" s="150">
        <v>10121</v>
      </c>
      <c r="G57" s="150">
        <v>10121</v>
      </c>
    </row>
    <row r="58" spans="1:7" ht="12.75">
      <c r="A58" s="716"/>
      <c r="B58" s="163" t="s">
        <v>210</v>
      </c>
      <c r="C58" s="161" t="s">
        <v>208</v>
      </c>
      <c r="D58" s="161"/>
      <c r="E58" s="711"/>
      <c r="F58" s="711"/>
      <c r="G58" s="711"/>
    </row>
    <row r="59" spans="1:7" s="140" customFormat="1" ht="12.75">
      <c r="A59" s="709"/>
      <c r="B59" s="145" t="s">
        <v>357</v>
      </c>
      <c r="C59" s="147"/>
      <c r="D59" s="147"/>
      <c r="E59" s="717">
        <f>SUM(E57:E58)</f>
        <v>55910</v>
      </c>
      <c r="F59" s="717">
        <f>SUM(F57:F58)</f>
        <v>10121</v>
      </c>
      <c r="G59" s="717">
        <f>SUM(G57:G58)</f>
        <v>10121</v>
      </c>
    </row>
    <row r="60" spans="1:7" s="140" customFormat="1" ht="12.75">
      <c r="A60" s="709"/>
      <c r="B60" s="145"/>
      <c r="C60" s="147"/>
      <c r="D60" s="147"/>
      <c r="E60" s="717"/>
      <c r="F60" s="717"/>
      <c r="G60" s="717"/>
    </row>
    <row r="61" spans="1:7" s="140" customFormat="1" ht="12.75">
      <c r="A61" s="709"/>
      <c r="B61" s="145" t="s">
        <v>173</v>
      </c>
      <c r="C61" s="147"/>
      <c r="D61" s="147"/>
      <c r="E61" s="717">
        <f>SUM(E54+E24)</f>
        <v>3682203</v>
      </c>
      <c r="F61" s="717">
        <f>SUM(F54+F24)</f>
        <v>1841137.7</v>
      </c>
      <c r="G61" s="717">
        <f>SUM(G54+G24)</f>
        <v>1657075.761</v>
      </c>
    </row>
    <row r="62" spans="1:7" s="140" customFormat="1" ht="12.75">
      <c r="A62" s="707"/>
      <c r="B62" s="142" t="s">
        <v>340</v>
      </c>
      <c r="C62" s="144"/>
      <c r="D62" s="144"/>
      <c r="E62" s="708">
        <f>SUM(E59+E46)</f>
        <v>3682203</v>
      </c>
      <c r="F62" s="708">
        <f>SUM(F59+F46)</f>
        <v>1841137.6849999996</v>
      </c>
      <c r="G62" s="708">
        <f>SUM(G59+G46)</f>
        <v>1657075.8134249994</v>
      </c>
    </row>
  </sheetData>
  <sheetProtection/>
  <mergeCells count="4">
    <mergeCell ref="F6:G6"/>
    <mergeCell ref="A3:G3"/>
    <mergeCell ref="C1:G1"/>
    <mergeCell ref="A7:D7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zoomScaleSheetLayoutView="75" zoomScalePageLayoutView="0" workbookViewId="0" topLeftCell="A1">
      <selection activeCell="A3" sqref="A3:S3"/>
    </sheetView>
  </sheetViews>
  <sheetFormatPr defaultColWidth="9.00390625" defaultRowHeight="12.75"/>
  <cols>
    <col min="1" max="1" width="8.375" style="164" customWidth="1"/>
    <col min="2" max="2" width="37.25390625" style="164" customWidth="1"/>
    <col min="3" max="3" width="16.375" style="164" customWidth="1"/>
    <col min="4" max="4" width="13.375" style="164" customWidth="1"/>
    <col min="5" max="5" width="13.25390625" style="164" customWidth="1"/>
    <col min="6" max="6" width="12.25390625" style="164" customWidth="1"/>
    <col min="7" max="8" width="11.75390625" style="164" hidden="1" customWidth="1"/>
    <col min="9" max="9" width="16.75390625" style="164" hidden="1" customWidth="1"/>
    <col min="10" max="10" width="9.25390625" style="164" hidden="1" customWidth="1"/>
    <col min="11" max="11" width="14.00390625" style="164" hidden="1" customWidth="1"/>
    <col min="12" max="12" width="11.25390625" style="164" hidden="1" customWidth="1"/>
    <col min="13" max="13" width="21.125" style="164" hidden="1" customWidth="1"/>
    <col min="14" max="14" width="10.75390625" style="164" hidden="1" customWidth="1"/>
    <col min="15" max="15" width="13.625" style="164" hidden="1" customWidth="1"/>
    <col min="16" max="16" width="11.875" style="164" hidden="1" customWidth="1"/>
    <col min="17" max="19" width="9.125" style="164" hidden="1" customWidth="1"/>
    <col min="20" max="16384" width="9.125" style="164" customWidth="1"/>
  </cols>
  <sheetData>
    <row r="1" spans="1:19" ht="17.25" customHeight="1">
      <c r="A1" s="860" t="s">
        <v>705</v>
      </c>
      <c r="B1" s="823"/>
      <c r="C1" s="823"/>
      <c r="D1" s="823"/>
      <c r="E1" s="823"/>
      <c r="F1" s="823"/>
      <c r="G1" s="823"/>
      <c r="H1" s="823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</row>
    <row r="2" spans="1:19" ht="12.75">
      <c r="A2" s="824"/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</row>
    <row r="3" spans="1:19" ht="15.75">
      <c r="A3" s="902" t="s">
        <v>560</v>
      </c>
      <c r="B3" s="902"/>
      <c r="C3" s="902"/>
      <c r="D3" s="902"/>
      <c r="E3" s="902"/>
      <c r="F3" s="902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</row>
    <row r="4" spans="1:8" ht="15.75">
      <c r="A4" s="911"/>
      <c r="B4" s="911"/>
      <c r="C4" s="911"/>
      <c r="D4" s="911"/>
      <c r="E4" s="911"/>
      <c r="F4" s="911"/>
      <c r="G4" s="374"/>
      <c r="H4" s="374"/>
    </row>
    <row r="5" spans="1:19" ht="25.5" customHeight="1">
      <c r="A5" s="912" t="s">
        <v>211</v>
      </c>
      <c r="B5" s="913"/>
      <c r="C5" s="906" t="s">
        <v>445</v>
      </c>
      <c r="D5" s="914"/>
      <c r="E5" s="914"/>
      <c r="F5" s="910"/>
      <c r="G5" s="883" t="s">
        <v>358</v>
      </c>
      <c r="H5" s="884"/>
      <c r="I5" s="906" t="s">
        <v>454</v>
      </c>
      <c r="J5" s="907"/>
      <c r="K5" s="907"/>
      <c r="L5" s="884"/>
      <c r="M5" s="906" t="s">
        <v>461</v>
      </c>
      <c r="N5" s="907"/>
      <c r="O5" s="907"/>
      <c r="P5" s="884"/>
      <c r="Q5" s="250" t="s">
        <v>213</v>
      </c>
      <c r="R5" s="883" t="s">
        <v>358</v>
      </c>
      <c r="S5" s="884"/>
    </row>
    <row r="6" spans="1:19" s="134" customFormat="1" ht="15">
      <c r="A6" s="379"/>
      <c r="B6" s="201" t="s">
        <v>314</v>
      </c>
      <c r="C6" s="903" t="s">
        <v>315</v>
      </c>
      <c r="D6" s="904"/>
      <c r="E6" s="904"/>
      <c r="F6" s="905"/>
      <c r="G6" s="909" t="s">
        <v>316</v>
      </c>
      <c r="H6" s="910"/>
      <c r="I6" s="908" t="s">
        <v>316</v>
      </c>
      <c r="J6" s="904"/>
      <c r="K6" s="904"/>
      <c r="L6" s="905"/>
      <c r="M6" s="915" t="s">
        <v>317</v>
      </c>
      <c r="N6" s="904"/>
      <c r="O6" s="904"/>
      <c r="P6" s="905"/>
      <c r="Q6" s="414" t="s">
        <v>447</v>
      </c>
      <c r="R6" s="909" t="s">
        <v>317</v>
      </c>
      <c r="S6" s="910"/>
    </row>
    <row r="7" spans="1:19" s="140" customFormat="1" ht="15" customHeight="1">
      <c r="A7" s="892"/>
      <c r="B7" s="893"/>
      <c r="C7" s="898" t="s">
        <v>434</v>
      </c>
      <c r="D7" s="900" t="s">
        <v>435</v>
      </c>
      <c r="E7" s="901"/>
      <c r="F7" s="896" t="s">
        <v>147</v>
      </c>
      <c r="G7" s="375"/>
      <c r="H7" s="376"/>
      <c r="I7" s="866" t="s">
        <v>434</v>
      </c>
      <c r="J7" s="904"/>
      <c r="K7" s="905"/>
      <c r="L7" s="896" t="s">
        <v>147</v>
      </c>
      <c r="M7" s="866" t="s">
        <v>434</v>
      </c>
      <c r="N7" s="904"/>
      <c r="O7" s="905"/>
      <c r="P7" s="896" t="s">
        <v>147</v>
      </c>
      <c r="Q7" s="226"/>
      <c r="R7" s="375"/>
      <c r="S7" s="376"/>
    </row>
    <row r="8" spans="1:19" s="140" customFormat="1" ht="18.75" customHeight="1" thickBot="1">
      <c r="A8" s="894"/>
      <c r="B8" s="895"/>
      <c r="C8" s="899"/>
      <c r="D8" s="606" t="s">
        <v>429</v>
      </c>
      <c r="E8" s="607" t="s">
        <v>428</v>
      </c>
      <c r="F8" s="897"/>
      <c r="G8" s="375"/>
      <c r="H8" s="376"/>
      <c r="I8" s="882"/>
      <c r="J8" s="606" t="s">
        <v>429</v>
      </c>
      <c r="K8" s="607" t="s">
        <v>428</v>
      </c>
      <c r="L8" s="897"/>
      <c r="M8" s="882"/>
      <c r="N8" s="606" t="s">
        <v>429</v>
      </c>
      <c r="O8" s="607" t="s">
        <v>428</v>
      </c>
      <c r="P8" s="897"/>
      <c r="Q8" s="226"/>
      <c r="R8" s="375"/>
      <c r="S8" s="376"/>
    </row>
    <row r="9" spans="1:19" ht="18.75" customHeight="1" thickBot="1">
      <c r="A9" s="889" t="s">
        <v>75</v>
      </c>
      <c r="B9" s="890"/>
      <c r="C9" s="890"/>
      <c r="D9" s="890"/>
      <c r="E9" s="891"/>
      <c r="F9" s="614">
        <f>SUM(D10:D16)</f>
        <v>253</v>
      </c>
      <c r="G9" s="615"/>
      <c r="H9" s="616">
        <v>0</v>
      </c>
      <c r="I9" s="617"/>
      <c r="J9" s="617"/>
      <c r="K9" s="618"/>
      <c r="L9" s="614">
        <f>SUM(J10:J16)</f>
        <v>161</v>
      </c>
      <c r="M9" s="619"/>
      <c r="N9" s="620"/>
      <c r="O9" s="621"/>
      <c r="P9" s="622">
        <v>251</v>
      </c>
      <c r="Q9" s="620">
        <v>156</v>
      </c>
      <c r="R9" s="615"/>
      <c r="S9" s="616">
        <v>168</v>
      </c>
    </row>
    <row r="10" spans="1:19" ht="18.75" customHeight="1">
      <c r="A10" s="608"/>
      <c r="B10" s="609" t="s">
        <v>361</v>
      </c>
      <c r="C10" s="610"/>
      <c r="D10" s="609">
        <v>1</v>
      </c>
      <c r="E10" s="604"/>
      <c r="F10" s="611"/>
      <c r="G10" s="612">
        <v>0</v>
      </c>
      <c r="H10" s="604"/>
      <c r="I10" s="610"/>
      <c r="J10" s="288">
        <v>1</v>
      </c>
      <c r="K10" s="604"/>
      <c r="L10" s="611"/>
      <c r="M10" s="610"/>
      <c r="N10" s="610">
        <v>1</v>
      </c>
      <c r="O10" s="610"/>
      <c r="P10" s="613"/>
      <c r="Q10" s="610"/>
      <c r="R10" s="612">
        <v>0</v>
      </c>
      <c r="S10" s="604"/>
    </row>
    <row r="11" spans="1:19" ht="18.75" customHeight="1">
      <c r="A11" s="589"/>
      <c r="B11" s="593" t="s">
        <v>400</v>
      </c>
      <c r="C11" s="480"/>
      <c r="D11" s="594">
        <v>1</v>
      </c>
      <c r="E11" s="377"/>
      <c r="F11" s="245"/>
      <c r="G11" s="591">
        <v>0</v>
      </c>
      <c r="H11" s="377"/>
      <c r="I11" s="480"/>
      <c r="J11" s="592">
        <v>1</v>
      </c>
      <c r="K11" s="377"/>
      <c r="L11" s="245"/>
      <c r="M11" s="480"/>
      <c r="N11" s="480">
        <v>1</v>
      </c>
      <c r="O11" s="480"/>
      <c r="P11" s="167"/>
      <c r="Q11" s="480"/>
      <c r="R11" s="591">
        <v>0</v>
      </c>
      <c r="S11" s="377"/>
    </row>
    <row r="12" spans="1:19" ht="18.75" customHeight="1">
      <c r="A12" s="589"/>
      <c r="B12" s="590" t="s">
        <v>359</v>
      </c>
      <c r="C12" s="480"/>
      <c r="D12" s="590">
        <v>13</v>
      </c>
      <c r="E12" s="377"/>
      <c r="F12" s="245"/>
      <c r="G12" s="591">
        <v>0</v>
      </c>
      <c r="H12" s="377"/>
      <c r="I12" s="480"/>
      <c r="J12" s="592">
        <v>13</v>
      </c>
      <c r="K12" s="377"/>
      <c r="L12" s="245"/>
      <c r="M12" s="480"/>
      <c r="N12" s="480">
        <v>13</v>
      </c>
      <c r="O12" s="480"/>
      <c r="P12" s="167"/>
      <c r="Q12" s="480"/>
      <c r="R12" s="591">
        <v>0</v>
      </c>
      <c r="S12" s="377"/>
    </row>
    <row r="13" spans="1:19" ht="18.75" customHeight="1">
      <c r="A13" s="589"/>
      <c r="B13" s="590" t="s">
        <v>360</v>
      </c>
      <c r="C13" s="480"/>
      <c r="D13" s="590">
        <v>10</v>
      </c>
      <c r="E13" s="377"/>
      <c r="F13" s="245"/>
      <c r="G13" s="591">
        <v>0</v>
      </c>
      <c r="H13" s="377"/>
      <c r="I13" s="480"/>
      <c r="J13" s="592">
        <v>10</v>
      </c>
      <c r="K13" s="377"/>
      <c r="L13" s="245"/>
      <c r="M13" s="480"/>
      <c r="N13" s="480">
        <v>10</v>
      </c>
      <c r="O13" s="480"/>
      <c r="P13" s="167"/>
      <c r="Q13" s="480"/>
      <c r="R13" s="591">
        <v>0</v>
      </c>
      <c r="S13" s="377"/>
    </row>
    <row r="14" spans="1:19" ht="18.75" customHeight="1">
      <c r="A14" s="589"/>
      <c r="B14" s="590" t="s">
        <v>563</v>
      </c>
      <c r="C14" s="480"/>
      <c r="D14" s="590">
        <v>1</v>
      </c>
      <c r="E14" s="377"/>
      <c r="F14" s="245"/>
      <c r="G14" s="591">
        <v>0</v>
      </c>
      <c r="H14" s="377"/>
      <c r="I14" s="480"/>
      <c r="J14" s="592">
        <v>1</v>
      </c>
      <c r="K14" s="377"/>
      <c r="L14" s="245"/>
      <c r="M14" s="480"/>
      <c r="N14" s="480">
        <v>1</v>
      </c>
      <c r="O14" s="480"/>
      <c r="P14" s="167"/>
      <c r="Q14" s="480"/>
      <c r="R14" s="591">
        <v>0</v>
      </c>
      <c r="S14" s="377"/>
    </row>
    <row r="15" spans="1:19" ht="15.75">
      <c r="A15" s="595"/>
      <c r="B15" s="593" t="s">
        <v>564</v>
      </c>
      <c r="C15" s="480"/>
      <c r="D15" s="594">
        <v>3</v>
      </c>
      <c r="E15" s="377"/>
      <c r="F15" s="245"/>
      <c r="G15" s="591">
        <v>0</v>
      </c>
      <c r="H15" s="377"/>
      <c r="I15" s="480"/>
      <c r="J15" s="592">
        <v>3</v>
      </c>
      <c r="K15" s="377"/>
      <c r="L15" s="245"/>
      <c r="M15" s="480"/>
      <c r="N15" s="480">
        <v>3</v>
      </c>
      <c r="O15" s="480"/>
      <c r="P15" s="167"/>
      <c r="Q15" s="480"/>
      <c r="R15" s="591">
        <v>0</v>
      </c>
      <c r="S15" s="377"/>
    </row>
    <row r="16" spans="1:19" ht="15.75">
      <c r="A16" s="595"/>
      <c r="B16" s="593" t="s">
        <v>402</v>
      </c>
      <c r="C16" s="480"/>
      <c r="D16" s="594">
        <v>224</v>
      </c>
      <c r="E16" s="377"/>
      <c r="F16" s="245"/>
      <c r="G16" s="591">
        <v>0</v>
      </c>
      <c r="H16" s="377"/>
      <c r="I16" s="480"/>
      <c r="J16" s="592">
        <v>132</v>
      </c>
      <c r="K16" s="377"/>
      <c r="L16" s="245"/>
      <c r="M16" s="480"/>
      <c r="N16" s="480">
        <v>216</v>
      </c>
      <c r="O16" s="480"/>
      <c r="P16" s="167"/>
      <c r="Q16" s="480"/>
      <c r="R16" s="591">
        <v>168</v>
      </c>
      <c r="S16" s="377"/>
    </row>
    <row r="17" spans="1:19" ht="15.75" thickBot="1">
      <c r="A17" s="624"/>
      <c r="B17" s="625"/>
      <c r="C17" s="626"/>
      <c r="D17" s="603"/>
      <c r="E17" s="603"/>
      <c r="F17" s="627"/>
      <c r="G17" s="628"/>
      <c r="H17" s="603"/>
      <c r="I17" s="626"/>
      <c r="J17" s="603"/>
      <c r="K17" s="603"/>
      <c r="L17" s="627"/>
      <c r="M17" s="629"/>
      <c r="N17" s="629"/>
      <c r="O17" s="629"/>
      <c r="P17" s="606"/>
      <c r="Q17" s="629"/>
      <c r="R17" s="628"/>
      <c r="S17" s="603"/>
    </row>
    <row r="18" spans="1:19" ht="16.5" thickBot="1">
      <c r="A18" s="887" t="s">
        <v>170</v>
      </c>
      <c r="B18" s="888"/>
      <c r="C18" s="888"/>
      <c r="D18" s="888"/>
      <c r="E18" s="888"/>
      <c r="F18" s="632">
        <f>SUM(C19+C20+C21+C22+D19+D20+D21+D22+E19+E20+E21+E22)</f>
        <v>71.5</v>
      </c>
      <c r="G18" s="633"/>
      <c r="H18" s="634">
        <v>0</v>
      </c>
      <c r="I18" s="635"/>
      <c r="J18" s="635"/>
      <c r="K18" s="635"/>
      <c r="L18" s="632">
        <f>SUM(I19+I20+I21+I22+J19+J20+J21+J22+K19+K20+K21+K22)</f>
        <v>65</v>
      </c>
      <c r="M18" s="620"/>
      <c r="N18" s="620"/>
      <c r="O18" s="620"/>
      <c r="P18" s="622">
        <v>59</v>
      </c>
      <c r="Q18" s="620">
        <v>91</v>
      </c>
      <c r="R18" s="633"/>
      <c r="S18" s="634">
        <v>6.5</v>
      </c>
    </row>
    <row r="19" spans="1:19" ht="15">
      <c r="A19" s="609"/>
      <c r="B19" s="609" t="s">
        <v>362</v>
      </c>
      <c r="C19" s="609">
        <v>13</v>
      </c>
      <c r="D19" s="631">
        <v>40.5</v>
      </c>
      <c r="E19" s="631"/>
      <c r="F19" s="609"/>
      <c r="G19" s="631">
        <v>0</v>
      </c>
      <c r="H19" s="609"/>
      <c r="I19" s="609">
        <v>13</v>
      </c>
      <c r="J19" s="631">
        <v>35</v>
      </c>
      <c r="K19" s="631"/>
      <c r="L19" s="609"/>
      <c r="M19" s="610">
        <v>13</v>
      </c>
      <c r="N19" s="610">
        <v>32</v>
      </c>
      <c r="O19" s="610"/>
      <c r="P19" s="613"/>
      <c r="Q19" s="610"/>
      <c r="R19" s="631">
        <v>5.5</v>
      </c>
      <c r="S19" s="609"/>
    </row>
    <row r="20" spans="1:19" ht="15">
      <c r="A20" s="590"/>
      <c r="B20" s="590" t="s">
        <v>363</v>
      </c>
      <c r="C20" s="590">
        <v>1</v>
      </c>
      <c r="D20" s="378">
        <v>3</v>
      </c>
      <c r="E20" s="378"/>
      <c r="F20" s="590"/>
      <c r="G20" s="378">
        <v>0</v>
      </c>
      <c r="H20" s="590"/>
      <c r="I20" s="590">
        <v>1</v>
      </c>
      <c r="J20" s="378">
        <v>2</v>
      </c>
      <c r="K20" s="378"/>
      <c r="L20" s="590"/>
      <c r="M20" s="480">
        <v>1</v>
      </c>
      <c r="N20" s="480">
        <v>2</v>
      </c>
      <c r="O20" s="480"/>
      <c r="P20" s="167"/>
      <c r="Q20" s="480"/>
      <c r="R20" s="378">
        <v>1</v>
      </c>
      <c r="S20" s="590"/>
    </row>
    <row r="21" spans="1:19" ht="15">
      <c r="A21" s="590"/>
      <c r="B21" s="590" t="s">
        <v>364</v>
      </c>
      <c r="C21" s="590"/>
      <c r="D21" s="378">
        <v>9</v>
      </c>
      <c r="E21" s="378"/>
      <c r="F21" s="590"/>
      <c r="G21" s="378">
        <v>0</v>
      </c>
      <c r="H21" s="590"/>
      <c r="I21" s="590"/>
      <c r="J21" s="378">
        <v>9</v>
      </c>
      <c r="K21" s="378"/>
      <c r="L21" s="590"/>
      <c r="M21" s="480"/>
      <c r="N21" s="480">
        <v>9</v>
      </c>
      <c r="O21" s="480"/>
      <c r="P21" s="167"/>
      <c r="Q21" s="480"/>
      <c r="R21" s="378">
        <v>0</v>
      </c>
      <c r="S21" s="590"/>
    </row>
    <row r="22" spans="1:19" ht="15">
      <c r="A22" s="590"/>
      <c r="B22" s="590" t="s">
        <v>365</v>
      </c>
      <c r="C22" s="590"/>
      <c r="D22" s="378"/>
      <c r="E22" s="378">
        <v>5</v>
      </c>
      <c r="F22" s="590"/>
      <c r="G22" s="378">
        <v>0</v>
      </c>
      <c r="H22" s="590"/>
      <c r="I22" s="590"/>
      <c r="J22" s="378"/>
      <c r="K22" s="378">
        <v>5</v>
      </c>
      <c r="L22" s="590"/>
      <c r="M22" s="480"/>
      <c r="N22" s="480"/>
      <c r="O22" s="480">
        <v>2</v>
      </c>
      <c r="P22" s="167"/>
      <c r="Q22" s="480"/>
      <c r="R22" s="378">
        <v>0</v>
      </c>
      <c r="S22" s="590"/>
    </row>
    <row r="23" spans="1:19" ht="15.75" thickBot="1">
      <c r="A23" s="630"/>
      <c r="B23" s="630"/>
      <c r="C23" s="630"/>
      <c r="D23" s="629"/>
      <c r="E23" s="629"/>
      <c r="F23" s="630"/>
      <c r="G23" s="636"/>
      <c r="H23" s="630"/>
      <c r="I23" s="630"/>
      <c r="J23" s="629"/>
      <c r="K23" s="629"/>
      <c r="L23" s="630"/>
      <c r="M23" s="629"/>
      <c r="N23" s="629"/>
      <c r="O23" s="629"/>
      <c r="P23" s="606"/>
      <c r="Q23" s="629"/>
      <c r="R23" s="636"/>
      <c r="S23" s="630"/>
    </row>
    <row r="24" spans="1:19" ht="16.5" thickBot="1">
      <c r="A24" s="887" t="s">
        <v>512</v>
      </c>
      <c r="B24" s="888"/>
      <c r="C24" s="888"/>
      <c r="D24" s="888"/>
      <c r="E24" s="888"/>
      <c r="F24" s="623">
        <f>SUM(D25:D29)</f>
        <v>48</v>
      </c>
      <c r="G24" s="638"/>
      <c r="H24" s="623">
        <v>0</v>
      </c>
      <c r="I24" s="635"/>
      <c r="J24" s="635"/>
      <c r="K24" s="635"/>
      <c r="L24" s="623">
        <f>SUM(J25:J27)</f>
        <v>26</v>
      </c>
      <c r="M24" s="620"/>
      <c r="N24" s="620"/>
      <c r="O24" s="620"/>
      <c r="P24" s="622">
        <v>26</v>
      </c>
      <c r="Q24" s="620">
        <v>100</v>
      </c>
      <c r="R24" s="638"/>
      <c r="S24" s="623">
        <v>-1</v>
      </c>
    </row>
    <row r="25" spans="1:19" ht="15">
      <c r="A25" s="609"/>
      <c r="B25" s="637" t="s">
        <v>401</v>
      </c>
      <c r="C25" s="637"/>
      <c r="D25" s="631">
        <v>13</v>
      </c>
      <c r="E25" s="610"/>
      <c r="F25" s="609"/>
      <c r="G25" s="631">
        <v>0</v>
      </c>
      <c r="H25" s="609"/>
      <c r="I25" s="637"/>
      <c r="J25" s="479">
        <v>15</v>
      </c>
      <c r="K25" s="610"/>
      <c r="L25" s="609"/>
      <c r="M25" s="610"/>
      <c r="N25" s="610">
        <v>15</v>
      </c>
      <c r="O25" s="610"/>
      <c r="P25" s="613"/>
      <c r="Q25" s="610"/>
      <c r="R25" s="631">
        <v>-2</v>
      </c>
      <c r="S25" s="609"/>
    </row>
    <row r="26" spans="1:19" ht="15">
      <c r="A26" s="590"/>
      <c r="B26" s="596" t="s">
        <v>427</v>
      </c>
      <c r="C26" s="596"/>
      <c r="D26" s="378">
        <v>9</v>
      </c>
      <c r="E26" s="480"/>
      <c r="F26" s="590"/>
      <c r="G26" s="378">
        <v>0</v>
      </c>
      <c r="H26" s="590"/>
      <c r="I26" s="596"/>
      <c r="J26" s="597">
        <v>8</v>
      </c>
      <c r="K26" s="480"/>
      <c r="L26" s="590"/>
      <c r="M26" s="480"/>
      <c r="N26" s="480">
        <v>8</v>
      </c>
      <c r="O26" s="480"/>
      <c r="P26" s="167"/>
      <c r="Q26" s="480"/>
      <c r="R26" s="378">
        <v>1</v>
      </c>
      <c r="S26" s="590"/>
    </row>
    <row r="27" spans="1:19" ht="15">
      <c r="A27" s="590"/>
      <c r="B27" s="596" t="s">
        <v>366</v>
      </c>
      <c r="C27" s="596"/>
      <c r="D27" s="378">
        <v>1</v>
      </c>
      <c r="E27" s="480"/>
      <c r="F27" s="590"/>
      <c r="G27" s="378">
        <v>0</v>
      </c>
      <c r="H27" s="590"/>
      <c r="I27" s="596"/>
      <c r="J27" s="597">
        <v>3</v>
      </c>
      <c r="K27" s="480"/>
      <c r="L27" s="590"/>
      <c r="M27" s="480"/>
      <c r="N27" s="480">
        <v>3</v>
      </c>
      <c r="O27" s="480"/>
      <c r="P27" s="167"/>
      <c r="Q27" s="480"/>
      <c r="R27" s="378">
        <v>0</v>
      </c>
      <c r="S27" s="590"/>
    </row>
    <row r="28" spans="1:19" ht="15">
      <c r="A28" s="590"/>
      <c r="B28" s="596" t="s">
        <v>509</v>
      </c>
      <c r="C28" s="596"/>
      <c r="D28" s="480">
        <v>17</v>
      </c>
      <c r="E28" s="480"/>
      <c r="F28" s="590"/>
      <c r="G28" s="378"/>
      <c r="H28" s="590"/>
      <c r="I28" s="596"/>
      <c r="J28" s="480"/>
      <c r="K28" s="480"/>
      <c r="L28" s="590"/>
      <c r="M28" s="480"/>
      <c r="N28" s="480"/>
      <c r="O28" s="480"/>
      <c r="P28" s="167"/>
      <c r="Q28" s="480"/>
      <c r="R28" s="378"/>
      <c r="S28" s="590"/>
    </row>
    <row r="29" spans="1:19" ht="15">
      <c r="A29" s="590"/>
      <c r="B29" s="596" t="s">
        <v>510</v>
      </c>
      <c r="C29" s="596"/>
      <c r="D29" s="480">
        <v>8</v>
      </c>
      <c r="E29" s="480"/>
      <c r="F29" s="590"/>
      <c r="G29" s="378"/>
      <c r="H29" s="590"/>
      <c r="I29" s="596"/>
      <c r="J29" s="480"/>
      <c r="K29" s="480"/>
      <c r="L29" s="590"/>
      <c r="M29" s="480"/>
      <c r="N29" s="480"/>
      <c r="O29" s="480"/>
      <c r="P29" s="167"/>
      <c r="Q29" s="480"/>
      <c r="R29" s="378"/>
      <c r="S29" s="590"/>
    </row>
    <row r="30" spans="1:19" ht="15.75" thickBot="1">
      <c r="A30" s="630"/>
      <c r="B30" s="639"/>
      <c r="C30" s="639"/>
      <c r="D30" s="629"/>
      <c r="E30" s="629"/>
      <c r="F30" s="630"/>
      <c r="G30" s="636"/>
      <c r="H30" s="630"/>
      <c r="I30" s="639"/>
      <c r="J30" s="629"/>
      <c r="K30" s="629"/>
      <c r="L30" s="630"/>
      <c r="M30" s="629"/>
      <c r="N30" s="629"/>
      <c r="O30" s="629"/>
      <c r="P30" s="606"/>
      <c r="Q30" s="629"/>
      <c r="R30" s="636"/>
      <c r="S30" s="630"/>
    </row>
    <row r="31" spans="1:19" ht="16.5" thickBot="1">
      <c r="A31" s="887" t="s">
        <v>395</v>
      </c>
      <c r="B31" s="888"/>
      <c r="C31" s="888"/>
      <c r="D31" s="888"/>
      <c r="E31" s="888"/>
      <c r="F31" s="623">
        <f>SUM(C32+C33+C34+D32+D33+D34+E32+E33+E34)</f>
        <v>17.5</v>
      </c>
      <c r="G31" s="638"/>
      <c r="H31" s="623">
        <v>0</v>
      </c>
      <c r="I31" s="635"/>
      <c r="J31" s="635"/>
      <c r="K31" s="635"/>
      <c r="L31" s="623" t="e">
        <f>SUM(I32+I33+I34+J32+J33+J34+K32+K33+K34)+#REF!</f>
        <v>#REF!</v>
      </c>
      <c r="M31" s="620"/>
      <c r="N31" s="620"/>
      <c r="O31" s="620"/>
      <c r="P31" s="622">
        <v>17</v>
      </c>
      <c r="Q31" s="620">
        <v>92</v>
      </c>
      <c r="R31" s="638"/>
      <c r="S31" s="623">
        <v>1.5</v>
      </c>
    </row>
    <row r="32" spans="1:19" ht="15">
      <c r="A32" s="609"/>
      <c r="B32" s="637" t="s">
        <v>432</v>
      </c>
      <c r="C32" s="637"/>
      <c r="D32" s="631">
        <v>0</v>
      </c>
      <c r="E32" s="631">
        <v>6</v>
      </c>
      <c r="F32" s="609"/>
      <c r="G32" s="631">
        <v>0</v>
      </c>
      <c r="H32" s="609"/>
      <c r="I32" s="637"/>
      <c r="J32" s="631">
        <v>0</v>
      </c>
      <c r="K32" s="631">
        <v>6</v>
      </c>
      <c r="L32" s="609"/>
      <c r="M32" s="610"/>
      <c r="N32" s="610"/>
      <c r="O32" s="610">
        <v>6</v>
      </c>
      <c r="P32" s="613"/>
      <c r="Q32" s="610"/>
      <c r="R32" s="631">
        <v>1</v>
      </c>
      <c r="S32" s="609"/>
    </row>
    <row r="33" spans="1:19" ht="15">
      <c r="A33" s="590"/>
      <c r="B33" s="596" t="s">
        <v>433</v>
      </c>
      <c r="C33" s="596"/>
      <c r="D33" s="378">
        <v>7</v>
      </c>
      <c r="E33" s="378">
        <v>0</v>
      </c>
      <c r="F33" s="590"/>
      <c r="G33" s="378">
        <v>0</v>
      </c>
      <c r="H33" s="590"/>
      <c r="I33" s="596"/>
      <c r="J33" s="378">
        <v>7</v>
      </c>
      <c r="K33" s="378">
        <v>0</v>
      </c>
      <c r="L33" s="590"/>
      <c r="M33" s="480"/>
      <c r="N33" s="480">
        <v>7</v>
      </c>
      <c r="O33" s="480"/>
      <c r="P33" s="167"/>
      <c r="Q33" s="480"/>
      <c r="R33" s="378">
        <v>0</v>
      </c>
      <c r="S33" s="590"/>
    </row>
    <row r="34" spans="1:19" ht="15.75" thickBot="1">
      <c r="A34" s="590"/>
      <c r="B34" s="596" t="s">
        <v>366</v>
      </c>
      <c r="C34" s="596"/>
      <c r="D34" s="378">
        <v>1</v>
      </c>
      <c r="E34" s="378">
        <v>3.5</v>
      </c>
      <c r="F34" s="590"/>
      <c r="G34" s="378">
        <v>0</v>
      </c>
      <c r="H34" s="590"/>
      <c r="I34" s="596"/>
      <c r="J34" s="378">
        <v>1</v>
      </c>
      <c r="K34" s="378">
        <v>3.5</v>
      </c>
      <c r="L34" s="590"/>
      <c r="M34" s="480"/>
      <c r="N34" s="480">
        <v>1</v>
      </c>
      <c r="O34" s="480">
        <v>2</v>
      </c>
      <c r="P34" s="167"/>
      <c r="Q34" s="480"/>
      <c r="R34" s="378">
        <v>0.5</v>
      </c>
      <c r="S34" s="590"/>
    </row>
    <row r="35" spans="1:19" ht="16.5" thickBot="1">
      <c r="A35" s="885" t="s">
        <v>367</v>
      </c>
      <c r="B35" s="886"/>
      <c r="C35" s="632">
        <f>SUM(C10:C34)</f>
        <v>14</v>
      </c>
      <c r="D35" s="632">
        <f>SUM(D10:D34)</f>
        <v>361.5</v>
      </c>
      <c r="E35" s="632">
        <f>SUM(E10:E34)</f>
        <v>14.5</v>
      </c>
      <c r="F35" s="632">
        <f>SUM(F8:F34)</f>
        <v>390</v>
      </c>
      <c r="G35" s="632">
        <f>SUM(G10:G34)</f>
        <v>0</v>
      </c>
      <c r="H35" s="632">
        <f>SUM(H9:H34)</f>
        <v>0</v>
      </c>
      <c r="I35" s="632">
        <f>SUM(I10:I34)</f>
        <v>14</v>
      </c>
      <c r="J35" s="632">
        <f>SUM(J10:J34)</f>
        <v>241</v>
      </c>
      <c r="K35" s="632">
        <f>SUM(K10:K34)</f>
        <v>14.5</v>
      </c>
      <c r="L35" s="632" t="e">
        <f>SUM(L8:L34)</f>
        <v>#REF!</v>
      </c>
      <c r="M35" s="622">
        <f>SUM(M9:M34)</f>
        <v>14</v>
      </c>
      <c r="N35" s="622">
        <f>SUM(N9:N34)</f>
        <v>322</v>
      </c>
      <c r="O35" s="622">
        <f>SUM(O9:O34)</f>
        <v>10</v>
      </c>
      <c r="P35" s="622">
        <f>SUM(P9:P34)</f>
        <v>353</v>
      </c>
      <c r="Q35" s="640">
        <v>130</v>
      </c>
      <c r="R35" s="632">
        <f>SUM(R10:R34)</f>
        <v>175</v>
      </c>
      <c r="S35" s="632"/>
    </row>
    <row r="36" spans="1:3" ht="15">
      <c r="A36" s="165"/>
      <c r="B36" s="165"/>
      <c r="C36" s="165"/>
    </row>
  </sheetData>
  <sheetProtection/>
  <mergeCells count="29">
    <mergeCell ref="P7:P8"/>
    <mergeCell ref="J7:K7"/>
    <mergeCell ref="L7:L8"/>
    <mergeCell ref="M7:M8"/>
    <mergeCell ref="N7:O7"/>
    <mergeCell ref="C5:F5"/>
    <mergeCell ref="R6:S6"/>
    <mergeCell ref="M5:P5"/>
    <mergeCell ref="M6:P6"/>
    <mergeCell ref="D7:E7"/>
    <mergeCell ref="A1:S2"/>
    <mergeCell ref="A3:S3"/>
    <mergeCell ref="C6:F6"/>
    <mergeCell ref="I5:L5"/>
    <mergeCell ref="I6:L6"/>
    <mergeCell ref="G6:H6"/>
    <mergeCell ref="R5:S5"/>
    <mergeCell ref="A4:F4"/>
    <mergeCell ref="A5:B5"/>
    <mergeCell ref="I7:I8"/>
    <mergeCell ref="G5:H5"/>
    <mergeCell ref="A35:B35"/>
    <mergeCell ref="A18:E18"/>
    <mergeCell ref="A9:E9"/>
    <mergeCell ref="A24:E24"/>
    <mergeCell ref="A31:E31"/>
    <mergeCell ref="A7:B8"/>
    <mergeCell ref="F7:F8"/>
    <mergeCell ref="C7:C8"/>
  </mergeCells>
  <printOptions horizontalCentered="1" verticalCentered="1"/>
  <pageMargins left="0.6692913385826772" right="0.7874015748031497" top="0.5118110236220472" bottom="0.35433070866141736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1" ySplit="1" topLeftCell="B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H2" sqref="H2"/>
    </sheetView>
  </sheetViews>
  <sheetFormatPr defaultColWidth="9.00390625" defaultRowHeight="12.75"/>
  <cols>
    <col min="1" max="1" width="21.25390625" style="164" customWidth="1"/>
    <col min="2" max="5" width="9.125" style="164" customWidth="1"/>
    <col min="6" max="6" width="9.125" style="693" customWidth="1"/>
    <col min="7" max="9" width="9.125" style="164" customWidth="1"/>
    <col min="10" max="10" width="10.375" style="164" customWidth="1"/>
    <col min="11" max="11" width="9.125" style="164" customWidth="1"/>
    <col min="12" max="12" width="11.125" style="164" bestFit="1" customWidth="1"/>
    <col min="13" max="13" width="9.75390625" style="164" bestFit="1" customWidth="1"/>
    <col min="14" max="14" width="11.75390625" style="140" customWidth="1"/>
    <col min="15" max="16384" width="9.125" style="164" customWidth="1"/>
  </cols>
  <sheetData>
    <row r="1" spans="8:14" ht="12.75">
      <c r="H1" s="917" t="s">
        <v>706</v>
      </c>
      <c r="I1" s="917"/>
      <c r="J1" s="917"/>
      <c r="K1" s="917"/>
      <c r="L1" s="917"/>
      <c r="M1" s="917"/>
      <c r="N1" s="917"/>
    </row>
    <row r="3" spans="1:14" ht="12.75">
      <c r="A3" s="916" t="s">
        <v>56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</row>
    <row r="4" spans="12:14" ht="12.75">
      <c r="L4" s="855" t="s">
        <v>60</v>
      </c>
      <c r="M4" s="855"/>
      <c r="N4" s="855"/>
    </row>
    <row r="5" spans="1:14" ht="12.75">
      <c r="A5" s="695" t="s">
        <v>211</v>
      </c>
      <c r="B5" s="695" t="s">
        <v>26</v>
      </c>
      <c r="C5" s="695" t="s">
        <v>27</v>
      </c>
      <c r="D5" s="695" t="s">
        <v>28</v>
      </c>
      <c r="E5" s="695" t="s">
        <v>29</v>
      </c>
      <c r="F5" s="696" t="s">
        <v>30</v>
      </c>
      <c r="G5" s="695" t="s">
        <v>31</v>
      </c>
      <c r="H5" s="695" t="s">
        <v>32</v>
      </c>
      <c r="I5" s="695" t="s">
        <v>33</v>
      </c>
      <c r="J5" s="695" t="s">
        <v>34</v>
      </c>
      <c r="K5" s="695" t="s">
        <v>35</v>
      </c>
      <c r="L5" s="695" t="s">
        <v>36</v>
      </c>
      <c r="M5" s="695" t="s">
        <v>37</v>
      </c>
      <c r="N5" s="653" t="s">
        <v>280</v>
      </c>
    </row>
    <row r="6" spans="1:14" ht="12.75">
      <c r="A6" s="697" t="s">
        <v>38</v>
      </c>
      <c r="C6" s="480"/>
      <c r="D6" s="480"/>
      <c r="E6" s="480"/>
      <c r="F6" s="698"/>
      <c r="G6" s="480"/>
      <c r="H6" s="480"/>
      <c r="I6" s="480"/>
      <c r="J6" s="480"/>
      <c r="K6" s="480"/>
      <c r="L6" s="480"/>
      <c r="M6" s="480"/>
      <c r="N6" s="167"/>
    </row>
    <row r="7" spans="1:14" ht="12.75">
      <c r="A7" s="480" t="s">
        <v>39</v>
      </c>
      <c r="B7" s="698">
        <v>19037</v>
      </c>
      <c r="C7" s="698">
        <v>19037</v>
      </c>
      <c r="D7" s="698">
        <v>307538</v>
      </c>
      <c r="E7" s="698">
        <v>40037</v>
      </c>
      <c r="F7" s="767">
        <v>69038</v>
      </c>
      <c r="G7" s="698">
        <v>29038</v>
      </c>
      <c r="H7" s="698">
        <v>19038</v>
      </c>
      <c r="I7" s="698">
        <v>19038</v>
      </c>
      <c r="J7" s="698">
        <v>307537</v>
      </c>
      <c r="K7" s="698">
        <v>40037</v>
      </c>
      <c r="L7" s="698">
        <v>19038</v>
      </c>
      <c r="M7" s="698">
        <v>79038</v>
      </c>
      <c r="N7" s="168">
        <f>SUM(B7:M7)</f>
        <v>967451</v>
      </c>
    </row>
    <row r="8" spans="1:14" ht="12.75">
      <c r="A8" s="480" t="s">
        <v>40</v>
      </c>
      <c r="B8" s="698">
        <v>44660</v>
      </c>
      <c r="C8" s="698">
        <v>44659</v>
      </c>
      <c r="D8" s="698">
        <v>44659</v>
      </c>
      <c r="E8" s="698">
        <v>44660</v>
      </c>
      <c r="F8" s="698">
        <v>44659</v>
      </c>
      <c r="G8" s="698">
        <v>44660</v>
      </c>
      <c r="H8" s="698">
        <v>44660</v>
      </c>
      <c r="I8" s="698">
        <v>44660</v>
      </c>
      <c r="J8" s="698">
        <v>44660</v>
      </c>
      <c r="K8" s="698">
        <v>44660</v>
      </c>
      <c r="L8" s="698">
        <v>44660</v>
      </c>
      <c r="M8" s="698">
        <v>44659</v>
      </c>
      <c r="N8" s="168">
        <f>SUM(B8:M8)</f>
        <v>535916</v>
      </c>
    </row>
    <row r="9" spans="1:14" ht="12.75">
      <c r="A9" s="480" t="s">
        <v>41</v>
      </c>
      <c r="B9" s="698">
        <v>54310</v>
      </c>
      <c r="C9" s="698">
        <v>110220</v>
      </c>
      <c r="D9" s="698">
        <v>54310</v>
      </c>
      <c r="E9" s="698">
        <v>54311</v>
      </c>
      <c r="F9" s="698">
        <v>54310</v>
      </c>
      <c r="G9" s="698">
        <v>54310</v>
      </c>
      <c r="H9" s="698">
        <v>54310</v>
      </c>
      <c r="I9" s="698">
        <v>54311</v>
      </c>
      <c r="J9" s="698">
        <v>54310</v>
      </c>
      <c r="K9" s="698">
        <v>54310</v>
      </c>
      <c r="L9" s="698">
        <v>54310</v>
      </c>
      <c r="M9" s="698">
        <v>54311</v>
      </c>
      <c r="N9" s="168">
        <f>SUM(B9:M9)</f>
        <v>707633</v>
      </c>
    </row>
    <row r="10" spans="1:14" ht="12.75">
      <c r="A10" s="480" t="s">
        <v>42</v>
      </c>
      <c r="B10" s="698"/>
      <c r="C10" s="698"/>
      <c r="D10" s="698"/>
      <c r="E10" s="698">
        <v>52276</v>
      </c>
      <c r="F10" s="698">
        <v>42091</v>
      </c>
      <c r="G10" s="698"/>
      <c r="H10" s="698"/>
      <c r="I10" s="698"/>
      <c r="J10" s="698"/>
      <c r="K10" s="698"/>
      <c r="L10" s="698"/>
      <c r="M10" s="698">
        <v>39668</v>
      </c>
      <c r="N10" s="168">
        <f>SUM(B10:M10)</f>
        <v>134035</v>
      </c>
    </row>
    <row r="11" spans="1:14" ht="12.75">
      <c r="A11" s="480" t="s">
        <v>43</v>
      </c>
      <c r="B11" s="698"/>
      <c r="C11" s="698"/>
      <c r="D11" s="698">
        <v>11447</v>
      </c>
      <c r="E11" s="698"/>
      <c r="F11" s="698">
        <v>92972</v>
      </c>
      <c r="G11" s="698">
        <v>350000</v>
      </c>
      <c r="H11" s="698">
        <v>52874</v>
      </c>
      <c r="I11" s="698">
        <v>152898</v>
      </c>
      <c r="J11" s="698">
        <v>107484</v>
      </c>
      <c r="K11" s="698">
        <v>152897</v>
      </c>
      <c r="L11" s="698">
        <v>27458</v>
      </c>
      <c r="M11" s="698">
        <v>389138</v>
      </c>
      <c r="N11" s="168">
        <f>SUM(B11:M11)</f>
        <v>1337168</v>
      </c>
    </row>
    <row r="12" spans="1:14" ht="12.75">
      <c r="A12" s="480" t="s">
        <v>44</v>
      </c>
      <c r="B12" s="698"/>
      <c r="C12" s="698"/>
      <c r="D12" s="698"/>
      <c r="E12" s="698"/>
      <c r="F12" s="698"/>
      <c r="G12" s="698"/>
      <c r="H12" s="698"/>
      <c r="I12" s="698"/>
      <c r="J12" s="698"/>
      <c r="K12" s="698"/>
      <c r="L12" s="698"/>
      <c r="M12" s="698"/>
      <c r="N12" s="168"/>
    </row>
    <row r="13" spans="1:14" s="140" customFormat="1" ht="12.75">
      <c r="A13" s="167" t="s">
        <v>45</v>
      </c>
      <c r="B13" s="168">
        <f aca="true" t="shared" si="0" ref="B13:N13">SUM(B7:B12)</f>
        <v>118007</v>
      </c>
      <c r="C13" s="168">
        <f t="shared" si="0"/>
        <v>173916</v>
      </c>
      <c r="D13" s="168">
        <f t="shared" si="0"/>
        <v>417954</v>
      </c>
      <c r="E13" s="168">
        <f t="shared" si="0"/>
        <v>191284</v>
      </c>
      <c r="F13" s="168">
        <f t="shared" si="0"/>
        <v>303070</v>
      </c>
      <c r="G13" s="168">
        <f t="shared" si="0"/>
        <v>478008</v>
      </c>
      <c r="H13" s="168">
        <f t="shared" si="0"/>
        <v>170882</v>
      </c>
      <c r="I13" s="168">
        <f t="shared" si="0"/>
        <v>270907</v>
      </c>
      <c r="J13" s="168">
        <f t="shared" si="0"/>
        <v>513991</v>
      </c>
      <c r="K13" s="168">
        <f t="shared" si="0"/>
        <v>291904</v>
      </c>
      <c r="L13" s="168">
        <f t="shared" si="0"/>
        <v>145466</v>
      </c>
      <c r="M13" s="168">
        <f t="shared" si="0"/>
        <v>606814</v>
      </c>
      <c r="N13" s="168">
        <f t="shared" si="0"/>
        <v>3682203</v>
      </c>
    </row>
    <row r="14" spans="1:14" ht="12.75">
      <c r="A14" s="697" t="s">
        <v>46</v>
      </c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168"/>
    </row>
    <row r="15" spans="1:14" ht="12.75">
      <c r="A15" s="699" t="s">
        <v>47</v>
      </c>
      <c r="B15" s="698">
        <v>100674</v>
      </c>
      <c r="C15" s="698">
        <v>100674</v>
      </c>
      <c r="D15" s="698">
        <v>100674</v>
      </c>
      <c r="E15" s="698">
        <v>100674</v>
      </c>
      <c r="F15" s="698">
        <v>100674</v>
      </c>
      <c r="G15" s="698">
        <v>100674</v>
      </c>
      <c r="H15" s="698">
        <v>100674</v>
      </c>
      <c r="I15" s="698">
        <v>100674</v>
      </c>
      <c r="J15" s="698">
        <v>100674</v>
      </c>
      <c r="K15" s="698">
        <v>100674</v>
      </c>
      <c r="L15" s="698">
        <v>100674</v>
      </c>
      <c r="M15" s="698">
        <v>100674</v>
      </c>
      <c r="N15" s="168">
        <f aca="true" t="shared" si="1" ref="N15:N21">SUM(B15:M15)</f>
        <v>1208088</v>
      </c>
    </row>
    <row r="16" spans="1:14" ht="12.75">
      <c r="A16" s="480" t="s">
        <v>48</v>
      </c>
      <c r="B16" s="698">
        <v>34971</v>
      </c>
      <c r="C16" s="698">
        <v>34971</v>
      </c>
      <c r="D16" s="698">
        <v>34971</v>
      </c>
      <c r="E16" s="698">
        <v>34971</v>
      </c>
      <c r="F16" s="698">
        <v>34971</v>
      </c>
      <c r="G16" s="698">
        <v>34971</v>
      </c>
      <c r="H16" s="698">
        <v>34971</v>
      </c>
      <c r="I16" s="698">
        <v>34970</v>
      </c>
      <c r="J16" s="698">
        <v>34971</v>
      </c>
      <c r="K16" s="698">
        <v>34971</v>
      </c>
      <c r="L16" s="698">
        <v>34970</v>
      </c>
      <c r="M16" s="698">
        <v>34970</v>
      </c>
      <c r="N16" s="168">
        <f t="shared" si="1"/>
        <v>419649</v>
      </c>
    </row>
    <row r="17" spans="1:14" ht="12.75">
      <c r="A17" s="480" t="s">
        <v>49</v>
      </c>
      <c r="B17" s="698"/>
      <c r="C17" s="698">
        <v>55910</v>
      </c>
      <c r="D17" s="698"/>
      <c r="E17" s="698"/>
      <c r="F17" s="698"/>
      <c r="G17" s="698"/>
      <c r="H17" s="698"/>
      <c r="I17" s="700"/>
      <c r="J17" s="698"/>
      <c r="K17" s="698"/>
      <c r="L17" s="698"/>
      <c r="M17" s="698"/>
      <c r="N17" s="168">
        <f t="shared" si="1"/>
        <v>55910</v>
      </c>
    </row>
    <row r="18" spans="1:14" ht="12.75">
      <c r="A18" s="480" t="s">
        <v>50</v>
      </c>
      <c r="B18" s="698"/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168">
        <f t="shared" si="1"/>
        <v>0</v>
      </c>
    </row>
    <row r="19" spans="1:14" ht="12.75">
      <c r="A19" s="701" t="s">
        <v>51</v>
      </c>
      <c r="B19" s="698"/>
      <c r="C19" s="698"/>
      <c r="D19" s="698"/>
      <c r="E19" s="698">
        <v>2000</v>
      </c>
      <c r="F19" s="698"/>
      <c r="G19" s="698">
        <v>205558</v>
      </c>
      <c r="H19" s="698">
        <v>1000</v>
      </c>
      <c r="I19" s="698">
        <v>2438</v>
      </c>
      <c r="J19" s="698"/>
      <c r="K19" s="698">
        <v>2000</v>
      </c>
      <c r="L19" s="698">
        <v>103767</v>
      </c>
      <c r="M19" s="698">
        <v>205558</v>
      </c>
      <c r="N19" s="168">
        <f t="shared" si="1"/>
        <v>522321</v>
      </c>
    </row>
    <row r="20" spans="1:14" ht="12.75">
      <c r="A20" s="701" t="s">
        <v>52</v>
      </c>
      <c r="B20" s="698"/>
      <c r="C20" s="698"/>
      <c r="D20" s="698"/>
      <c r="E20" s="698">
        <v>2700</v>
      </c>
      <c r="F20" s="698"/>
      <c r="G20" s="698"/>
      <c r="H20" s="698"/>
      <c r="I20" s="698"/>
      <c r="J20" s="698"/>
      <c r="K20" s="698"/>
      <c r="L20" s="698"/>
      <c r="M20" s="698"/>
      <c r="N20" s="168">
        <f t="shared" si="1"/>
        <v>2700</v>
      </c>
    </row>
    <row r="21" spans="1:14" ht="12.75">
      <c r="A21" s="480" t="s">
        <v>53</v>
      </c>
      <c r="B21" s="698"/>
      <c r="C21" s="698"/>
      <c r="D21" s="698">
        <v>11447</v>
      </c>
      <c r="E21" s="698"/>
      <c r="F21" s="698">
        <v>92972</v>
      </c>
      <c r="G21" s="698">
        <v>350000</v>
      </c>
      <c r="H21" s="698">
        <v>52874</v>
      </c>
      <c r="I21" s="698">
        <v>152898</v>
      </c>
      <c r="J21" s="698">
        <v>107484</v>
      </c>
      <c r="K21" s="698">
        <v>152897</v>
      </c>
      <c r="L21" s="698">
        <v>67126</v>
      </c>
      <c r="M21" s="698">
        <v>485837</v>
      </c>
      <c r="N21" s="168">
        <f t="shared" si="1"/>
        <v>1473535</v>
      </c>
    </row>
    <row r="22" spans="1:14" s="140" customFormat="1" ht="12.75">
      <c r="A22" s="167" t="s">
        <v>54</v>
      </c>
      <c r="B22" s="168">
        <f aca="true" t="shared" si="2" ref="B22:N22">SUM(B15:B21)</f>
        <v>135645</v>
      </c>
      <c r="C22" s="168">
        <f t="shared" si="2"/>
        <v>191555</v>
      </c>
      <c r="D22" s="168">
        <f t="shared" si="2"/>
        <v>147092</v>
      </c>
      <c r="E22" s="168">
        <f t="shared" si="2"/>
        <v>140345</v>
      </c>
      <c r="F22" s="168">
        <f t="shared" si="2"/>
        <v>228617</v>
      </c>
      <c r="G22" s="168">
        <f t="shared" si="2"/>
        <v>691203</v>
      </c>
      <c r="H22" s="168">
        <f t="shared" si="2"/>
        <v>189519</v>
      </c>
      <c r="I22" s="168">
        <f t="shared" si="2"/>
        <v>290980</v>
      </c>
      <c r="J22" s="168">
        <f t="shared" si="2"/>
        <v>243129</v>
      </c>
      <c r="K22" s="168">
        <f t="shared" si="2"/>
        <v>290542</v>
      </c>
      <c r="L22" s="168">
        <f t="shared" si="2"/>
        <v>306537</v>
      </c>
      <c r="M22" s="168">
        <f t="shared" si="2"/>
        <v>827039</v>
      </c>
      <c r="N22" s="168">
        <f t="shared" si="2"/>
        <v>3682203</v>
      </c>
    </row>
    <row r="23" spans="1:14" s="140" customFormat="1" ht="12.75">
      <c r="A23" s="167" t="s">
        <v>55</v>
      </c>
      <c r="B23" s="168">
        <f aca="true" t="shared" si="3" ref="B23:N23">SUM(B13-B22)</f>
        <v>-17638</v>
      </c>
      <c r="C23" s="168">
        <f t="shared" si="3"/>
        <v>-17639</v>
      </c>
      <c r="D23" s="168">
        <f t="shared" si="3"/>
        <v>270862</v>
      </c>
      <c r="E23" s="168">
        <f t="shared" si="3"/>
        <v>50939</v>
      </c>
      <c r="F23" s="168">
        <f t="shared" si="3"/>
        <v>74453</v>
      </c>
      <c r="G23" s="168">
        <f t="shared" si="3"/>
        <v>-213195</v>
      </c>
      <c r="H23" s="168">
        <f t="shared" si="3"/>
        <v>-18637</v>
      </c>
      <c r="I23" s="168">
        <f t="shared" si="3"/>
        <v>-20073</v>
      </c>
      <c r="J23" s="168">
        <f t="shared" si="3"/>
        <v>270862</v>
      </c>
      <c r="K23" s="168">
        <f t="shared" si="3"/>
        <v>1362</v>
      </c>
      <c r="L23" s="168">
        <f t="shared" si="3"/>
        <v>-161071</v>
      </c>
      <c r="M23" s="168">
        <f t="shared" si="3"/>
        <v>-220225</v>
      </c>
      <c r="N23" s="168">
        <f t="shared" si="3"/>
        <v>0</v>
      </c>
    </row>
    <row r="24" ht="12.75">
      <c r="C24" s="164" t="s">
        <v>112</v>
      </c>
    </row>
  </sheetData>
  <sheetProtection/>
  <mergeCells count="3">
    <mergeCell ref="A3:N3"/>
    <mergeCell ref="H1:N1"/>
    <mergeCell ref="L4:N4"/>
  </mergeCells>
  <printOptions horizontalCentered="1" verticalCentered="1"/>
  <pageMargins left="0.16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6"/>
  <sheetViews>
    <sheetView zoomScale="125" zoomScaleNormal="125" zoomScalePageLayoutView="0" workbookViewId="0" topLeftCell="A1">
      <selection activeCell="B2" sqref="B2"/>
    </sheetView>
  </sheetViews>
  <sheetFormatPr defaultColWidth="9.625" defaultRowHeight="12.75"/>
  <cols>
    <col min="1" max="1" width="27.125" style="559" bestFit="1" customWidth="1"/>
    <col min="2" max="2" width="12.375" style="559" bestFit="1" customWidth="1"/>
    <col min="3" max="8" width="11.125" style="559" customWidth="1"/>
    <col min="9" max="9" width="11.875" style="559" customWidth="1"/>
    <col min="10" max="10" width="12.75390625" style="563" bestFit="1" customWidth="1"/>
    <col min="11" max="16384" width="9.625" style="559" customWidth="1"/>
  </cols>
  <sheetData>
    <row r="1" spans="2:15" ht="12.75" customHeight="1">
      <c r="B1" s="924" t="s">
        <v>707</v>
      </c>
      <c r="C1" s="924"/>
      <c r="D1" s="924"/>
      <c r="E1" s="924"/>
      <c r="F1" s="924"/>
      <c r="G1" s="924"/>
      <c r="H1" s="924"/>
      <c r="I1" s="924"/>
      <c r="J1" s="924"/>
      <c r="K1" s="561"/>
      <c r="L1" s="561"/>
      <c r="M1" s="562"/>
      <c r="N1" s="562"/>
      <c r="O1" s="562"/>
    </row>
    <row r="2" spans="9:15" ht="12.75" customHeight="1">
      <c r="I2" s="560"/>
      <c r="J2" s="560"/>
      <c r="K2" s="560"/>
      <c r="L2" s="560"/>
      <c r="M2" s="562"/>
      <c r="N2" s="562"/>
      <c r="O2" s="562"/>
    </row>
    <row r="3" spans="9:15" ht="12.75" customHeight="1">
      <c r="I3" s="560"/>
      <c r="J3" s="560"/>
      <c r="K3" s="560"/>
      <c r="L3" s="560"/>
      <c r="M3" s="562"/>
      <c r="N3" s="562"/>
      <c r="O3" s="562"/>
    </row>
    <row r="4" spans="1:10" s="563" customFormat="1" ht="11.25">
      <c r="A4" s="925" t="s">
        <v>532</v>
      </c>
      <c r="B4" s="925"/>
      <c r="C4" s="925"/>
      <c r="D4" s="925"/>
      <c r="E4" s="925"/>
      <c r="F4" s="925"/>
      <c r="G4" s="925"/>
      <c r="H4" s="925"/>
      <c r="I4" s="925"/>
      <c r="J4" s="925"/>
    </row>
    <row r="5" spans="9:10" ht="11.25" customHeight="1">
      <c r="I5" s="926" t="s">
        <v>60</v>
      </c>
      <c r="J5" s="926"/>
    </row>
    <row r="6" spans="1:10" ht="48.75" customHeight="1">
      <c r="A6" s="928" t="s">
        <v>467</v>
      </c>
      <c r="B6" s="930" t="s">
        <v>468</v>
      </c>
      <c r="C6" s="930" t="s">
        <v>469</v>
      </c>
      <c r="D6" s="918" t="s">
        <v>533</v>
      </c>
      <c r="E6" s="919"/>
      <c r="F6" s="920"/>
      <c r="G6" s="921" t="s">
        <v>536</v>
      </c>
      <c r="H6" s="922"/>
      <c r="I6" s="923"/>
      <c r="J6" s="927" t="s">
        <v>470</v>
      </c>
    </row>
    <row r="7" spans="1:10" ht="22.5" customHeight="1">
      <c r="A7" s="929"/>
      <c r="B7" s="931"/>
      <c r="C7" s="931"/>
      <c r="D7" s="677" t="s">
        <v>534</v>
      </c>
      <c r="E7" s="677" t="s">
        <v>535</v>
      </c>
      <c r="F7" s="677" t="s">
        <v>147</v>
      </c>
      <c r="G7" s="678" t="s">
        <v>537</v>
      </c>
      <c r="H7" s="678" t="s">
        <v>538</v>
      </c>
      <c r="I7" s="678" t="s">
        <v>280</v>
      </c>
      <c r="J7" s="927"/>
    </row>
    <row r="8" spans="1:10" ht="11.25">
      <c r="A8" s="564" t="s">
        <v>471</v>
      </c>
      <c r="B8" s="565">
        <v>119511</v>
      </c>
      <c r="C8" s="565">
        <v>231875</v>
      </c>
      <c r="D8" s="565">
        <v>61917</v>
      </c>
      <c r="E8" s="565">
        <v>38960</v>
      </c>
      <c r="F8" s="565">
        <f>SUM(D8:E8)</f>
        <v>100877</v>
      </c>
      <c r="G8" s="565">
        <v>20204</v>
      </c>
      <c r="H8" s="565">
        <v>15941</v>
      </c>
      <c r="I8" s="565">
        <f>SUM(G8:H8)</f>
        <v>36145</v>
      </c>
      <c r="J8" s="566">
        <f aca="true" t="shared" si="0" ref="J8:J15">SUM(B8+C8+F8+I8)</f>
        <v>488408</v>
      </c>
    </row>
    <row r="9" spans="1:10" ht="11.25">
      <c r="A9" s="564" t="s">
        <v>472</v>
      </c>
      <c r="B9" s="565">
        <v>23135</v>
      </c>
      <c r="C9" s="565">
        <v>66695</v>
      </c>
      <c r="D9" s="565">
        <v>16814</v>
      </c>
      <c r="E9" s="565">
        <v>11725</v>
      </c>
      <c r="F9" s="565">
        <f aca="true" t="shared" si="1" ref="F9:F40">SUM(D9:E9)</f>
        <v>28539</v>
      </c>
      <c r="G9" s="565">
        <v>5455</v>
      </c>
      <c r="H9" s="565">
        <v>4304</v>
      </c>
      <c r="I9" s="565">
        <f aca="true" t="shared" si="2" ref="I9:I40">SUM(G9:H9)</f>
        <v>9759</v>
      </c>
      <c r="J9" s="566">
        <f t="shared" si="0"/>
        <v>128128</v>
      </c>
    </row>
    <row r="10" spans="1:10" ht="11.25">
      <c r="A10" s="564" t="s">
        <v>324</v>
      </c>
      <c r="B10" s="650">
        <v>268987</v>
      </c>
      <c r="C10" s="565">
        <v>115971</v>
      </c>
      <c r="D10" s="565">
        <v>8592</v>
      </c>
      <c r="E10" s="565">
        <v>10599</v>
      </c>
      <c r="F10" s="565">
        <f t="shared" si="1"/>
        <v>19191</v>
      </c>
      <c r="G10" s="565">
        <v>6500</v>
      </c>
      <c r="H10" s="565">
        <v>9000</v>
      </c>
      <c r="I10" s="565">
        <f t="shared" si="2"/>
        <v>15500</v>
      </c>
      <c r="J10" s="566">
        <f t="shared" si="0"/>
        <v>419649</v>
      </c>
    </row>
    <row r="11" spans="1:10" ht="11.25">
      <c r="A11" s="567" t="s">
        <v>473</v>
      </c>
      <c r="B11" s="756">
        <v>269761</v>
      </c>
      <c r="C11" s="568"/>
      <c r="D11" s="568"/>
      <c r="E11" s="568"/>
      <c r="F11" s="565">
        <f t="shared" si="1"/>
        <v>0</v>
      </c>
      <c r="G11" s="568"/>
      <c r="H11" s="568"/>
      <c r="I11" s="565">
        <f t="shared" si="2"/>
        <v>0</v>
      </c>
      <c r="J11" s="566">
        <f t="shared" si="0"/>
        <v>269761</v>
      </c>
    </row>
    <row r="12" spans="1:10" ht="11.25">
      <c r="A12" s="567" t="s">
        <v>179</v>
      </c>
      <c r="B12" s="756">
        <v>258888</v>
      </c>
      <c r="C12" s="568"/>
      <c r="D12" s="568"/>
      <c r="E12" s="568"/>
      <c r="F12" s="565">
        <f t="shared" si="1"/>
        <v>0</v>
      </c>
      <c r="G12" s="568"/>
      <c r="H12" s="568"/>
      <c r="I12" s="565">
        <f t="shared" si="2"/>
        <v>0</v>
      </c>
      <c r="J12" s="566">
        <f t="shared" si="0"/>
        <v>258888</v>
      </c>
    </row>
    <row r="13" spans="1:10" ht="11.25">
      <c r="A13" s="567" t="s">
        <v>474</v>
      </c>
      <c r="B13" s="568">
        <v>38776</v>
      </c>
      <c r="C13" s="568">
        <v>14127</v>
      </c>
      <c r="D13" s="568"/>
      <c r="E13" s="568"/>
      <c r="F13" s="565">
        <f t="shared" si="1"/>
        <v>0</v>
      </c>
      <c r="G13" s="568"/>
      <c r="H13" s="568"/>
      <c r="I13" s="565">
        <f t="shared" si="2"/>
        <v>0</v>
      </c>
      <c r="J13" s="566">
        <f t="shared" si="0"/>
        <v>52903</v>
      </c>
    </row>
    <row r="14" spans="1:10" ht="11.25">
      <c r="A14" s="567" t="s">
        <v>475</v>
      </c>
      <c r="B14" s="568"/>
      <c r="C14" s="568"/>
      <c r="D14" s="568"/>
      <c r="E14" s="568"/>
      <c r="F14" s="565">
        <f t="shared" si="1"/>
        <v>0</v>
      </c>
      <c r="G14" s="568"/>
      <c r="H14" s="568"/>
      <c r="I14" s="565">
        <f t="shared" si="2"/>
        <v>0</v>
      </c>
      <c r="J14" s="566">
        <f t="shared" si="0"/>
        <v>0</v>
      </c>
    </row>
    <row r="15" spans="1:10" ht="12" thickBot="1">
      <c r="A15" s="569" t="s">
        <v>185</v>
      </c>
      <c r="B15" s="570">
        <v>27458</v>
      </c>
      <c r="C15" s="570"/>
      <c r="D15" s="570"/>
      <c r="E15" s="570"/>
      <c r="F15" s="570">
        <f t="shared" si="1"/>
        <v>0</v>
      </c>
      <c r="G15" s="570"/>
      <c r="H15" s="570"/>
      <c r="I15" s="570">
        <f t="shared" si="2"/>
        <v>0</v>
      </c>
      <c r="J15" s="571">
        <f t="shared" si="0"/>
        <v>27458</v>
      </c>
    </row>
    <row r="16" spans="1:10" ht="12" thickBot="1">
      <c r="A16" s="572" t="s">
        <v>476</v>
      </c>
      <c r="B16" s="573">
        <f>SUM(B8:B15)</f>
        <v>1006516</v>
      </c>
      <c r="C16" s="573">
        <f>SUM(C8:C15)</f>
        <v>428668</v>
      </c>
      <c r="D16" s="573">
        <f aca="true" t="shared" si="3" ref="D16:I16">SUM(D8:D15)</f>
        <v>87323</v>
      </c>
      <c r="E16" s="573">
        <f t="shared" si="3"/>
        <v>61284</v>
      </c>
      <c r="F16" s="573">
        <f t="shared" si="3"/>
        <v>148607</v>
      </c>
      <c r="G16" s="573">
        <f t="shared" si="3"/>
        <v>32159</v>
      </c>
      <c r="H16" s="573">
        <f t="shared" si="3"/>
        <v>29245</v>
      </c>
      <c r="I16" s="573">
        <f t="shared" si="3"/>
        <v>61404</v>
      </c>
      <c r="J16" s="573">
        <f>SUM(J8:J15)</f>
        <v>1645195</v>
      </c>
    </row>
    <row r="17" spans="1:10" ht="11.25">
      <c r="A17" s="574" t="s">
        <v>477</v>
      </c>
      <c r="B17" s="575">
        <v>55910</v>
      </c>
      <c r="C17" s="575"/>
      <c r="D17" s="676"/>
      <c r="E17" s="676"/>
      <c r="F17" s="575">
        <f t="shared" si="1"/>
        <v>0</v>
      </c>
      <c r="G17" s="568"/>
      <c r="H17" s="568"/>
      <c r="I17" s="575">
        <f t="shared" si="2"/>
        <v>0</v>
      </c>
      <c r="J17" s="566">
        <f aca="true" t="shared" si="4" ref="J17:J24">SUM(B17+C17+F17+I17)</f>
        <v>55910</v>
      </c>
    </row>
    <row r="18" spans="1:10" ht="11.25">
      <c r="A18" s="564" t="s">
        <v>478</v>
      </c>
      <c r="B18" s="565">
        <v>10000</v>
      </c>
      <c r="C18" s="565"/>
      <c r="D18" s="568"/>
      <c r="E18" s="568"/>
      <c r="F18" s="565">
        <f t="shared" si="1"/>
        <v>0</v>
      </c>
      <c r="G18" s="568"/>
      <c r="H18" s="568"/>
      <c r="I18" s="565">
        <f t="shared" si="2"/>
        <v>0</v>
      </c>
      <c r="J18" s="566">
        <f t="shared" si="4"/>
        <v>10000</v>
      </c>
    </row>
    <row r="19" spans="1:10" ht="11.25">
      <c r="A19" s="564" t="s">
        <v>479</v>
      </c>
      <c r="B19" s="565">
        <v>2700</v>
      </c>
      <c r="C19" s="565"/>
      <c r="D19" s="568"/>
      <c r="E19" s="568"/>
      <c r="F19" s="565">
        <f t="shared" si="1"/>
        <v>0</v>
      </c>
      <c r="G19" s="568"/>
      <c r="H19" s="568"/>
      <c r="I19" s="565">
        <f t="shared" si="2"/>
        <v>0</v>
      </c>
      <c r="J19" s="566">
        <f t="shared" si="4"/>
        <v>2700</v>
      </c>
    </row>
    <row r="20" spans="1:10" ht="11.25">
      <c r="A20" s="564" t="s">
        <v>480</v>
      </c>
      <c r="B20" s="565"/>
      <c r="C20" s="565"/>
      <c r="D20" s="568"/>
      <c r="E20" s="568"/>
      <c r="F20" s="565">
        <f t="shared" si="1"/>
        <v>0</v>
      </c>
      <c r="G20" s="568"/>
      <c r="H20" s="568"/>
      <c r="I20" s="565">
        <f t="shared" si="2"/>
        <v>0</v>
      </c>
      <c r="J20" s="566">
        <f t="shared" si="4"/>
        <v>0</v>
      </c>
    </row>
    <row r="21" spans="1:10" ht="11.25">
      <c r="A21" s="564" t="s">
        <v>481</v>
      </c>
      <c r="B21" s="565"/>
      <c r="C21" s="576"/>
      <c r="D21" s="576"/>
      <c r="E21" s="576"/>
      <c r="F21" s="565">
        <f t="shared" si="1"/>
        <v>0</v>
      </c>
      <c r="G21" s="577"/>
      <c r="H21" s="577"/>
      <c r="I21" s="565">
        <f t="shared" si="2"/>
        <v>0</v>
      </c>
      <c r="J21" s="566">
        <f t="shared" si="4"/>
        <v>0</v>
      </c>
    </row>
    <row r="22" spans="1:10" ht="11.25">
      <c r="A22" s="564" t="s">
        <v>482</v>
      </c>
      <c r="B22" s="565"/>
      <c r="C22" s="565"/>
      <c r="D22" s="575"/>
      <c r="E22" s="575"/>
      <c r="F22" s="565">
        <f t="shared" si="1"/>
        <v>0</v>
      </c>
      <c r="G22" s="575"/>
      <c r="H22" s="575"/>
      <c r="I22" s="565">
        <f t="shared" si="2"/>
        <v>0</v>
      </c>
      <c r="J22" s="566">
        <f t="shared" si="4"/>
        <v>0</v>
      </c>
    </row>
    <row r="23" spans="1:10" ht="11.25">
      <c r="A23" s="567" t="s">
        <v>483</v>
      </c>
      <c r="B23" s="568">
        <v>517321</v>
      </c>
      <c r="C23" s="568">
        <v>5000</v>
      </c>
      <c r="D23" s="568"/>
      <c r="E23" s="568"/>
      <c r="F23" s="565">
        <f t="shared" si="1"/>
        <v>0</v>
      </c>
      <c r="G23" s="568"/>
      <c r="H23" s="568"/>
      <c r="I23" s="565">
        <f t="shared" si="2"/>
        <v>0</v>
      </c>
      <c r="J23" s="566">
        <f t="shared" si="4"/>
        <v>522321</v>
      </c>
    </row>
    <row r="24" spans="1:10" ht="12" thickBot="1">
      <c r="A24" s="567" t="s">
        <v>484</v>
      </c>
      <c r="B24" s="570">
        <v>1446077</v>
      </c>
      <c r="C24" s="570"/>
      <c r="D24" s="570"/>
      <c r="E24" s="570"/>
      <c r="F24" s="570">
        <f t="shared" si="1"/>
        <v>0</v>
      </c>
      <c r="G24" s="570"/>
      <c r="H24" s="570"/>
      <c r="I24" s="570">
        <f t="shared" si="2"/>
        <v>0</v>
      </c>
      <c r="J24" s="571">
        <f t="shared" si="4"/>
        <v>1446077</v>
      </c>
    </row>
    <row r="25" spans="1:10" ht="12" thickBot="1">
      <c r="A25" s="578" t="s">
        <v>485</v>
      </c>
      <c r="B25" s="579">
        <f>SUM(B17:B24)</f>
        <v>2032008</v>
      </c>
      <c r="C25" s="579">
        <f>SUM(C17:C24)</f>
        <v>5000</v>
      </c>
      <c r="D25" s="579">
        <f aca="true" t="shared" si="5" ref="D25:I25">SUM(D17:D24)</f>
        <v>0</v>
      </c>
      <c r="E25" s="579">
        <f t="shared" si="5"/>
        <v>0</v>
      </c>
      <c r="F25" s="579">
        <f t="shared" si="5"/>
        <v>0</v>
      </c>
      <c r="G25" s="579">
        <f t="shared" si="5"/>
        <v>0</v>
      </c>
      <c r="H25" s="579">
        <f t="shared" si="5"/>
        <v>0</v>
      </c>
      <c r="I25" s="579">
        <f t="shared" si="5"/>
        <v>0</v>
      </c>
      <c r="J25" s="579">
        <f>SUM(J17:J24)</f>
        <v>2037008</v>
      </c>
    </row>
    <row r="26" spans="1:10" ht="12" thickBot="1">
      <c r="A26" s="578" t="s">
        <v>486</v>
      </c>
      <c r="B26" s="580">
        <f>B16+B25</f>
        <v>3038524</v>
      </c>
      <c r="C26" s="580">
        <f>SUM(C25,C16)</f>
        <v>433668</v>
      </c>
      <c r="D26" s="580">
        <f aca="true" t="shared" si="6" ref="D26:I26">SUM(D25,D16)</f>
        <v>87323</v>
      </c>
      <c r="E26" s="580">
        <f t="shared" si="6"/>
        <v>61284</v>
      </c>
      <c r="F26" s="580">
        <f t="shared" si="6"/>
        <v>148607</v>
      </c>
      <c r="G26" s="580">
        <f t="shared" si="6"/>
        <v>32159</v>
      </c>
      <c r="H26" s="580">
        <f t="shared" si="6"/>
        <v>29245</v>
      </c>
      <c r="I26" s="580">
        <f t="shared" si="6"/>
        <v>61404</v>
      </c>
      <c r="J26" s="580">
        <f>SUM(J25,J16)</f>
        <v>3682203</v>
      </c>
    </row>
    <row r="27" spans="1:10" ht="11.25">
      <c r="A27" s="574" t="s">
        <v>343</v>
      </c>
      <c r="B27" s="575">
        <v>118530</v>
      </c>
      <c r="C27" s="575">
        <v>11090</v>
      </c>
      <c r="D27" s="575"/>
      <c r="E27" s="575">
        <v>4170</v>
      </c>
      <c r="F27" s="575">
        <f t="shared" si="1"/>
        <v>4170</v>
      </c>
      <c r="G27" s="575">
        <v>3000</v>
      </c>
      <c r="H27" s="575">
        <v>1500</v>
      </c>
      <c r="I27" s="575">
        <f t="shared" si="2"/>
        <v>4500</v>
      </c>
      <c r="J27" s="566">
        <f aca="true" t="shared" si="7" ref="J27:J40">SUM(B27+C27+F27+I27)</f>
        <v>138290</v>
      </c>
    </row>
    <row r="28" spans="1:10" ht="11.25">
      <c r="A28" s="574" t="s">
        <v>487</v>
      </c>
      <c r="B28" s="575">
        <v>62194</v>
      </c>
      <c r="C28" s="575">
        <v>11115</v>
      </c>
      <c r="D28" s="575"/>
      <c r="E28" s="575"/>
      <c r="F28" s="565">
        <f t="shared" si="1"/>
        <v>0</v>
      </c>
      <c r="G28" s="575"/>
      <c r="H28" s="575"/>
      <c r="I28" s="565">
        <f t="shared" si="2"/>
        <v>0</v>
      </c>
      <c r="J28" s="566">
        <f t="shared" si="7"/>
        <v>73309</v>
      </c>
    </row>
    <row r="29" spans="1:10" ht="11.25">
      <c r="A29" s="574" t="s">
        <v>488</v>
      </c>
      <c r="B29" s="575">
        <v>0</v>
      </c>
      <c r="C29" s="575"/>
      <c r="D29" s="575"/>
      <c r="E29" s="575"/>
      <c r="F29" s="565">
        <f t="shared" si="1"/>
        <v>0</v>
      </c>
      <c r="G29" s="575"/>
      <c r="H29" s="575"/>
      <c r="I29" s="565">
        <f t="shared" si="2"/>
        <v>0</v>
      </c>
      <c r="J29" s="566">
        <f t="shared" si="7"/>
        <v>0</v>
      </c>
    </row>
    <row r="30" spans="1:10" ht="11.25">
      <c r="A30" s="564" t="s">
        <v>489</v>
      </c>
      <c r="B30" s="565">
        <v>40000</v>
      </c>
      <c r="C30" s="565"/>
      <c r="D30" s="575"/>
      <c r="E30" s="575"/>
      <c r="F30" s="565">
        <f t="shared" si="1"/>
        <v>0</v>
      </c>
      <c r="G30" s="575"/>
      <c r="H30" s="575"/>
      <c r="I30" s="565">
        <f t="shared" si="2"/>
        <v>0</v>
      </c>
      <c r="J30" s="566">
        <f t="shared" si="7"/>
        <v>40000</v>
      </c>
    </row>
    <row r="31" spans="1:10" ht="11.25">
      <c r="A31" s="564" t="s">
        <v>490</v>
      </c>
      <c r="B31" s="565">
        <v>1337168</v>
      </c>
      <c r="C31" s="565"/>
      <c r="D31" s="575"/>
      <c r="E31" s="575"/>
      <c r="F31" s="565">
        <f t="shared" si="1"/>
        <v>0</v>
      </c>
      <c r="G31" s="575"/>
      <c r="H31" s="575"/>
      <c r="I31" s="565">
        <f t="shared" si="2"/>
        <v>0</v>
      </c>
      <c r="J31" s="566">
        <f t="shared" si="7"/>
        <v>1337168</v>
      </c>
    </row>
    <row r="32" spans="1:10" ht="11.25">
      <c r="A32" s="564" t="s">
        <v>491</v>
      </c>
      <c r="B32" s="565">
        <v>462607</v>
      </c>
      <c r="C32" s="565"/>
      <c r="D32" s="575"/>
      <c r="E32" s="575"/>
      <c r="F32" s="565">
        <f t="shared" si="1"/>
        <v>0</v>
      </c>
      <c r="G32" s="575"/>
      <c r="H32" s="575"/>
      <c r="I32" s="565">
        <f t="shared" si="2"/>
        <v>0</v>
      </c>
      <c r="J32" s="566">
        <f t="shared" si="7"/>
        <v>462607</v>
      </c>
    </row>
    <row r="33" spans="1:10" ht="11.25">
      <c r="A33" s="564" t="s">
        <v>492</v>
      </c>
      <c r="B33" s="565">
        <v>500</v>
      </c>
      <c r="C33" s="565"/>
      <c r="D33" s="575"/>
      <c r="E33" s="575"/>
      <c r="F33" s="565">
        <f t="shared" si="1"/>
        <v>0</v>
      </c>
      <c r="G33" s="575"/>
      <c r="H33" s="575"/>
      <c r="I33" s="565">
        <f t="shared" si="2"/>
        <v>0</v>
      </c>
      <c r="J33" s="566">
        <f t="shared" si="7"/>
        <v>500</v>
      </c>
    </row>
    <row r="34" spans="1:10" ht="11.25">
      <c r="A34" s="564" t="s">
        <v>493</v>
      </c>
      <c r="B34" s="565">
        <v>86561</v>
      </c>
      <c r="C34" s="565"/>
      <c r="D34" s="575"/>
      <c r="E34" s="575"/>
      <c r="F34" s="565">
        <f t="shared" si="1"/>
        <v>0</v>
      </c>
      <c r="G34" s="575"/>
      <c r="H34" s="575"/>
      <c r="I34" s="565">
        <f t="shared" si="2"/>
        <v>0</v>
      </c>
      <c r="J34" s="566">
        <f t="shared" si="7"/>
        <v>86561</v>
      </c>
    </row>
    <row r="35" spans="1:10" ht="11.25">
      <c r="A35" s="564" t="s">
        <v>494</v>
      </c>
      <c r="B35" s="565">
        <v>3100</v>
      </c>
      <c r="C35" s="565"/>
      <c r="D35" s="575"/>
      <c r="E35" s="575"/>
      <c r="F35" s="565">
        <f t="shared" si="1"/>
        <v>0</v>
      </c>
      <c r="G35" s="575"/>
      <c r="H35" s="575"/>
      <c r="I35" s="565">
        <f t="shared" si="2"/>
        <v>0</v>
      </c>
      <c r="J35" s="566">
        <f t="shared" si="7"/>
        <v>3100</v>
      </c>
    </row>
    <row r="36" spans="1:10" ht="11.25">
      <c r="A36" s="564" t="s">
        <v>495</v>
      </c>
      <c r="B36" s="565">
        <v>657000</v>
      </c>
      <c r="C36" s="565"/>
      <c r="D36" s="575"/>
      <c r="E36" s="575"/>
      <c r="F36" s="565">
        <f t="shared" si="1"/>
        <v>0</v>
      </c>
      <c r="G36" s="575"/>
      <c r="H36" s="575"/>
      <c r="I36" s="565">
        <f t="shared" si="2"/>
        <v>0</v>
      </c>
      <c r="J36" s="566">
        <f t="shared" si="7"/>
        <v>657000</v>
      </c>
    </row>
    <row r="37" spans="1:10" ht="11.25">
      <c r="A37" s="564" t="s">
        <v>496</v>
      </c>
      <c r="B37" s="565">
        <v>42000</v>
      </c>
      <c r="C37" s="565"/>
      <c r="D37" s="575"/>
      <c r="E37" s="575"/>
      <c r="F37" s="565">
        <f t="shared" si="1"/>
        <v>0</v>
      </c>
      <c r="G37" s="575"/>
      <c r="H37" s="575"/>
      <c r="I37" s="565">
        <f t="shared" si="2"/>
        <v>0</v>
      </c>
      <c r="J37" s="566">
        <f t="shared" si="7"/>
        <v>42000</v>
      </c>
    </row>
    <row r="38" spans="1:10" ht="11.25">
      <c r="A38" s="564" t="s">
        <v>497</v>
      </c>
      <c r="B38" s="565">
        <v>0</v>
      </c>
      <c r="C38" s="565"/>
      <c r="D38" s="575"/>
      <c r="E38" s="575"/>
      <c r="F38" s="565">
        <f t="shared" si="1"/>
        <v>0</v>
      </c>
      <c r="G38" s="575"/>
      <c r="H38" s="575"/>
      <c r="I38" s="565">
        <f t="shared" si="2"/>
        <v>0</v>
      </c>
      <c r="J38" s="566">
        <f t="shared" si="7"/>
        <v>0</v>
      </c>
    </row>
    <row r="39" spans="1:10" ht="11.25">
      <c r="A39" s="564" t="s">
        <v>498</v>
      </c>
      <c r="B39" s="565">
        <v>134035</v>
      </c>
      <c r="C39" s="565"/>
      <c r="D39" s="575"/>
      <c r="E39" s="575"/>
      <c r="F39" s="565">
        <f t="shared" si="1"/>
        <v>0</v>
      </c>
      <c r="G39" s="575"/>
      <c r="H39" s="575"/>
      <c r="I39" s="565">
        <f t="shared" si="2"/>
        <v>0</v>
      </c>
      <c r="J39" s="566">
        <f t="shared" si="7"/>
        <v>134035</v>
      </c>
    </row>
    <row r="40" spans="1:10" s="651" customFormat="1" ht="12" thickBot="1">
      <c r="A40" s="649" t="s">
        <v>499</v>
      </c>
      <c r="B40" s="650">
        <v>410868</v>
      </c>
      <c r="C40" s="650">
        <v>177883</v>
      </c>
      <c r="D40" s="650">
        <v>73621</v>
      </c>
      <c r="E40" s="650">
        <v>32444</v>
      </c>
      <c r="F40" s="565">
        <f t="shared" si="1"/>
        <v>106065</v>
      </c>
      <c r="G40" s="650">
        <v>6408</v>
      </c>
      <c r="H40" s="650">
        <v>6409</v>
      </c>
      <c r="I40" s="565">
        <f t="shared" si="2"/>
        <v>12817</v>
      </c>
      <c r="J40" s="566">
        <f t="shared" si="7"/>
        <v>707633</v>
      </c>
    </row>
    <row r="41" spans="1:10" s="582" customFormat="1" ht="12" thickBot="1">
      <c r="A41" s="581" t="s">
        <v>500</v>
      </c>
      <c r="B41" s="580">
        <f>SUM(B27:B40)</f>
        <v>3354563</v>
      </c>
      <c r="C41" s="580">
        <f>SUM(C27:C40)</f>
        <v>200088</v>
      </c>
      <c r="D41" s="580">
        <f aca="true" t="shared" si="8" ref="D41:I41">SUM(D27:D40)</f>
        <v>73621</v>
      </c>
      <c r="E41" s="580">
        <f t="shared" si="8"/>
        <v>36614</v>
      </c>
      <c r="F41" s="580">
        <f t="shared" si="8"/>
        <v>110235</v>
      </c>
      <c r="G41" s="580">
        <f t="shared" si="8"/>
        <v>9408</v>
      </c>
      <c r="H41" s="580">
        <f t="shared" si="8"/>
        <v>7909</v>
      </c>
      <c r="I41" s="580">
        <f t="shared" si="8"/>
        <v>17317</v>
      </c>
      <c r="J41" s="580">
        <f>SUM(J27:J40)</f>
        <v>3682203</v>
      </c>
    </row>
    <row r="42" spans="1:10" s="584" customFormat="1" ht="12" customHeight="1">
      <c r="A42" s="574" t="s">
        <v>501</v>
      </c>
      <c r="B42" s="575">
        <f aca="true" t="shared" si="9" ref="B42:I42">SUM(B26-B27-B28-B35-B29-B30-B31-B32-B33-B34-B36-B37-B38-B39)</f>
        <v>94829</v>
      </c>
      <c r="C42" s="575">
        <f t="shared" si="9"/>
        <v>411463</v>
      </c>
      <c r="D42" s="575">
        <f t="shared" si="9"/>
        <v>87323</v>
      </c>
      <c r="E42" s="575">
        <f t="shared" si="9"/>
        <v>57114</v>
      </c>
      <c r="F42" s="575">
        <f t="shared" si="9"/>
        <v>144437</v>
      </c>
      <c r="G42" s="575">
        <f t="shared" si="9"/>
        <v>29159</v>
      </c>
      <c r="H42" s="575">
        <f t="shared" si="9"/>
        <v>27745</v>
      </c>
      <c r="I42" s="575">
        <f t="shared" si="9"/>
        <v>56904</v>
      </c>
      <c r="J42" s="583"/>
    </row>
    <row r="43" spans="1:10" ht="11.25">
      <c r="A43" s="574" t="s">
        <v>502</v>
      </c>
      <c r="B43" s="575">
        <f aca="true" t="shared" si="10" ref="B43:I43">SUM(B42-B40)</f>
        <v>-316039</v>
      </c>
      <c r="C43" s="575">
        <f t="shared" si="10"/>
        <v>233580</v>
      </c>
      <c r="D43" s="575">
        <f t="shared" si="10"/>
        <v>13702</v>
      </c>
      <c r="E43" s="575">
        <f t="shared" si="10"/>
        <v>24670</v>
      </c>
      <c r="F43" s="575">
        <f t="shared" si="10"/>
        <v>38372</v>
      </c>
      <c r="G43" s="575">
        <f t="shared" si="10"/>
        <v>22751</v>
      </c>
      <c r="H43" s="575">
        <f t="shared" si="10"/>
        <v>21336</v>
      </c>
      <c r="I43" s="575">
        <f t="shared" si="10"/>
        <v>44087</v>
      </c>
      <c r="J43" s="585"/>
    </row>
    <row r="44" spans="1:10" ht="11.25">
      <c r="A44" s="564" t="s">
        <v>503</v>
      </c>
      <c r="B44" s="586">
        <f>SUM(B43/B26)</f>
        <v>-0.10401069729908337</v>
      </c>
      <c r="C44" s="586">
        <f>SUM(C43/C26)</f>
        <v>0.5386147928830349</v>
      </c>
      <c r="D44" s="586">
        <f aca="true" t="shared" si="11" ref="D44:I44">SUM(D43/D26)</f>
        <v>0.15691169565864663</v>
      </c>
      <c r="E44" s="586">
        <f t="shared" si="11"/>
        <v>0.40255205273807193</v>
      </c>
      <c r="F44" s="586">
        <f t="shared" si="11"/>
        <v>0.2582112551898632</v>
      </c>
      <c r="G44" s="586">
        <f t="shared" si="11"/>
        <v>0.7074535899748127</v>
      </c>
      <c r="H44" s="586">
        <f t="shared" si="11"/>
        <v>0.7295606086510514</v>
      </c>
      <c r="I44" s="586">
        <f t="shared" si="11"/>
        <v>0.7179825418539508</v>
      </c>
      <c r="J44" s="585"/>
    </row>
    <row r="46" spans="1:8" ht="11.25">
      <c r="A46" s="587"/>
      <c r="B46" s="587"/>
      <c r="C46" s="587"/>
      <c r="D46" s="587"/>
      <c r="E46" s="587"/>
      <c r="F46" s="587"/>
      <c r="G46" s="587"/>
      <c r="H46" s="587"/>
    </row>
  </sheetData>
  <sheetProtection/>
  <mergeCells count="9">
    <mergeCell ref="D6:F6"/>
    <mergeCell ref="G6:I6"/>
    <mergeCell ref="B1:J1"/>
    <mergeCell ref="A4:J4"/>
    <mergeCell ref="I5:J5"/>
    <mergeCell ref="J6:J7"/>
    <mergeCell ref="A6:A7"/>
    <mergeCell ref="C6:C7"/>
    <mergeCell ref="B6:B7"/>
  </mergeCells>
  <printOptions horizontalCentered="1" verticalCentered="1"/>
  <pageMargins left="0.2362204724409449" right="0.2362204724409449" top="0.2362204724409449" bottom="0.35433070866141736" header="0.31496062992125984" footer="0.354330708661417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6"/>
  <sheetViews>
    <sheetView zoomScale="125" zoomScaleNormal="125" zoomScalePageLayoutView="0" workbookViewId="0" topLeftCell="A1">
      <selection activeCell="L40" sqref="L40"/>
    </sheetView>
  </sheetViews>
  <sheetFormatPr defaultColWidth="9.625" defaultRowHeight="12.75"/>
  <cols>
    <col min="1" max="1" width="17.00390625" style="720" customWidth="1"/>
    <col min="2" max="3" width="10.375" style="720" customWidth="1"/>
    <col min="4" max="4" width="7.875" style="720" bestFit="1" customWidth="1"/>
    <col min="5" max="5" width="7.875" style="720" customWidth="1"/>
    <col min="6" max="10" width="7.625" style="720" customWidth="1"/>
    <col min="11" max="11" width="8.25390625" style="720" customWidth="1"/>
    <col min="12" max="12" width="8.125" style="720" customWidth="1"/>
    <col min="13" max="13" width="9.625" style="752" customWidth="1"/>
    <col min="14" max="16384" width="9.625" style="720" customWidth="1"/>
  </cols>
  <sheetData>
    <row r="1" spans="4:18" ht="12.75" customHeight="1"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721"/>
      <c r="O1" s="721"/>
      <c r="P1" s="722"/>
      <c r="Q1" s="722"/>
      <c r="R1" s="722"/>
    </row>
    <row r="2" spans="6:18" ht="12.75" customHeight="1"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722"/>
      <c r="Q2" s="722"/>
      <c r="R2" s="722"/>
    </row>
    <row r="3" spans="6:18" ht="12.75" customHeight="1"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722"/>
      <c r="Q3" s="722"/>
      <c r="R3" s="722"/>
    </row>
    <row r="4" spans="1:14" s="723" customFormat="1" ht="15.75">
      <c r="A4" s="938" t="s">
        <v>552</v>
      </c>
      <c r="B4" s="938"/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</row>
    <row r="5" spans="12:14" ht="11.25" customHeight="1">
      <c r="L5" s="937" t="s">
        <v>60</v>
      </c>
      <c r="M5" s="937"/>
      <c r="N5" s="937"/>
    </row>
    <row r="6" spans="1:14" ht="26.25" customHeight="1">
      <c r="A6" s="939" t="s">
        <v>467</v>
      </c>
      <c r="B6" s="932" t="s">
        <v>4</v>
      </c>
      <c r="C6" s="932"/>
      <c r="D6" s="932"/>
      <c r="E6" s="932"/>
      <c r="F6" s="941" t="s">
        <v>512</v>
      </c>
      <c r="G6" s="942"/>
      <c r="H6" s="942"/>
      <c r="I6" s="933" t="s">
        <v>5</v>
      </c>
      <c r="J6" s="933" t="s">
        <v>11</v>
      </c>
      <c r="K6" s="933" t="s">
        <v>6</v>
      </c>
      <c r="L6" s="933" t="s">
        <v>16</v>
      </c>
      <c r="M6" s="935" t="s">
        <v>7</v>
      </c>
      <c r="N6" s="932" t="s">
        <v>551</v>
      </c>
    </row>
    <row r="7" spans="1:14" ht="21">
      <c r="A7" s="940"/>
      <c r="B7" s="725" t="s">
        <v>8</v>
      </c>
      <c r="C7" s="725" t="s">
        <v>12</v>
      </c>
      <c r="D7" s="724" t="s">
        <v>9</v>
      </c>
      <c r="E7" s="724" t="s">
        <v>13</v>
      </c>
      <c r="F7" s="753" t="s">
        <v>15</v>
      </c>
      <c r="G7" s="753" t="s">
        <v>14</v>
      </c>
      <c r="H7" s="726" t="s">
        <v>17</v>
      </c>
      <c r="I7" s="934"/>
      <c r="J7" s="934"/>
      <c r="K7" s="934"/>
      <c r="L7" s="934"/>
      <c r="M7" s="936"/>
      <c r="N7" s="932"/>
    </row>
    <row r="8" spans="1:14" ht="11.25">
      <c r="A8" s="727" t="s">
        <v>471</v>
      </c>
      <c r="B8" s="728">
        <v>16697</v>
      </c>
      <c r="C8" s="728">
        <v>20204</v>
      </c>
      <c r="D8" s="728">
        <v>15868</v>
      </c>
      <c r="E8" s="728">
        <v>15941</v>
      </c>
      <c r="F8" s="728">
        <v>49388</v>
      </c>
      <c r="G8" s="728">
        <v>61917</v>
      </c>
      <c r="H8" s="728">
        <v>38960</v>
      </c>
      <c r="I8" s="728">
        <v>196706</v>
      </c>
      <c r="J8" s="728">
        <v>231875</v>
      </c>
      <c r="K8" s="728">
        <v>66514</v>
      </c>
      <c r="L8" s="728">
        <v>119511</v>
      </c>
      <c r="M8" s="729">
        <f aca="true" t="shared" si="0" ref="M8:M15">SUM(B8+D8+F8+I8+K8)</f>
        <v>345173</v>
      </c>
      <c r="N8" s="728">
        <f>SUM(C8+E8+G8+H8+J8+L8)</f>
        <v>488408</v>
      </c>
    </row>
    <row r="9" spans="1:14" ht="11.25">
      <c r="A9" s="727" t="s">
        <v>472</v>
      </c>
      <c r="B9" s="728">
        <v>4508</v>
      </c>
      <c r="C9" s="728">
        <v>5455</v>
      </c>
      <c r="D9" s="728">
        <v>4225</v>
      </c>
      <c r="E9" s="728">
        <v>4304</v>
      </c>
      <c r="F9" s="728">
        <v>13308</v>
      </c>
      <c r="G9" s="728">
        <v>16814</v>
      </c>
      <c r="H9" s="728">
        <v>11725</v>
      </c>
      <c r="I9" s="728">
        <v>53125</v>
      </c>
      <c r="J9" s="728">
        <v>66695</v>
      </c>
      <c r="K9" s="728">
        <v>17959</v>
      </c>
      <c r="L9" s="728">
        <v>23135</v>
      </c>
      <c r="M9" s="729">
        <f t="shared" si="0"/>
        <v>93125</v>
      </c>
      <c r="N9" s="728">
        <f aca="true" t="shared" si="1" ref="N9:N41">SUM(C9+E9+G9+H9+J9+L9)</f>
        <v>128128</v>
      </c>
    </row>
    <row r="10" spans="1:14" ht="11.25">
      <c r="A10" s="727" t="s">
        <v>324</v>
      </c>
      <c r="B10" s="728">
        <v>5500</v>
      </c>
      <c r="C10" s="728">
        <v>6500</v>
      </c>
      <c r="D10" s="728">
        <v>10500</v>
      </c>
      <c r="E10" s="728">
        <v>9000</v>
      </c>
      <c r="F10" s="728">
        <v>9665</v>
      </c>
      <c r="G10" s="728">
        <v>8592</v>
      </c>
      <c r="H10" s="728">
        <v>10599</v>
      </c>
      <c r="I10" s="728">
        <v>101381</v>
      </c>
      <c r="J10" s="728">
        <v>115971</v>
      </c>
      <c r="K10" s="728">
        <v>239881</v>
      </c>
      <c r="L10" s="728">
        <v>268987</v>
      </c>
      <c r="M10" s="729">
        <f t="shared" si="0"/>
        <v>366927</v>
      </c>
      <c r="N10" s="728">
        <f t="shared" si="1"/>
        <v>419649</v>
      </c>
    </row>
    <row r="11" spans="1:14" ht="11.25">
      <c r="A11" s="730" t="s">
        <v>473</v>
      </c>
      <c r="B11" s="731">
        <v>0</v>
      </c>
      <c r="C11" s="731"/>
      <c r="D11" s="731">
        <v>0</v>
      </c>
      <c r="E11" s="731"/>
      <c r="F11" s="731">
        <v>0</v>
      </c>
      <c r="G11" s="731"/>
      <c r="H11" s="731"/>
      <c r="I11" s="731">
        <v>0</v>
      </c>
      <c r="J11" s="731"/>
      <c r="K11" s="731">
        <v>45885</v>
      </c>
      <c r="L11" s="731">
        <v>269761</v>
      </c>
      <c r="M11" s="729">
        <f t="shared" si="0"/>
        <v>45885</v>
      </c>
      <c r="N11" s="728">
        <f t="shared" si="1"/>
        <v>269761</v>
      </c>
    </row>
    <row r="12" spans="1:14" ht="11.25">
      <c r="A12" s="730" t="s">
        <v>179</v>
      </c>
      <c r="B12" s="731">
        <v>0</v>
      </c>
      <c r="C12" s="731"/>
      <c r="D12" s="731">
        <v>0</v>
      </c>
      <c r="E12" s="731"/>
      <c r="F12" s="731">
        <v>0</v>
      </c>
      <c r="G12" s="731"/>
      <c r="H12" s="731"/>
      <c r="I12" s="731">
        <v>0</v>
      </c>
      <c r="J12" s="731">
        <v>0</v>
      </c>
      <c r="K12" s="731">
        <v>189482</v>
      </c>
      <c r="L12" s="731">
        <v>258888</v>
      </c>
      <c r="M12" s="729">
        <f t="shared" si="0"/>
        <v>189482</v>
      </c>
      <c r="N12" s="728">
        <f t="shared" si="1"/>
        <v>258888</v>
      </c>
    </row>
    <row r="13" spans="1:14" ht="11.25">
      <c r="A13" s="730" t="s">
        <v>474</v>
      </c>
      <c r="B13" s="731">
        <v>0</v>
      </c>
      <c r="C13" s="731"/>
      <c r="D13" s="731">
        <v>0</v>
      </c>
      <c r="E13" s="731"/>
      <c r="F13" s="731">
        <v>0</v>
      </c>
      <c r="G13" s="731"/>
      <c r="H13" s="731"/>
      <c r="I13" s="731">
        <v>14967</v>
      </c>
      <c r="J13" s="731">
        <v>14127</v>
      </c>
      <c r="K13" s="731">
        <v>37937</v>
      </c>
      <c r="L13" s="731">
        <v>38776</v>
      </c>
      <c r="M13" s="729">
        <f t="shared" si="0"/>
        <v>52904</v>
      </c>
      <c r="N13" s="728">
        <f t="shared" si="1"/>
        <v>52903</v>
      </c>
    </row>
    <row r="14" spans="1:14" ht="11.25">
      <c r="A14" s="730" t="s">
        <v>475</v>
      </c>
      <c r="B14" s="731">
        <v>0</v>
      </c>
      <c r="C14" s="731"/>
      <c r="D14" s="731">
        <v>0</v>
      </c>
      <c r="E14" s="731"/>
      <c r="F14" s="731">
        <v>0</v>
      </c>
      <c r="G14" s="731"/>
      <c r="H14" s="731"/>
      <c r="I14" s="731">
        <v>0</v>
      </c>
      <c r="J14" s="731"/>
      <c r="K14" s="731">
        <v>0</v>
      </c>
      <c r="L14" s="731">
        <v>0</v>
      </c>
      <c r="M14" s="729">
        <f t="shared" si="0"/>
        <v>0</v>
      </c>
      <c r="N14" s="728">
        <f t="shared" si="1"/>
        <v>0</v>
      </c>
    </row>
    <row r="15" spans="1:14" ht="12" thickBot="1">
      <c r="A15" s="732" t="s">
        <v>185</v>
      </c>
      <c r="B15" s="733">
        <v>0</v>
      </c>
      <c r="C15" s="733"/>
      <c r="D15" s="733">
        <v>0</v>
      </c>
      <c r="E15" s="733"/>
      <c r="F15" s="733">
        <v>0</v>
      </c>
      <c r="G15" s="733"/>
      <c r="H15" s="733"/>
      <c r="I15" s="733">
        <v>0</v>
      </c>
      <c r="J15" s="733"/>
      <c r="K15" s="733">
        <v>0</v>
      </c>
      <c r="L15" s="733">
        <v>27458</v>
      </c>
      <c r="M15" s="734">
        <f t="shared" si="0"/>
        <v>0</v>
      </c>
      <c r="N15" s="733">
        <f t="shared" si="1"/>
        <v>27458</v>
      </c>
    </row>
    <row r="16" spans="1:14" ht="12" thickBot="1">
      <c r="A16" s="735" t="s">
        <v>476</v>
      </c>
      <c r="B16" s="736">
        <f aca="true" t="shared" si="2" ref="B16:M16">SUM(B8:B15)</f>
        <v>26705</v>
      </c>
      <c r="C16" s="736">
        <f t="shared" si="2"/>
        <v>32159</v>
      </c>
      <c r="D16" s="736">
        <f t="shared" si="2"/>
        <v>30593</v>
      </c>
      <c r="E16" s="736">
        <f t="shared" si="2"/>
        <v>29245</v>
      </c>
      <c r="F16" s="736">
        <f t="shared" si="2"/>
        <v>72361</v>
      </c>
      <c r="G16" s="736">
        <f t="shared" si="2"/>
        <v>87323</v>
      </c>
      <c r="H16" s="736">
        <f t="shared" si="2"/>
        <v>61284</v>
      </c>
      <c r="I16" s="736">
        <f t="shared" si="2"/>
        <v>366179</v>
      </c>
      <c r="J16" s="736">
        <f t="shared" si="2"/>
        <v>428668</v>
      </c>
      <c r="K16" s="736">
        <f t="shared" si="2"/>
        <v>597658</v>
      </c>
      <c r="L16" s="736">
        <f t="shared" si="2"/>
        <v>1006516</v>
      </c>
      <c r="M16" s="736">
        <f t="shared" si="2"/>
        <v>1093496</v>
      </c>
      <c r="N16" s="745">
        <f t="shared" si="1"/>
        <v>1645195</v>
      </c>
    </row>
    <row r="17" spans="1:14" ht="11.25">
      <c r="A17" s="737" t="s">
        <v>477</v>
      </c>
      <c r="B17" s="738">
        <v>0</v>
      </c>
      <c r="C17" s="738"/>
      <c r="D17" s="738">
        <v>0</v>
      </c>
      <c r="E17" s="738"/>
      <c r="F17" s="731">
        <v>0</v>
      </c>
      <c r="G17" s="739"/>
      <c r="H17" s="739"/>
      <c r="I17" s="738">
        <v>0</v>
      </c>
      <c r="J17" s="738"/>
      <c r="K17" s="738">
        <v>208329</v>
      </c>
      <c r="L17" s="738">
        <v>55910</v>
      </c>
      <c r="M17" s="729">
        <f aca="true" t="shared" si="3" ref="M17:M24">SUM(B17+D17+F17+I17+K17)</f>
        <v>208329</v>
      </c>
      <c r="N17" s="738">
        <f t="shared" si="1"/>
        <v>55910</v>
      </c>
    </row>
    <row r="18" spans="1:14" ht="11.25">
      <c r="A18" s="727" t="s">
        <v>478</v>
      </c>
      <c r="B18" s="728">
        <v>0</v>
      </c>
      <c r="C18" s="728"/>
      <c r="D18" s="728">
        <v>0</v>
      </c>
      <c r="E18" s="728"/>
      <c r="F18" s="731">
        <v>0</v>
      </c>
      <c r="G18" s="731"/>
      <c r="H18" s="731"/>
      <c r="I18" s="728">
        <v>0</v>
      </c>
      <c r="J18" s="728"/>
      <c r="K18" s="728">
        <v>52500</v>
      </c>
      <c r="L18" s="728">
        <v>10000</v>
      </c>
      <c r="M18" s="729">
        <f t="shared" si="3"/>
        <v>52500</v>
      </c>
      <c r="N18" s="728">
        <f t="shared" si="1"/>
        <v>10000</v>
      </c>
    </row>
    <row r="19" spans="1:14" ht="11.25">
      <c r="A19" s="727" t="s">
        <v>479</v>
      </c>
      <c r="B19" s="728">
        <v>0</v>
      </c>
      <c r="C19" s="728"/>
      <c r="D19" s="728">
        <v>0</v>
      </c>
      <c r="E19" s="728"/>
      <c r="F19" s="731">
        <v>0</v>
      </c>
      <c r="G19" s="731"/>
      <c r="H19" s="731"/>
      <c r="I19" s="728">
        <v>0</v>
      </c>
      <c r="J19" s="728"/>
      <c r="K19" s="728">
        <v>0</v>
      </c>
      <c r="L19" s="728"/>
      <c r="M19" s="729">
        <f t="shared" si="3"/>
        <v>0</v>
      </c>
      <c r="N19" s="728">
        <f t="shared" si="1"/>
        <v>0</v>
      </c>
    </row>
    <row r="20" spans="1:14" ht="11.25">
      <c r="A20" s="727" t="s">
        <v>480</v>
      </c>
      <c r="B20" s="728">
        <v>0</v>
      </c>
      <c r="C20" s="728"/>
      <c r="D20" s="728">
        <v>0</v>
      </c>
      <c r="E20" s="728"/>
      <c r="F20" s="731">
        <v>0</v>
      </c>
      <c r="G20" s="731"/>
      <c r="H20" s="731"/>
      <c r="I20" s="728">
        <v>0</v>
      </c>
      <c r="J20" s="728"/>
      <c r="K20" s="728">
        <v>158</v>
      </c>
      <c r="L20" s="728">
        <v>2700</v>
      </c>
      <c r="M20" s="729">
        <f t="shared" si="3"/>
        <v>158</v>
      </c>
      <c r="N20" s="728">
        <f t="shared" si="1"/>
        <v>2700</v>
      </c>
    </row>
    <row r="21" spans="1:14" ht="11.25">
      <c r="A21" s="727" t="s">
        <v>481</v>
      </c>
      <c r="B21" s="728">
        <v>0</v>
      </c>
      <c r="C21" s="728"/>
      <c r="D21" s="728">
        <v>0</v>
      </c>
      <c r="E21" s="740"/>
      <c r="F21" s="728">
        <v>0</v>
      </c>
      <c r="G21" s="741"/>
      <c r="H21" s="741"/>
      <c r="I21" s="741">
        <v>0</v>
      </c>
      <c r="J21" s="741"/>
      <c r="K21" s="728">
        <v>0</v>
      </c>
      <c r="L21" s="728"/>
      <c r="M21" s="729">
        <f t="shared" si="3"/>
        <v>0</v>
      </c>
      <c r="N21" s="728">
        <f t="shared" si="1"/>
        <v>0</v>
      </c>
    </row>
    <row r="22" spans="1:14" ht="11.25">
      <c r="A22" s="727" t="s">
        <v>482</v>
      </c>
      <c r="B22" s="728">
        <v>0</v>
      </c>
      <c r="C22" s="728"/>
      <c r="D22" s="728">
        <v>0</v>
      </c>
      <c r="E22" s="728"/>
      <c r="F22" s="738">
        <v>0</v>
      </c>
      <c r="G22" s="738"/>
      <c r="H22" s="738"/>
      <c r="I22" s="728">
        <v>0</v>
      </c>
      <c r="J22" s="728"/>
      <c r="K22" s="728">
        <v>414</v>
      </c>
      <c r="L22" s="728"/>
      <c r="M22" s="729">
        <f t="shared" si="3"/>
        <v>414</v>
      </c>
      <c r="N22" s="728">
        <f t="shared" si="1"/>
        <v>0</v>
      </c>
    </row>
    <row r="23" spans="1:14" ht="11.25">
      <c r="A23" s="730" t="s">
        <v>483</v>
      </c>
      <c r="B23" s="731">
        <v>0</v>
      </c>
      <c r="C23" s="731"/>
      <c r="D23" s="731">
        <v>0</v>
      </c>
      <c r="E23" s="731"/>
      <c r="F23" s="731">
        <v>0</v>
      </c>
      <c r="G23" s="731"/>
      <c r="H23" s="731"/>
      <c r="I23" s="731">
        <v>2000</v>
      </c>
      <c r="J23" s="731">
        <v>5000</v>
      </c>
      <c r="K23" s="731">
        <v>0</v>
      </c>
      <c r="L23" s="731">
        <v>517321</v>
      </c>
      <c r="M23" s="729">
        <f t="shared" si="3"/>
        <v>2000</v>
      </c>
      <c r="N23" s="728">
        <f t="shared" si="1"/>
        <v>522321</v>
      </c>
    </row>
    <row r="24" spans="1:14" ht="12" thickBot="1">
      <c r="A24" s="730" t="s">
        <v>484</v>
      </c>
      <c r="B24" s="733">
        <v>0</v>
      </c>
      <c r="C24" s="733"/>
      <c r="D24" s="733">
        <v>0</v>
      </c>
      <c r="E24" s="733"/>
      <c r="F24" s="733">
        <v>0</v>
      </c>
      <c r="G24" s="733"/>
      <c r="H24" s="733"/>
      <c r="I24" s="733">
        <v>0</v>
      </c>
      <c r="J24" s="733"/>
      <c r="K24" s="733">
        <v>45670</v>
      </c>
      <c r="L24" s="733">
        <v>1446077</v>
      </c>
      <c r="M24" s="729">
        <f t="shared" si="3"/>
        <v>45670</v>
      </c>
      <c r="N24" s="733">
        <f t="shared" si="1"/>
        <v>1446077</v>
      </c>
    </row>
    <row r="25" spans="1:14" ht="12" thickBot="1">
      <c r="A25" s="742" t="s">
        <v>485</v>
      </c>
      <c r="B25" s="743">
        <f aca="true" t="shared" si="4" ref="B25:M25">SUM(B17:B24)</f>
        <v>0</v>
      </c>
      <c r="C25" s="743">
        <f t="shared" si="4"/>
        <v>0</v>
      </c>
      <c r="D25" s="743">
        <f t="shared" si="4"/>
        <v>0</v>
      </c>
      <c r="E25" s="743">
        <f t="shared" si="4"/>
        <v>0</v>
      </c>
      <c r="F25" s="743">
        <f t="shared" si="4"/>
        <v>0</v>
      </c>
      <c r="G25" s="743">
        <f t="shared" si="4"/>
        <v>0</v>
      </c>
      <c r="H25" s="743">
        <f t="shared" si="4"/>
        <v>0</v>
      </c>
      <c r="I25" s="743">
        <f t="shared" si="4"/>
        <v>2000</v>
      </c>
      <c r="J25" s="743">
        <f t="shared" si="4"/>
        <v>5000</v>
      </c>
      <c r="K25" s="743">
        <f t="shared" si="4"/>
        <v>307071</v>
      </c>
      <c r="L25" s="743">
        <f t="shared" si="4"/>
        <v>2032008</v>
      </c>
      <c r="M25" s="743">
        <f t="shared" si="4"/>
        <v>309071</v>
      </c>
      <c r="N25" s="743">
        <f t="shared" si="1"/>
        <v>2037008</v>
      </c>
    </row>
    <row r="26" spans="1:14" ht="12" thickBot="1">
      <c r="A26" s="742" t="s">
        <v>486</v>
      </c>
      <c r="B26" s="736">
        <f aca="true" t="shared" si="5" ref="B26:M26">SUM(B16+B25)</f>
        <v>26705</v>
      </c>
      <c r="C26" s="736">
        <f t="shared" si="5"/>
        <v>32159</v>
      </c>
      <c r="D26" s="736">
        <f t="shared" si="5"/>
        <v>30593</v>
      </c>
      <c r="E26" s="736">
        <f t="shared" si="5"/>
        <v>29245</v>
      </c>
      <c r="F26" s="736">
        <f t="shared" si="5"/>
        <v>72361</v>
      </c>
      <c r="G26" s="736">
        <f t="shared" si="5"/>
        <v>87323</v>
      </c>
      <c r="H26" s="736">
        <f t="shared" si="5"/>
        <v>61284</v>
      </c>
      <c r="I26" s="736">
        <f t="shared" si="5"/>
        <v>368179</v>
      </c>
      <c r="J26" s="736">
        <f t="shared" si="5"/>
        <v>433668</v>
      </c>
      <c r="K26" s="736">
        <f t="shared" si="5"/>
        <v>904729</v>
      </c>
      <c r="L26" s="736">
        <f t="shared" si="5"/>
        <v>3038524</v>
      </c>
      <c r="M26" s="736">
        <f t="shared" si="5"/>
        <v>1402567</v>
      </c>
      <c r="N26" s="745">
        <f t="shared" si="1"/>
        <v>3682203</v>
      </c>
    </row>
    <row r="27" spans="1:14" ht="11.25">
      <c r="A27" s="737" t="s">
        <v>343</v>
      </c>
      <c r="B27" s="738">
        <v>3000</v>
      </c>
      <c r="C27" s="738">
        <v>3000</v>
      </c>
      <c r="D27" s="738">
        <v>2500</v>
      </c>
      <c r="E27" s="738">
        <v>1500</v>
      </c>
      <c r="F27" s="738">
        <v>0</v>
      </c>
      <c r="G27" s="738"/>
      <c r="H27" s="738">
        <v>4170</v>
      </c>
      <c r="I27" s="738">
        <v>9000</v>
      </c>
      <c r="J27" s="738">
        <v>11090</v>
      </c>
      <c r="K27" s="738">
        <v>141822</v>
      </c>
      <c r="L27" s="738">
        <v>118530</v>
      </c>
      <c r="M27" s="729">
        <f aca="true" t="shared" si="6" ref="M27:M40">SUM(B27+D27+F27+I27+K27)</f>
        <v>156322</v>
      </c>
      <c r="N27" s="738">
        <f t="shared" si="1"/>
        <v>138290</v>
      </c>
    </row>
    <row r="28" spans="1:14" ht="11.25">
      <c r="A28" s="737" t="s">
        <v>487</v>
      </c>
      <c r="B28" s="738">
        <v>0</v>
      </c>
      <c r="C28" s="738"/>
      <c r="D28" s="738">
        <v>0</v>
      </c>
      <c r="E28" s="738"/>
      <c r="F28" s="738">
        <v>0</v>
      </c>
      <c r="G28" s="738"/>
      <c r="H28" s="738"/>
      <c r="I28" s="738">
        <v>1000</v>
      </c>
      <c r="J28" s="738">
        <v>11115</v>
      </c>
      <c r="K28" s="738">
        <v>9618</v>
      </c>
      <c r="L28" s="738">
        <v>62194</v>
      </c>
      <c r="M28" s="729">
        <f t="shared" si="6"/>
        <v>10618</v>
      </c>
      <c r="N28" s="728">
        <f t="shared" si="1"/>
        <v>73309</v>
      </c>
    </row>
    <row r="29" spans="1:14" ht="11.25">
      <c r="A29" s="737" t="s">
        <v>488</v>
      </c>
      <c r="B29" s="738">
        <v>0</v>
      </c>
      <c r="C29" s="738"/>
      <c r="D29" s="738">
        <v>0</v>
      </c>
      <c r="E29" s="738"/>
      <c r="F29" s="738">
        <v>0</v>
      </c>
      <c r="G29" s="738"/>
      <c r="H29" s="738"/>
      <c r="I29" s="738">
        <v>0</v>
      </c>
      <c r="J29" s="738"/>
      <c r="K29" s="738">
        <v>0</v>
      </c>
      <c r="L29" s="738">
        <v>0</v>
      </c>
      <c r="M29" s="729">
        <f t="shared" si="6"/>
        <v>0</v>
      </c>
      <c r="N29" s="728">
        <f t="shared" si="1"/>
        <v>0</v>
      </c>
    </row>
    <row r="30" spans="1:14" ht="11.25">
      <c r="A30" s="727" t="s">
        <v>489</v>
      </c>
      <c r="B30" s="728">
        <v>0</v>
      </c>
      <c r="C30" s="728"/>
      <c r="D30" s="728">
        <v>0</v>
      </c>
      <c r="E30" s="728"/>
      <c r="F30" s="738">
        <v>0</v>
      </c>
      <c r="G30" s="738"/>
      <c r="H30" s="738"/>
      <c r="I30" s="728">
        <v>0</v>
      </c>
      <c r="J30" s="728"/>
      <c r="K30" s="728">
        <v>39000</v>
      </c>
      <c r="L30" s="728">
        <v>40000</v>
      </c>
      <c r="M30" s="729">
        <f t="shared" si="6"/>
        <v>39000</v>
      </c>
      <c r="N30" s="728">
        <f t="shared" si="1"/>
        <v>40000</v>
      </c>
    </row>
    <row r="31" spans="1:14" ht="11.25">
      <c r="A31" s="727" t="s">
        <v>490</v>
      </c>
      <c r="B31" s="728">
        <v>0</v>
      </c>
      <c r="C31" s="728"/>
      <c r="D31" s="728">
        <v>0</v>
      </c>
      <c r="E31" s="728"/>
      <c r="F31" s="738">
        <v>0</v>
      </c>
      <c r="G31" s="738"/>
      <c r="H31" s="738"/>
      <c r="I31" s="728">
        <v>0</v>
      </c>
      <c r="J31" s="728"/>
      <c r="K31" s="728">
        <v>144430</v>
      </c>
      <c r="L31" s="728">
        <v>1337168</v>
      </c>
      <c r="M31" s="729">
        <f t="shared" si="6"/>
        <v>144430</v>
      </c>
      <c r="N31" s="728">
        <f t="shared" si="1"/>
        <v>1337168</v>
      </c>
    </row>
    <row r="32" spans="1:14" ht="11.25">
      <c r="A32" s="727" t="s">
        <v>491</v>
      </c>
      <c r="B32" s="728">
        <v>0</v>
      </c>
      <c r="C32" s="728"/>
      <c r="D32" s="728">
        <v>0</v>
      </c>
      <c r="E32" s="728"/>
      <c r="F32" s="738">
        <v>0</v>
      </c>
      <c r="G32" s="738"/>
      <c r="H32" s="738"/>
      <c r="I32" s="728">
        <v>0</v>
      </c>
      <c r="J32" s="728"/>
      <c r="K32" s="728">
        <v>0</v>
      </c>
      <c r="L32" s="728">
        <v>462607</v>
      </c>
      <c r="M32" s="729">
        <f t="shared" si="6"/>
        <v>0</v>
      </c>
      <c r="N32" s="728">
        <f t="shared" si="1"/>
        <v>462607</v>
      </c>
    </row>
    <row r="33" spans="1:14" ht="11.25">
      <c r="A33" s="727" t="s">
        <v>492</v>
      </c>
      <c r="B33" s="728">
        <v>0</v>
      </c>
      <c r="C33" s="728"/>
      <c r="D33" s="728">
        <v>0</v>
      </c>
      <c r="E33" s="728"/>
      <c r="F33" s="738">
        <v>0</v>
      </c>
      <c r="G33" s="738"/>
      <c r="H33" s="738"/>
      <c r="I33" s="728">
        <v>0</v>
      </c>
      <c r="J33" s="728"/>
      <c r="K33" s="728">
        <v>500</v>
      </c>
      <c r="L33" s="728">
        <v>500</v>
      </c>
      <c r="M33" s="729">
        <f t="shared" si="6"/>
        <v>500</v>
      </c>
      <c r="N33" s="728">
        <f t="shared" si="1"/>
        <v>500</v>
      </c>
    </row>
    <row r="34" spans="1:14" ht="11.25">
      <c r="A34" s="727" t="s">
        <v>493</v>
      </c>
      <c r="B34" s="728">
        <v>0</v>
      </c>
      <c r="C34" s="728"/>
      <c r="D34" s="728">
        <v>0</v>
      </c>
      <c r="E34" s="728"/>
      <c r="F34" s="738">
        <v>0</v>
      </c>
      <c r="G34" s="738"/>
      <c r="H34" s="738"/>
      <c r="I34" s="728">
        <v>0</v>
      </c>
      <c r="J34" s="728"/>
      <c r="K34" s="728">
        <v>87530</v>
      </c>
      <c r="L34" s="728">
        <v>86561</v>
      </c>
      <c r="M34" s="729">
        <f t="shared" si="6"/>
        <v>87530</v>
      </c>
      <c r="N34" s="728">
        <f t="shared" si="1"/>
        <v>86561</v>
      </c>
    </row>
    <row r="35" spans="1:14" ht="11.25">
      <c r="A35" s="727" t="s">
        <v>494</v>
      </c>
      <c r="B35" s="728">
        <v>0</v>
      </c>
      <c r="C35" s="728"/>
      <c r="D35" s="728">
        <v>0</v>
      </c>
      <c r="E35" s="728"/>
      <c r="F35" s="738">
        <v>0</v>
      </c>
      <c r="G35" s="738"/>
      <c r="H35" s="738"/>
      <c r="I35" s="728">
        <v>0</v>
      </c>
      <c r="J35" s="728"/>
      <c r="K35" s="728">
        <v>3100</v>
      </c>
      <c r="L35" s="728">
        <v>3100</v>
      </c>
      <c r="M35" s="729">
        <f t="shared" si="6"/>
        <v>3100</v>
      </c>
      <c r="N35" s="728">
        <f t="shared" si="1"/>
        <v>3100</v>
      </c>
    </row>
    <row r="36" spans="1:14" ht="11.25">
      <c r="A36" s="727" t="s">
        <v>495</v>
      </c>
      <c r="B36" s="728">
        <v>0</v>
      </c>
      <c r="C36" s="728"/>
      <c r="D36" s="728">
        <v>0</v>
      </c>
      <c r="E36" s="728"/>
      <c r="F36" s="738">
        <v>0</v>
      </c>
      <c r="G36" s="738"/>
      <c r="H36" s="738"/>
      <c r="I36" s="728">
        <v>0</v>
      </c>
      <c r="J36" s="728"/>
      <c r="K36" s="728">
        <v>604000</v>
      </c>
      <c r="L36" s="728">
        <v>657000</v>
      </c>
      <c r="M36" s="729">
        <f t="shared" si="6"/>
        <v>604000</v>
      </c>
      <c r="N36" s="728">
        <f t="shared" si="1"/>
        <v>657000</v>
      </c>
    </row>
    <row r="37" spans="1:14" ht="11.25">
      <c r="A37" s="727" t="s">
        <v>496</v>
      </c>
      <c r="B37" s="728">
        <v>0</v>
      </c>
      <c r="C37" s="728"/>
      <c r="D37" s="728">
        <v>0</v>
      </c>
      <c r="E37" s="728"/>
      <c r="F37" s="738">
        <v>0</v>
      </c>
      <c r="G37" s="738"/>
      <c r="H37" s="738"/>
      <c r="I37" s="728">
        <v>0</v>
      </c>
      <c r="J37" s="728"/>
      <c r="K37" s="728">
        <v>42000</v>
      </c>
      <c r="L37" s="728">
        <v>42000</v>
      </c>
      <c r="M37" s="729">
        <f t="shared" si="6"/>
        <v>42000</v>
      </c>
      <c r="N37" s="728">
        <f t="shared" si="1"/>
        <v>42000</v>
      </c>
    </row>
    <row r="38" spans="1:14" ht="11.25">
      <c r="A38" s="727" t="s">
        <v>497</v>
      </c>
      <c r="B38" s="728">
        <v>0</v>
      </c>
      <c r="C38" s="728"/>
      <c r="D38" s="728">
        <v>0</v>
      </c>
      <c r="E38" s="728"/>
      <c r="F38" s="738">
        <v>0</v>
      </c>
      <c r="G38" s="738"/>
      <c r="H38" s="738"/>
      <c r="I38" s="728">
        <v>0</v>
      </c>
      <c r="J38" s="728"/>
      <c r="K38" s="728">
        <v>0</v>
      </c>
      <c r="L38" s="728">
        <v>0</v>
      </c>
      <c r="M38" s="729">
        <f t="shared" si="6"/>
        <v>0</v>
      </c>
      <c r="N38" s="728">
        <f t="shared" si="1"/>
        <v>0</v>
      </c>
    </row>
    <row r="39" spans="1:14" ht="11.25">
      <c r="A39" s="727" t="s">
        <v>498</v>
      </c>
      <c r="B39" s="728">
        <v>0</v>
      </c>
      <c r="C39" s="728"/>
      <c r="D39" s="728">
        <v>0</v>
      </c>
      <c r="E39" s="728"/>
      <c r="F39" s="738">
        <v>0</v>
      </c>
      <c r="G39" s="738"/>
      <c r="H39" s="738"/>
      <c r="I39" s="728">
        <v>0</v>
      </c>
      <c r="J39" s="728"/>
      <c r="K39" s="728">
        <v>0</v>
      </c>
      <c r="L39" s="728">
        <v>134035</v>
      </c>
      <c r="M39" s="729">
        <f t="shared" si="6"/>
        <v>0</v>
      </c>
      <c r="N39" s="728">
        <f t="shared" si="1"/>
        <v>134035</v>
      </c>
    </row>
    <row r="40" spans="1:14" ht="12" thickBot="1">
      <c r="A40" s="727" t="s">
        <v>10</v>
      </c>
      <c r="B40" s="728">
        <v>6484</v>
      </c>
      <c r="C40" s="728">
        <v>6408</v>
      </c>
      <c r="D40" s="728">
        <v>6484</v>
      </c>
      <c r="E40" s="728">
        <v>6409</v>
      </c>
      <c r="F40" s="728">
        <v>63828</v>
      </c>
      <c r="G40" s="728">
        <v>73621</v>
      </c>
      <c r="H40" s="728">
        <v>32444</v>
      </c>
      <c r="I40" s="728">
        <v>94602</v>
      </c>
      <c r="J40" s="728">
        <v>177883</v>
      </c>
      <c r="K40" s="728">
        <v>143669</v>
      </c>
      <c r="L40" s="731">
        <v>410868</v>
      </c>
      <c r="M40" s="729">
        <f t="shared" si="6"/>
        <v>315067</v>
      </c>
      <c r="N40" s="733">
        <f t="shared" si="1"/>
        <v>707633</v>
      </c>
    </row>
    <row r="41" spans="1:14" s="746" customFormat="1" ht="11.25" thickBot="1">
      <c r="A41" s="744" t="s">
        <v>500</v>
      </c>
      <c r="B41" s="745">
        <f aca="true" t="shared" si="7" ref="B41:M41">SUM(B27:B40)</f>
        <v>9484</v>
      </c>
      <c r="C41" s="745">
        <f t="shared" si="7"/>
        <v>9408</v>
      </c>
      <c r="D41" s="745">
        <f t="shared" si="7"/>
        <v>8984</v>
      </c>
      <c r="E41" s="745">
        <f t="shared" si="7"/>
        <v>7909</v>
      </c>
      <c r="F41" s="745">
        <f t="shared" si="7"/>
        <v>63828</v>
      </c>
      <c r="G41" s="745">
        <f t="shared" si="7"/>
        <v>73621</v>
      </c>
      <c r="H41" s="745">
        <f t="shared" si="7"/>
        <v>36614</v>
      </c>
      <c r="I41" s="745">
        <f t="shared" si="7"/>
        <v>104602</v>
      </c>
      <c r="J41" s="745">
        <f t="shared" si="7"/>
        <v>200088</v>
      </c>
      <c r="K41" s="745">
        <f t="shared" si="7"/>
        <v>1215669</v>
      </c>
      <c r="L41" s="745">
        <f t="shared" si="7"/>
        <v>3354563</v>
      </c>
      <c r="M41" s="745">
        <f t="shared" si="7"/>
        <v>1402567</v>
      </c>
      <c r="N41" s="745">
        <f t="shared" si="1"/>
        <v>3682203</v>
      </c>
    </row>
    <row r="42" spans="1:14" s="748" customFormat="1" ht="12" customHeight="1">
      <c r="A42" s="737" t="s">
        <v>501</v>
      </c>
      <c r="B42" s="738">
        <f aca="true" t="shared" si="8" ref="B42:L42">SUM(B26-B27-B28-B35-B29-B30-B31-B32-B33-B34-B36-B37-B38-B39)</f>
        <v>23705</v>
      </c>
      <c r="C42" s="738">
        <f t="shared" si="8"/>
        <v>29159</v>
      </c>
      <c r="D42" s="738">
        <f t="shared" si="8"/>
        <v>28093</v>
      </c>
      <c r="E42" s="738">
        <f t="shared" si="8"/>
        <v>27745</v>
      </c>
      <c r="F42" s="738">
        <f t="shared" si="8"/>
        <v>72361</v>
      </c>
      <c r="G42" s="738">
        <f t="shared" si="8"/>
        <v>87323</v>
      </c>
      <c r="H42" s="738">
        <f t="shared" si="8"/>
        <v>57114</v>
      </c>
      <c r="I42" s="738">
        <f t="shared" si="8"/>
        <v>358179</v>
      </c>
      <c r="J42" s="738">
        <f t="shared" si="8"/>
        <v>411463</v>
      </c>
      <c r="K42" s="738">
        <f t="shared" si="8"/>
        <v>-167271</v>
      </c>
      <c r="L42" s="738">
        <f t="shared" si="8"/>
        <v>94829</v>
      </c>
      <c r="M42" s="747"/>
      <c r="N42" s="737"/>
    </row>
    <row r="43" spans="1:14" ht="11.25">
      <c r="A43" s="737" t="s">
        <v>502</v>
      </c>
      <c r="B43" s="738">
        <f aca="true" t="shared" si="9" ref="B43:L43">SUM(B42-B40)</f>
        <v>17221</v>
      </c>
      <c r="C43" s="738">
        <f t="shared" si="9"/>
        <v>22751</v>
      </c>
      <c r="D43" s="738">
        <f t="shared" si="9"/>
        <v>21609</v>
      </c>
      <c r="E43" s="738">
        <f t="shared" si="9"/>
        <v>21336</v>
      </c>
      <c r="F43" s="738">
        <f t="shared" si="9"/>
        <v>8533</v>
      </c>
      <c r="G43" s="738">
        <f t="shared" si="9"/>
        <v>13702</v>
      </c>
      <c r="H43" s="738">
        <f t="shared" si="9"/>
        <v>24670</v>
      </c>
      <c r="I43" s="738">
        <f t="shared" si="9"/>
        <v>263577</v>
      </c>
      <c r="J43" s="738">
        <f t="shared" si="9"/>
        <v>233580</v>
      </c>
      <c r="K43" s="738">
        <f t="shared" si="9"/>
        <v>-310940</v>
      </c>
      <c r="L43" s="738">
        <f t="shared" si="9"/>
        <v>-316039</v>
      </c>
      <c r="M43" s="749"/>
      <c r="N43" s="727"/>
    </row>
    <row r="44" spans="1:14" ht="11.25">
      <c r="A44" s="727" t="s">
        <v>503</v>
      </c>
      <c r="B44" s="750">
        <f aca="true" t="shared" si="10" ref="B44:L44">SUM(B43/B26)</f>
        <v>0.6448605130125444</v>
      </c>
      <c r="C44" s="750">
        <f t="shared" si="10"/>
        <v>0.7074535899748127</v>
      </c>
      <c r="D44" s="750">
        <f t="shared" si="10"/>
        <v>0.7063380511881803</v>
      </c>
      <c r="E44" s="750">
        <f t="shared" si="10"/>
        <v>0.7295606086510514</v>
      </c>
      <c r="F44" s="750">
        <f t="shared" si="10"/>
        <v>0.11792263788504857</v>
      </c>
      <c r="G44" s="750">
        <f t="shared" si="10"/>
        <v>0.15691169565864663</v>
      </c>
      <c r="H44" s="750">
        <f t="shared" si="10"/>
        <v>0.40255205273807193</v>
      </c>
      <c r="I44" s="750">
        <f t="shared" si="10"/>
        <v>0.7158936278277686</v>
      </c>
      <c r="J44" s="750">
        <f t="shared" si="10"/>
        <v>0.5386147928830349</v>
      </c>
      <c r="K44" s="750">
        <f t="shared" si="10"/>
        <v>-0.3436830255247704</v>
      </c>
      <c r="L44" s="750">
        <f t="shared" si="10"/>
        <v>-0.10401069729908337</v>
      </c>
      <c r="M44" s="749"/>
      <c r="N44" s="727"/>
    </row>
    <row r="46" ht="11.25">
      <c r="A46" s="751"/>
    </row>
  </sheetData>
  <sheetProtection/>
  <mergeCells count="12">
    <mergeCell ref="A6:A7"/>
    <mergeCell ref="F6:H6"/>
    <mergeCell ref="B6:E6"/>
    <mergeCell ref="I6:I7"/>
    <mergeCell ref="D1:M1"/>
    <mergeCell ref="M6:M7"/>
    <mergeCell ref="L5:N5"/>
    <mergeCell ref="K6:K7"/>
    <mergeCell ref="J6:J7"/>
    <mergeCell ref="A4:N4"/>
    <mergeCell ref="L6:L7"/>
    <mergeCell ref="N6:N7"/>
  </mergeCells>
  <printOptions horizontalCentered="1" verticalCentered="1"/>
  <pageMargins left="0.2362204724409449" right="0.2362204724409449" top="0.2362204724409449" bottom="0.35433070866141736" header="0.31496062992125984" footer="0.35433070866141736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="75" zoomScaleNormal="75" zoomScaleSheetLayoutView="75" zoomScalePageLayoutView="0" workbookViewId="0" topLeftCell="A1">
      <selection activeCell="C2" sqref="C2"/>
    </sheetView>
  </sheetViews>
  <sheetFormatPr defaultColWidth="8.875" defaultRowHeight="12.75"/>
  <cols>
    <col min="1" max="1" width="2.25390625" style="169" customWidth="1"/>
    <col min="2" max="2" width="3.75390625" style="169" customWidth="1"/>
    <col min="3" max="3" width="97.125" style="173" customWidth="1"/>
    <col min="4" max="4" width="18.25390625" style="449" customWidth="1"/>
    <col min="5" max="5" width="17.75390625" style="174" customWidth="1"/>
    <col min="6" max="6" width="5.75390625" style="169" customWidth="1"/>
    <col min="7" max="7" width="16.00390625" style="447" customWidth="1"/>
    <col min="8" max="8" width="14.75390625" style="169" customWidth="1"/>
    <col min="9" max="9" width="12.25390625" style="169" bestFit="1" customWidth="1"/>
    <col min="10" max="10" width="8.875" style="169" customWidth="1"/>
    <col min="11" max="12" width="11.25390625" style="169" bestFit="1" customWidth="1"/>
    <col min="13" max="16384" width="8.875" style="169" customWidth="1"/>
  </cols>
  <sheetData>
    <row r="1" spans="3:5" ht="15.75">
      <c r="C1" s="943" t="s">
        <v>708</v>
      </c>
      <c r="D1" s="943"/>
      <c r="E1" s="943"/>
    </row>
    <row r="3" spans="2:7" ht="15.75">
      <c r="B3" s="944" t="s">
        <v>544</v>
      </c>
      <c r="C3" s="944"/>
      <c r="D3" s="944"/>
      <c r="E3" s="944"/>
      <c r="F3" s="170"/>
      <c r="G3" s="448"/>
    </row>
    <row r="4" spans="2:7" ht="15.75">
      <c r="B4" s="442"/>
      <c r="C4" s="442"/>
      <c r="E4" s="450"/>
      <c r="F4" s="170"/>
      <c r="G4" s="448"/>
    </row>
    <row r="5" spans="2:7" ht="15.75">
      <c r="B5" s="442"/>
      <c r="C5" s="442"/>
      <c r="E5" s="450"/>
      <c r="F5" s="170"/>
      <c r="G5" s="448"/>
    </row>
    <row r="6" spans="2:7" ht="15.75">
      <c r="B6" s="171"/>
      <c r="C6" s="171"/>
      <c r="E6" s="451" t="s">
        <v>368</v>
      </c>
      <c r="F6" s="170"/>
      <c r="G6" s="448"/>
    </row>
    <row r="7" spans="1:7" s="452" customFormat="1" ht="15.75">
      <c r="A7" s="945" t="s">
        <v>543</v>
      </c>
      <c r="B7" s="945"/>
      <c r="C7" s="945"/>
      <c r="D7" s="768"/>
      <c r="E7" s="769">
        <f>SUM(E8:E92)</f>
        <v>1446077075</v>
      </c>
      <c r="G7" s="453"/>
    </row>
    <row r="8" spans="1:5" ht="15.75">
      <c r="A8" s="770"/>
      <c r="B8" s="770"/>
      <c r="C8" s="772" t="s">
        <v>570</v>
      </c>
      <c r="D8" s="773"/>
      <c r="E8" s="771">
        <f>45670000-988945+28143218-12829518</f>
        <v>59994755</v>
      </c>
    </row>
    <row r="9" spans="1:5" ht="15.75">
      <c r="A9" s="774"/>
      <c r="B9" s="772"/>
      <c r="C9" s="772" t="s">
        <v>571</v>
      </c>
      <c r="D9" s="771"/>
      <c r="E9" s="771">
        <f>150000000-891540-147190353</f>
        <v>1918107</v>
      </c>
    </row>
    <row r="10" spans="1:5" ht="15.75">
      <c r="A10" s="774"/>
      <c r="B10" s="772"/>
      <c r="C10" s="772" t="s">
        <v>651</v>
      </c>
      <c r="D10" s="771"/>
      <c r="E10" s="771">
        <v>253334274</v>
      </c>
    </row>
    <row r="11" spans="1:5" ht="15.75">
      <c r="A11" s="775"/>
      <c r="B11" s="775"/>
      <c r="C11" s="772" t="s">
        <v>572</v>
      </c>
      <c r="D11" s="771"/>
      <c r="E11" s="771">
        <f>SUM(D12+D13+D14+D19+D20+D21+D22+D23+D24+D25+D26+D27+D28+D29+D30+D31+D32+D33+D34+D35)</f>
        <v>669122248</v>
      </c>
    </row>
    <row r="12" spans="1:7" s="455" customFormat="1" ht="15.75">
      <c r="A12" s="775"/>
      <c r="B12" s="775"/>
      <c r="C12" s="776" t="s">
        <v>573</v>
      </c>
      <c r="D12" s="777">
        <v>15000000</v>
      </c>
      <c r="E12" s="778"/>
      <c r="G12" s="174"/>
    </row>
    <row r="13" spans="1:5" ht="15.75">
      <c r="A13" s="775"/>
      <c r="B13" s="775"/>
      <c r="C13" s="776" t="s">
        <v>574</v>
      </c>
      <c r="D13" s="777"/>
      <c r="E13" s="778"/>
    </row>
    <row r="14" spans="1:5" ht="15.75">
      <c r="A14" s="774"/>
      <c r="B14" s="772"/>
      <c r="C14" s="776" t="s">
        <v>575</v>
      </c>
      <c r="D14" s="777">
        <v>490037000</v>
      </c>
      <c r="E14" s="778"/>
    </row>
    <row r="15" spans="1:5" ht="15.75">
      <c r="A15" s="774"/>
      <c r="B15" s="772"/>
      <c r="C15" s="776" t="s">
        <v>576</v>
      </c>
      <c r="D15" s="777">
        <v>16675248</v>
      </c>
      <c r="E15" s="778"/>
    </row>
    <row r="16" spans="1:5" ht="15.75">
      <c r="A16" s="774"/>
      <c r="B16" s="772"/>
      <c r="C16" s="776" t="s">
        <v>577</v>
      </c>
      <c r="D16" s="777">
        <v>16256000</v>
      </c>
      <c r="E16" s="778"/>
    </row>
    <row r="17" spans="1:5" ht="15.75">
      <c r="A17" s="774"/>
      <c r="B17" s="772"/>
      <c r="C17" s="776" t="s">
        <v>578</v>
      </c>
      <c r="D17" s="777">
        <v>1905000</v>
      </c>
      <c r="E17" s="778"/>
    </row>
    <row r="18" spans="1:5" ht="15.75">
      <c r="A18" s="774"/>
      <c r="B18" s="772"/>
      <c r="C18" s="776" t="s">
        <v>656</v>
      </c>
      <c r="D18" s="780">
        <v>358433581</v>
      </c>
      <c r="E18" s="781"/>
    </row>
    <row r="19" spans="1:5" ht="15.75">
      <c r="A19" s="774"/>
      <c r="B19" s="772"/>
      <c r="C19" s="776" t="s">
        <v>579</v>
      </c>
      <c r="D19" s="777">
        <v>12954000</v>
      </c>
      <c r="E19" s="778"/>
    </row>
    <row r="20" spans="1:5" ht="15.75">
      <c r="A20" s="775"/>
      <c r="B20" s="775"/>
      <c r="C20" s="776" t="s">
        <v>580</v>
      </c>
      <c r="D20" s="777">
        <v>1286891</v>
      </c>
      <c r="E20" s="778"/>
    </row>
    <row r="21" spans="1:5" ht="15.75">
      <c r="A21" s="775"/>
      <c r="B21" s="775"/>
      <c r="C21" s="776" t="s">
        <v>581</v>
      </c>
      <c r="D21" s="777">
        <v>2565400</v>
      </c>
      <c r="E21" s="778"/>
    </row>
    <row r="22" spans="1:5" ht="15.75">
      <c r="A22" s="775"/>
      <c r="B22" s="775"/>
      <c r="C22" s="776" t="s">
        <v>582</v>
      </c>
      <c r="D22" s="777">
        <v>1663700</v>
      </c>
      <c r="E22" s="778"/>
    </row>
    <row r="23" spans="1:5" ht="15.75">
      <c r="A23" s="770"/>
      <c r="B23" s="772"/>
      <c r="C23" s="776" t="s">
        <v>583</v>
      </c>
      <c r="D23" s="777">
        <v>1441450</v>
      </c>
      <c r="E23" s="778"/>
    </row>
    <row r="24" spans="1:5" ht="15.75">
      <c r="A24" s="775"/>
      <c r="B24" s="772"/>
      <c r="C24" s="776" t="s">
        <v>584</v>
      </c>
      <c r="D24" s="777">
        <v>996950</v>
      </c>
      <c r="E24" s="778"/>
    </row>
    <row r="25" spans="1:5" ht="15.75">
      <c r="A25" s="775"/>
      <c r="B25" s="775"/>
      <c r="C25" s="776" t="s">
        <v>585</v>
      </c>
      <c r="D25" s="777">
        <v>825500</v>
      </c>
      <c r="E25" s="778"/>
    </row>
    <row r="26" spans="1:5" ht="15.75">
      <c r="A26" s="775"/>
      <c r="B26" s="772"/>
      <c r="C26" s="776" t="s">
        <v>586</v>
      </c>
      <c r="D26" s="777">
        <v>1066800</v>
      </c>
      <c r="E26" s="778"/>
    </row>
    <row r="27" spans="1:7" s="455" customFormat="1" ht="15.75">
      <c r="A27" s="775"/>
      <c r="B27" s="772"/>
      <c r="C27" s="779" t="s">
        <v>587</v>
      </c>
      <c r="D27" s="780">
        <v>6817360</v>
      </c>
      <c r="E27" s="778"/>
      <c r="G27" s="174"/>
    </row>
    <row r="28" spans="1:7" s="455" customFormat="1" ht="15.75">
      <c r="A28" s="775"/>
      <c r="B28" s="772"/>
      <c r="C28" s="776" t="s">
        <v>588</v>
      </c>
      <c r="D28" s="777">
        <v>5168900</v>
      </c>
      <c r="E28" s="778"/>
      <c r="G28" s="174"/>
    </row>
    <row r="29" spans="1:7" s="455" customFormat="1" ht="15.75">
      <c r="A29" s="775"/>
      <c r="B29" s="772"/>
      <c r="C29" s="776" t="s">
        <v>589</v>
      </c>
      <c r="D29" s="777">
        <v>2393950</v>
      </c>
      <c r="E29" s="778"/>
      <c r="G29" s="174"/>
    </row>
    <row r="30" spans="1:7" s="455" customFormat="1" ht="15.75">
      <c r="A30" s="775"/>
      <c r="B30" s="772"/>
      <c r="C30" s="791" t="s">
        <v>545</v>
      </c>
      <c r="D30" s="777">
        <v>70000000</v>
      </c>
      <c r="E30" s="778"/>
      <c r="G30" s="174"/>
    </row>
    <row r="31" spans="1:5" ht="15.75">
      <c r="A31" s="770"/>
      <c r="B31" s="770"/>
      <c r="C31" s="776" t="s">
        <v>590</v>
      </c>
      <c r="D31" s="777">
        <v>4292600</v>
      </c>
      <c r="E31" s="778"/>
    </row>
    <row r="32" spans="1:6" ht="15.75">
      <c r="A32" s="774"/>
      <c r="B32" s="774"/>
      <c r="C32" s="776" t="s">
        <v>591</v>
      </c>
      <c r="D32" s="777">
        <v>4229100</v>
      </c>
      <c r="E32" s="778"/>
      <c r="F32" s="173"/>
    </row>
    <row r="33" spans="1:6" ht="15.75">
      <c r="A33" s="774"/>
      <c r="B33" s="774"/>
      <c r="C33" s="776" t="s">
        <v>592</v>
      </c>
      <c r="D33" s="777">
        <v>20000000</v>
      </c>
      <c r="E33" s="778"/>
      <c r="F33" s="173"/>
    </row>
    <row r="34" spans="1:6" ht="15.75">
      <c r="A34" s="774"/>
      <c r="B34" s="774"/>
      <c r="C34" s="776" t="s">
        <v>593</v>
      </c>
      <c r="D34" s="777">
        <v>16500000</v>
      </c>
      <c r="E34" s="778"/>
      <c r="F34" s="173"/>
    </row>
    <row r="35" spans="1:6" ht="15.75">
      <c r="A35" s="774"/>
      <c r="B35" s="774"/>
      <c r="C35" s="776" t="s">
        <v>594</v>
      </c>
      <c r="D35" s="773">
        <v>11882647</v>
      </c>
      <c r="E35" s="771"/>
      <c r="F35" s="173"/>
    </row>
    <row r="36" spans="1:6" ht="15.75">
      <c r="A36" s="774"/>
      <c r="B36" s="774"/>
      <c r="C36" s="772" t="s">
        <v>595</v>
      </c>
      <c r="D36" s="771"/>
      <c r="E36" s="771">
        <v>11256448</v>
      </c>
      <c r="F36" s="173"/>
    </row>
    <row r="37" spans="1:6" ht="15.75">
      <c r="A37" s="774"/>
      <c r="B37" s="774"/>
      <c r="C37" s="772" t="s">
        <v>596</v>
      </c>
      <c r="D37" s="782"/>
      <c r="E37" s="783">
        <v>14253732</v>
      </c>
      <c r="F37" s="173"/>
    </row>
    <row r="38" spans="1:6" ht="15.75">
      <c r="A38" s="774"/>
      <c r="B38" s="774"/>
      <c r="C38" s="772" t="s">
        <v>597</v>
      </c>
      <c r="D38" s="782"/>
      <c r="E38" s="783">
        <v>41152227</v>
      </c>
      <c r="F38" s="173"/>
    </row>
    <row r="39" spans="1:6" ht="15.75">
      <c r="A39" s="774"/>
      <c r="B39" s="774"/>
      <c r="C39" s="775" t="s">
        <v>598</v>
      </c>
      <c r="D39" s="784"/>
      <c r="E39" s="771">
        <v>4627836</v>
      </c>
      <c r="F39" s="173"/>
    </row>
    <row r="40" spans="1:6" ht="15.75">
      <c r="A40" s="774"/>
      <c r="B40" s="774"/>
      <c r="C40" s="775" t="s">
        <v>599</v>
      </c>
      <c r="D40" s="784"/>
      <c r="E40" s="771">
        <v>2700000</v>
      </c>
      <c r="F40" s="173"/>
    </row>
    <row r="41" spans="1:6" ht="15.75">
      <c r="A41" s="774"/>
      <c r="B41" s="774"/>
      <c r="C41" s="775" t="s">
        <v>653</v>
      </c>
      <c r="D41" s="784"/>
      <c r="E41" s="771">
        <v>12808117</v>
      </c>
      <c r="F41" s="173"/>
    </row>
    <row r="42" spans="1:6" ht="15.75">
      <c r="A42" s="774"/>
      <c r="B42" s="774"/>
      <c r="C42" s="775" t="s">
        <v>654</v>
      </c>
      <c r="D42" s="784"/>
      <c r="E42" s="771">
        <v>26860000</v>
      </c>
      <c r="F42" s="173"/>
    </row>
    <row r="43" spans="1:6" ht="15.75">
      <c r="A43" s="774"/>
      <c r="B43" s="774"/>
      <c r="C43" s="775" t="s">
        <v>600</v>
      </c>
      <c r="D43" s="784"/>
      <c r="E43" s="771">
        <v>60000</v>
      </c>
      <c r="F43" s="173"/>
    </row>
    <row r="44" spans="1:6" ht="15.75">
      <c r="A44" s="774"/>
      <c r="B44" s="774"/>
      <c r="C44" s="772" t="s">
        <v>601</v>
      </c>
      <c r="D44" s="771"/>
      <c r="E44" s="771">
        <v>10000000</v>
      </c>
      <c r="F44" s="173"/>
    </row>
    <row r="45" spans="1:6" ht="15.75">
      <c r="A45" s="774"/>
      <c r="B45" s="774"/>
      <c r="C45" s="785" t="s">
        <v>602</v>
      </c>
      <c r="D45" s="771"/>
      <c r="E45" s="771">
        <v>34043934</v>
      </c>
      <c r="F45" s="173"/>
    </row>
    <row r="46" spans="1:8" ht="15.75">
      <c r="A46" s="786"/>
      <c r="B46" s="786"/>
      <c r="C46" s="775" t="s">
        <v>603</v>
      </c>
      <c r="D46" s="771"/>
      <c r="E46" s="771">
        <v>10000000</v>
      </c>
      <c r="F46" s="456"/>
      <c r="G46" s="454"/>
      <c r="H46" s="172"/>
    </row>
    <row r="47" spans="1:5" ht="15.75">
      <c r="A47" s="774"/>
      <c r="B47" s="774"/>
      <c r="C47" s="775" t="s">
        <v>604</v>
      </c>
      <c r="D47" s="771"/>
      <c r="E47" s="771">
        <v>1437640</v>
      </c>
    </row>
    <row r="48" spans="1:5" ht="15.75">
      <c r="A48" s="774"/>
      <c r="B48" s="774"/>
      <c r="C48" s="772" t="s">
        <v>605</v>
      </c>
      <c r="D48" s="771"/>
      <c r="E48" s="787">
        <v>1154000</v>
      </c>
    </row>
    <row r="49" spans="1:5" ht="15.75">
      <c r="A49" s="774"/>
      <c r="B49" s="774"/>
      <c r="C49" s="772" t="s">
        <v>606</v>
      </c>
      <c r="D49" s="771"/>
      <c r="E49" s="787">
        <v>2344000</v>
      </c>
    </row>
    <row r="50" spans="1:5" ht="15.75">
      <c r="A50" s="774"/>
      <c r="B50" s="774"/>
      <c r="C50" s="772" t="s">
        <v>607</v>
      </c>
      <c r="D50" s="771"/>
      <c r="E50" s="787">
        <v>2032000</v>
      </c>
    </row>
    <row r="51" spans="1:5" ht="15.75">
      <c r="A51" s="774"/>
      <c r="B51" s="774"/>
      <c r="C51" s="772" t="s">
        <v>608</v>
      </c>
      <c r="D51" s="771"/>
      <c r="E51" s="787">
        <v>1778000</v>
      </c>
    </row>
    <row r="52" spans="1:5" ht="15.75">
      <c r="A52" s="774"/>
      <c r="B52" s="774"/>
      <c r="C52" s="772" t="s">
        <v>609</v>
      </c>
      <c r="D52" s="771"/>
      <c r="E52" s="788">
        <v>1524000</v>
      </c>
    </row>
    <row r="53" spans="1:5" ht="15.75">
      <c r="A53" s="774"/>
      <c r="B53" s="774"/>
      <c r="C53" s="772" t="s">
        <v>610</v>
      </c>
      <c r="D53" s="771"/>
      <c r="E53" s="787">
        <v>122708</v>
      </c>
    </row>
    <row r="54" spans="1:5" ht="15.75">
      <c r="A54" s="774"/>
      <c r="B54" s="774"/>
      <c r="C54" s="772" t="s">
        <v>611</v>
      </c>
      <c r="D54" s="771"/>
      <c r="E54" s="787">
        <v>14932560</v>
      </c>
    </row>
    <row r="55" spans="1:8" s="172" customFormat="1" ht="15.75">
      <c r="A55" s="774"/>
      <c r="B55" s="774"/>
      <c r="C55" s="772" t="s">
        <v>612</v>
      </c>
      <c r="D55" s="771"/>
      <c r="E55" s="771">
        <f>8287702-1168400</f>
        <v>7119302</v>
      </c>
      <c r="F55" s="169"/>
      <c r="G55" s="447"/>
      <c r="H55" s="169"/>
    </row>
    <row r="56" spans="1:5" ht="15.75">
      <c r="A56" s="774"/>
      <c r="B56" s="774"/>
      <c r="C56" s="772" t="s">
        <v>613</v>
      </c>
      <c r="D56" s="771"/>
      <c r="E56" s="787">
        <v>7599998</v>
      </c>
    </row>
    <row r="57" spans="1:5" ht="15.75">
      <c r="A57" s="774"/>
      <c r="B57" s="774"/>
      <c r="C57" s="772" t="s">
        <v>614</v>
      </c>
      <c r="D57" s="771"/>
      <c r="E57" s="787">
        <v>7534656</v>
      </c>
    </row>
    <row r="58" spans="1:5" ht="15.75">
      <c r="A58" s="774"/>
      <c r="B58" s="774"/>
      <c r="C58" s="772" t="s">
        <v>615</v>
      </c>
      <c r="D58" s="771"/>
      <c r="E58" s="771">
        <f>8169021-1320800</f>
        <v>6848221</v>
      </c>
    </row>
    <row r="59" spans="1:5" ht="15.75">
      <c r="A59" s="774"/>
      <c r="B59" s="774"/>
      <c r="C59" s="772" t="s">
        <v>616</v>
      </c>
      <c r="D59" s="771"/>
      <c r="E59" s="787">
        <v>2497869</v>
      </c>
    </row>
    <row r="60" spans="1:5" ht="15.75">
      <c r="A60" s="774"/>
      <c r="B60" s="774"/>
      <c r="C60" s="772" t="s">
        <v>617</v>
      </c>
      <c r="D60" s="771"/>
      <c r="E60" s="787">
        <v>1425600</v>
      </c>
    </row>
    <row r="61" spans="1:5" ht="15.75">
      <c r="A61" s="774"/>
      <c r="B61" s="774"/>
      <c r="C61" s="772" t="s">
        <v>618</v>
      </c>
      <c r="D61" s="771"/>
      <c r="E61" s="787">
        <v>3000000</v>
      </c>
    </row>
    <row r="62" spans="1:5" ht="15.75">
      <c r="A62" s="774"/>
      <c r="B62" s="774"/>
      <c r="C62" s="774" t="s">
        <v>619</v>
      </c>
      <c r="D62" s="771"/>
      <c r="E62" s="787">
        <v>8000000</v>
      </c>
    </row>
    <row r="63" spans="1:5" ht="15.75">
      <c r="A63" s="774"/>
      <c r="B63" s="774"/>
      <c r="C63" s="774" t="s">
        <v>620</v>
      </c>
      <c r="D63" s="771"/>
      <c r="E63" s="787">
        <v>6351053</v>
      </c>
    </row>
    <row r="64" spans="1:5" ht="15.75">
      <c r="A64" s="774"/>
      <c r="B64" s="774"/>
      <c r="C64" s="772" t="s">
        <v>621</v>
      </c>
      <c r="D64" s="771"/>
      <c r="E64" s="787">
        <v>8958975</v>
      </c>
    </row>
    <row r="65" spans="1:5" ht="15.75">
      <c r="A65" s="774"/>
      <c r="B65" s="774"/>
      <c r="C65" s="774" t="s">
        <v>622</v>
      </c>
      <c r="D65" s="771"/>
      <c r="E65" s="787">
        <v>1000000</v>
      </c>
    </row>
    <row r="66" spans="1:5" ht="15.75">
      <c r="A66" s="774"/>
      <c r="B66" s="774"/>
      <c r="C66" s="774" t="s">
        <v>623</v>
      </c>
      <c r="D66" s="771"/>
      <c r="E66" s="787">
        <v>4787861</v>
      </c>
    </row>
    <row r="67" spans="1:5" ht="15.75">
      <c r="A67" s="774"/>
      <c r="B67" s="774"/>
      <c r="C67" s="774" t="s">
        <v>624</v>
      </c>
      <c r="D67" s="771"/>
      <c r="E67" s="787">
        <v>384048</v>
      </c>
    </row>
    <row r="68" spans="1:5" ht="15.75">
      <c r="A68" s="774"/>
      <c r="B68" s="774"/>
      <c r="C68" s="774" t="s">
        <v>625</v>
      </c>
      <c r="D68" s="771"/>
      <c r="E68" s="787">
        <v>111111</v>
      </c>
    </row>
    <row r="69" spans="1:5" ht="15.75">
      <c r="A69" s="774"/>
      <c r="B69" s="774"/>
      <c r="C69" s="770" t="s">
        <v>655</v>
      </c>
      <c r="D69" s="771"/>
      <c r="E69" s="768">
        <v>54987766</v>
      </c>
    </row>
    <row r="70" spans="1:5" ht="15.75">
      <c r="A70" s="774"/>
      <c r="B70" s="774"/>
      <c r="C70" s="772" t="s">
        <v>626</v>
      </c>
      <c r="D70" s="771"/>
      <c r="E70" s="787">
        <v>24000000</v>
      </c>
    </row>
    <row r="71" spans="1:5" ht="15.75">
      <c r="A71" s="774"/>
      <c r="B71" s="774"/>
      <c r="C71" s="772" t="s">
        <v>627</v>
      </c>
      <c r="D71" s="774"/>
      <c r="E71" s="782">
        <v>13666616</v>
      </c>
    </row>
    <row r="72" spans="1:5" ht="15.75">
      <c r="A72" s="774"/>
      <c r="B72" s="774"/>
      <c r="C72" s="772" t="s">
        <v>628</v>
      </c>
      <c r="D72" s="771"/>
      <c r="E72" s="787">
        <v>317500</v>
      </c>
    </row>
    <row r="73" spans="1:5" ht="15.75">
      <c r="A73" s="774"/>
      <c r="B73" s="774"/>
      <c r="C73" s="770" t="s">
        <v>546</v>
      </c>
      <c r="D73" s="768"/>
      <c r="E73" s="771">
        <v>80000000</v>
      </c>
    </row>
    <row r="74" spans="1:5" ht="15.75">
      <c r="A74" s="774"/>
      <c r="B74" s="774"/>
      <c r="C74" s="774" t="s">
        <v>629</v>
      </c>
      <c r="D74" s="771"/>
      <c r="E74" s="787">
        <v>1932242</v>
      </c>
    </row>
    <row r="75" spans="1:5" ht="15.75">
      <c r="A75" s="774"/>
      <c r="B75" s="774"/>
      <c r="C75" s="774" t="s">
        <v>630</v>
      </c>
      <c r="D75" s="771"/>
      <c r="E75" s="787">
        <v>8946900</v>
      </c>
    </row>
    <row r="76" spans="1:5" ht="15.75">
      <c r="A76" s="774"/>
      <c r="B76" s="774"/>
      <c r="C76" s="774" t="s">
        <v>645</v>
      </c>
      <c r="D76" s="771"/>
      <c r="E76" s="787">
        <v>2500000</v>
      </c>
    </row>
    <row r="77" spans="1:5" ht="15.75">
      <c r="A77" s="774"/>
      <c r="B77" s="774"/>
      <c r="C77" s="774" t="s">
        <v>631</v>
      </c>
      <c r="D77" s="771"/>
      <c r="E77" s="787">
        <v>1500000</v>
      </c>
    </row>
    <row r="78" spans="1:5" ht="15.75">
      <c r="A78" s="774"/>
      <c r="B78" s="774"/>
      <c r="C78" s="774" t="s">
        <v>632</v>
      </c>
      <c r="D78" s="771"/>
      <c r="E78" s="787">
        <v>7221000</v>
      </c>
    </row>
    <row r="79" spans="1:5" ht="15.75">
      <c r="A79" s="774"/>
      <c r="B79" s="774"/>
      <c r="C79" s="774" t="s">
        <v>633</v>
      </c>
      <c r="D79" s="771">
        <v>1200000</v>
      </c>
      <c r="E79" s="787"/>
    </row>
    <row r="80" spans="1:5" ht="15.75">
      <c r="A80" s="774"/>
      <c r="B80" s="774"/>
      <c r="C80" s="774" t="s">
        <v>634</v>
      </c>
      <c r="D80" s="771">
        <v>1000000</v>
      </c>
      <c r="E80" s="787"/>
    </row>
    <row r="81" spans="1:5" ht="15.75">
      <c r="A81" s="774"/>
      <c r="B81" s="774"/>
      <c r="C81" s="774" t="s">
        <v>635</v>
      </c>
      <c r="D81" s="771">
        <v>600000</v>
      </c>
      <c r="E81" s="787"/>
    </row>
    <row r="82" spans="1:5" ht="15.75">
      <c r="A82" s="774"/>
      <c r="B82" s="774"/>
      <c r="C82" s="774" t="s">
        <v>636</v>
      </c>
      <c r="D82" s="771">
        <v>1400000</v>
      </c>
      <c r="E82" s="787"/>
    </row>
    <row r="83" spans="1:5" ht="15.75">
      <c r="A83" s="774"/>
      <c r="B83" s="774"/>
      <c r="C83" s="774" t="s">
        <v>637</v>
      </c>
      <c r="D83" s="771">
        <v>1421000</v>
      </c>
      <c r="E83" s="787"/>
    </row>
    <row r="84" spans="1:5" ht="15.75">
      <c r="A84" s="774"/>
      <c r="B84" s="774"/>
      <c r="C84" s="774" t="s">
        <v>638</v>
      </c>
      <c r="D84" s="771">
        <v>91400</v>
      </c>
      <c r="E84" s="787"/>
    </row>
    <row r="85" spans="1:5" ht="15.75">
      <c r="A85" s="774"/>
      <c r="B85" s="774"/>
      <c r="C85" s="774" t="s">
        <v>639</v>
      </c>
      <c r="D85" s="771">
        <v>908600</v>
      </c>
      <c r="E85" s="787"/>
    </row>
    <row r="86" spans="1:5" ht="15.75">
      <c r="A86" s="774"/>
      <c r="B86" s="774"/>
      <c r="C86" s="774" t="s">
        <v>640</v>
      </c>
      <c r="D86" s="771">
        <v>600000</v>
      </c>
      <c r="E86" s="787"/>
    </row>
    <row r="87" spans="1:5" ht="15.75">
      <c r="A87" s="774"/>
      <c r="B87" s="774"/>
      <c r="C87" s="772" t="s">
        <v>641</v>
      </c>
      <c r="D87" s="771"/>
      <c r="E87" s="787">
        <v>60000</v>
      </c>
    </row>
    <row r="88" spans="1:5" ht="15.75">
      <c r="A88" s="774"/>
      <c r="B88" s="774"/>
      <c r="C88" s="774" t="s">
        <v>642</v>
      </c>
      <c r="D88" s="771"/>
      <c r="E88" s="787">
        <v>618563</v>
      </c>
    </row>
    <row r="89" spans="1:5" ht="15.75">
      <c r="A89" s="774"/>
      <c r="B89" s="774"/>
      <c r="C89" s="774" t="s">
        <v>643</v>
      </c>
      <c r="D89" s="771"/>
      <c r="E89" s="787">
        <v>4045735</v>
      </c>
    </row>
    <row r="90" spans="1:5" ht="15.75">
      <c r="A90" s="774"/>
      <c r="B90" s="774"/>
      <c r="C90" s="774" t="s">
        <v>644</v>
      </c>
      <c r="D90" s="771"/>
      <c r="E90" s="787">
        <v>508599</v>
      </c>
    </row>
    <row r="91" spans="1:5" ht="15.75">
      <c r="A91" s="774"/>
      <c r="B91" s="774"/>
      <c r="C91" s="774" t="s">
        <v>652</v>
      </c>
      <c r="D91" s="771"/>
      <c r="E91" s="787">
        <v>500000</v>
      </c>
    </row>
    <row r="92" spans="1:5" ht="15.75">
      <c r="A92" s="774"/>
      <c r="B92" s="774"/>
      <c r="C92" s="774" t="s">
        <v>646</v>
      </c>
      <c r="D92" s="771"/>
      <c r="E92" s="787">
        <v>2196874</v>
      </c>
    </row>
  </sheetData>
  <sheetProtection/>
  <mergeCells count="3">
    <mergeCell ref="C1:E1"/>
    <mergeCell ref="B3:E3"/>
    <mergeCell ref="A7:C7"/>
  </mergeCells>
  <printOptions horizontalCentered="1"/>
  <pageMargins left="0.15748031496062992" right="0.86" top="0.53" bottom="0.59" header="0.4330708661417323" footer="0.29"/>
  <pageSetup horizontalDpi="600" verticalDpi="600" orientation="portrait" paperSize="8" scale="67" r:id="rId2"/>
  <headerFooter alignWithMargins="0">
    <oddFooter>&amp;C&amp;P. oldal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zoomScale="60" zoomScaleNormal="60" zoomScalePageLayoutView="0" workbookViewId="0" topLeftCell="A1">
      <selection activeCell="B2" sqref="B2"/>
    </sheetView>
  </sheetViews>
  <sheetFormatPr defaultColWidth="9.00390625" defaultRowHeight="12.75"/>
  <cols>
    <col min="1" max="1" width="2.75390625" style="175" customWidth="1"/>
    <col min="2" max="2" width="87.125" style="175" customWidth="1"/>
    <col min="3" max="3" width="22.375" style="177" customWidth="1"/>
    <col min="4" max="4" width="10.125" style="164" bestFit="1" customWidth="1"/>
    <col min="5" max="5" width="11.75390625" style="164" bestFit="1" customWidth="1"/>
    <col min="6" max="16384" width="9.125" style="164" customWidth="1"/>
  </cols>
  <sheetData>
    <row r="1" spans="1:4" ht="20.25" customHeight="1">
      <c r="A1" s="429"/>
      <c r="B1" s="949" t="s">
        <v>709</v>
      </c>
      <c r="C1" s="949"/>
      <c r="D1" s="257"/>
    </row>
    <row r="2" spans="1:3" ht="20.25" customHeight="1">
      <c r="A2" s="429"/>
      <c r="B2" s="430"/>
      <c r="C2" s="430"/>
    </row>
    <row r="3" spans="1:3" ht="15">
      <c r="A3" s="429"/>
      <c r="B3" s="431"/>
      <c r="C3" s="432"/>
    </row>
    <row r="4" spans="1:5" ht="15.75">
      <c r="A4" s="429"/>
      <c r="B4" s="946" t="s">
        <v>548</v>
      </c>
      <c r="C4" s="946"/>
      <c r="D4" s="176"/>
      <c r="E4" s="176"/>
    </row>
    <row r="5" spans="1:5" ht="15.75">
      <c r="A5" s="429"/>
      <c r="B5" s="433"/>
      <c r="C5" s="433"/>
      <c r="D5" s="176"/>
      <c r="E5" s="176"/>
    </row>
    <row r="6" spans="1:5" ht="15.75">
      <c r="A6" s="429"/>
      <c r="B6" s="433"/>
      <c r="C6" s="433"/>
      <c r="D6" s="176"/>
      <c r="E6" s="176"/>
    </row>
    <row r="7" spans="1:5" ht="15.75">
      <c r="A7" s="429"/>
      <c r="B7" s="434"/>
      <c r="C7" s="433"/>
      <c r="D7" s="176"/>
      <c r="E7" s="176"/>
    </row>
    <row r="8" spans="1:5" ht="15.75">
      <c r="A8" s="429"/>
      <c r="B8" s="433"/>
      <c r="C8" s="435" t="s">
        <v>368</v>
      </c>
      <c r="D8" s="137"/>
      <c r="E8" s="137"/>
    </row>
    <row r="9" spans="1:3" ht="33.75" customHeight="1">
      <c r="A9" s="947" t="s">
        <v>556</v>
      </c>
      <c r="B9" s="948"/>
      <c r="C9" s="436">
        <f>SUM(C10:C11)</f>
        <v>27457874</v>
      </c>
    </row>
    <row r="10" spans="1:3" s="134" customFormat="1" ht="15">
      <c r="A10" s="647"/>
      <c r="B10" s="648" t="s">
        <v>547</v>
      </c>
      <c r="C10" s="597">
        <v>1500000</v>
      </c>
    </row>
    <row r="11" spans="1:3" s="429" customFormat="1" ht="15" customHeight="1">
      <c r="A11" s="789"/>
      <c r="B11" s="790" t="s">
        <v>647</v>
      </c>
      <c r="C11" s="479">
        <v>25957874</v>
      </c>
    </row>
  </sheetData>
  <sheetProtection/>
  <mergeCells count="3">
    <mergeCell ref="B4:C4"/>
    <mergeCell ref="A9:B9"/>
    <mergeCell ref="B1:C1"/>
  </mergeCells>
  <printOptions horizontalCentered="1"/>
  <pageMargins left="0.35" right="0.28" top="1.13" bottom="0.47" header="0.94" footer="0.5118110236220472"/>
  <pageSetup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workbookViewId="0" topLeftCell="A1">
      <selection activeCell="A2" sqref="A2"/>
    </sheetView>
  </sheetViews>
  <sheetFormatPr defaultColWidth="9.00390625" defaultRowHeight="12.75"/>
  <cols>
    <col min="1" max="1" width="12.00390625" style="792" customWidth="1"/>
    <col min="2" max="2" width="57.375" style="792" customWidth="1"/>
    <col min="3" max="3" width="11.875" style="792" customWidth="1"/>
    <col min="4" max="5" width="9.00390625" style="792" bestFit="1" customWidth="1"/>
    <col min="6" max="6" width="10.375" style="792" customWidth="1"/>
    <col min="7" max="7" width="9.00390625" style="792" bestFit="1" customWidth="1"/>
    <col min="8" max="9" width="10.125" style="792" bestFit="1" customWidth="1"/>
    <col min="10" max="16384" width="9.125" style="792" customWidth="1"/>
  </cols>
  <sheetData>
    <row r="1" spans="1:9" ht="12.75">
      <c r="A1" s="953" t="s">
        <v>710</v>
      </c>
      <c r="B1" s="953"/>
      <c r="C1" s="953"/>
      <c r="D1" s="953"/>
      <c r="E1" s="953"/>
      <c r="F1" s="953"/>
      <c r="G1" s="953"/>
      <c r="H1" s="953"/>
      <c r="I1" s="953"/>
    </row>
    <row r="2" ht="12.75">
      <c r="A2" s="793"/>
    </row>
    <row r="3" spans="1:9" ht="12.75">
      <c r="A3" s="950" t="s">
        <v>657</v>
      </c>
      <c r="B3" s="950"/>
      <c r="C3" s="950"/>
      <c r="D3" s="950"/>
      <c r="E3" s="950"/>
      <c r="F3" s="950"/>
      <c r="G3" s="950"/>
      <c r="H3" s="950"/>
      <c r="I3" s="950"/>
    </row>
    <row r="5" spans="1:9" ht="69" customHeight="1">
      <c r="A5" s="794" t="s">
        <v>658</v>
      </c>
      <c r="B5" s="794" t="s">
        <v>659</v>
      </c>
      <c r="C5" s="794" t="s">
        <v>660</v>
      </c>
      <c r="D5" s="794" t="s">
        <v>661</v>
      </c>
      <c r="E5" s="795" t="s">
        <v>662</v>
      </c>
      <c r="F5" s="795" t="s">
        <v>663</v>
      </c>
      <c r="G5" s="794" t="s">
        <v>664</v>
      </c>
      <c r="H5" s="794" t="s">
        <v>665</v>
      </c>
      <c r="I5" s="794" t="s">
        <v>666</v>
      </c>
    </row>
    <row r="6" spans="1:9" s="793" customFormat="1" ht="36" customHeight="1">
      <c r="A6" s="796" t="s">
        <v>667</v>
      </c>
      <c r="B6" s="796" t="s">
        <v>668</v>
      </c>
      <c r="C6" s="797">
        <v>1451862</v>
      </c>
      <c r="D6" s="797">
        <v>0</v>
      </c>
      <c r="E6" s="798">
        <v>0</v>
      </c>
      <c r="F6" s="798">
        <v>37817</v>
      </c>
      <c r="G6" s="797">
        <v>0</v>
      </c>
      <c r="H6" s="797">
        <v>170158</v>
      </c>
      <c r="I6" s="797">
        <v>207975</v>
      </c>
    </row>
    <row r="7" spans="1:9" s="801" customFormat="1" ht="46.5" customHeight="1">
      <c r="A7" s="799" t="s">
        <v>669</v>
      </c>
      <c r="B7" s="799" t="s">
        <v>670</v>
      </c>
      <c r="C7" s="800">
        <v>914084</v>
      </c>
      <c r="D7" s="800">
        <v>184683</v>
      </c>
      <c r="E7" s="800">
        <v>28338</v>
      </c>
      <c r="F7" s="800">
        <v>43713</v>
      </c>
      <c r="G7" s="800">
        <v>0</v>
      </c>
      <c r="H7" s="800">
        <v>270866</v>
      </c>
      <c r="I7" s="800">
        <v>342917</v>
      </c>
    </row>
    <row r="8" spans="1:9" s="793" customFormat="1" ht="42" customHeight="1">
      <c r="A8" s="796" t="s">
        <v>671</v>
      </c>
      <c r="B8" s="796" t="s">
        <v>693</v>
      </c>
      <c r="C8" s="797">
        <v>32111</v>
      </c>
      <c r="D8" s="797">
        <v>3211</v>
      </c>
      <c r="E8" s="798">
        <v>3059</v>
      </c>
      <c r="F8" s="798">
        <v>0</v>
      </c>
      <c r="G8" s="797">
        <v>0</v>
      </c>
      <c r="H8" s="797">
        <v>27528</v>
      </c>
      <c r="I8" s="797">
        <v>30587</v>
      </c>
    </row>
    <row r="9" spans="1:9" s="793" customFormat="1" ht="51" customHeight="1">
      <c r="A9" s="796" t="s">
        <v>672</v>
      </c>
      <c r="B9" s="796" t="s">
        <v>673</v>
      </c>
      <c r="C9" s="797">
        <v>352784</v>
      </c>
      <c r="D9" s="797">
        <v>52918</v>
      </c>
      <c r="E9" s="798">
        <v>4752</v>
      </c>
      <c r="F9" s="798">
        <v>0</v>
      </c>
      <c r="G9" s="797">
        <v>0</v>
      </c>
      <c r="H9" s="797">
        <v>26932</v>
      </c>
      <c r="I9" s="797">
        <v>31684</v>
      </c>
    </row>
    <row r="10" spans="1:9" s="793" customFormat="1" ht="51" customHeight="1">
      <c r="A10" s="796" t="s">
        <v>674</v>
      </c>
      <c r="B10" s="796" t="s">
        <v>675</v>
      </c>
      <c r="C10" s="797">
        <v>55222</v>
      </c>
      <c r="D10" s="797">
        <v>8283</v>
      </c>
      <c r="E10" s="798">
        <v>8283</v>
      </c>
      <c r="F10" s="798">
        <v>0</v>
      </c>
      <c r="G10" s="797">
        <v>0</v>
      </c>
      <c r="H10" s="797">
        <v>46939</v>
      </c>
      <c r="I10" s="797">
        <v>55222</v>
      </c>
    </row>
    <row r="11" spans="1:9" s="793" customFormat="1" ht="48" customHeight="1">
      <c r="A11" s="796" t="s">
        <v>676</v>
      </c>
      <c r="B11" s="796" t="s">
        <v>677</v>
      </c>
      <c r="C11" s="797">
        <v>169447</v>
      </c>
      <c r="D11" s="797">
        <v>36346</v>
      </c>
      <c r="E11" s="798">
        <v>34879</v>
      </c>
      <c r="F11" s="798">
        <v>0</v>
      </c>
      <c r="G11" s="797">
        <v>0</v>
      </c>
      <c r="H11" s="797">
        <v>127726</v>
      </c>
      <c r="I11" s="797">
        <v>162605</v>
      </c>
    </row>
    <row r="12" spans="1:9" s="793" customFormat="1" ht="40.5" customHeight="1">
      <c r="A12" s="796" t="s">
        <v>678</v>
      </c>
      <c r="B12" s="796" t="s">
        <v>679</v>
      </c>
      <c r="C12" s="797">
        <v>126243</v>
      </c>
      <c r="D12" s="797">
        <v>6312</v>
      </c>
      <c r="E12" s="798">
        <v>2201</v>
      </c>
      <c r="F12" s="798">
        <v>0</v>
      </c>
      <c r="G12" s="797">
        <v>0</v>
      </c>
      <c r="H12" s="797">
        <v>41830</v>
      </c>
      <c r="I12" s="797">
        <v>44031</v>
      </c>
    </row>
    <row r="13" spans="1:9" s="793" customFormat="1" ht="30" customHeight="1">
      <c r="A13" s="796" t="s">
        <v>680</v>
      </c>
      <c r="B13" s="796" t="s">
        <v>681</v>
      </c>
      <c r="C13" s="797">
        <v>732656</v>
      </c>
      <c r="D13" s="797">
        <v>109898</v>
      </c>
      <c r="E13" s="798">
        <v>104451</v>
      </c>
      <c r="F13" s="798">
        <v>0</v>
      </c>
      <c r="G13" s="797">
        <v>0</v>
      </c>
      <c r="H13" s="797">
        <v>591893</v>
      </c>
      <c r="I13" s="797">
        <v>696344</v>
      </c>
    </row>
    <row r="14" spans="1:9" s="793" customFormat="1" ht="58.5" customHeight="1">
      <c r="A14" s="802" t="s">
        <v>682</v>
      </c>
      <c r="B14" s="796" t="s">
        <v>683</v>
      </c>
      <c r="C14" s="797">
        <v>2561461</v>
      </c>
      <c r="D14" s="797">
        <v>295958</v>
      </c>
      <c r="E14" s="798">
        <v>0</v>
      </c>
      <c r="F14" s="798">
        <v>103767</v>
      </c>
      <c r="G14" s="797">
        <v>0</v>
      </c>
      <c r="H14" s="797">
        <v>794316</v>
      </c>
      <c r="I14" s="797">
        <v>898083</v>
      </c>
    </row>
    <row r="15" spans="1:9" s="793" customFormat="1" ht="30.75" customHeight="1">
      <c r="A15" s="796" t="s">
        <v>684</v>
      </c>
      <c r="B15" s="796" t="s">
        <v>685</v>
      </c>
      <c r="C15" s="797">
        <v>269750</v>
      </c>
      <c r="D15" s="797">
        <v>0</v>
      </c>
      <c r="E15" s="798">
        <v>0</v>
      </c>
      <c r="F15" s="798">
        <v>0</v>
      </c>
      <c r="G15" s="797">
        <v>0</v>
      </c>
      <c r="H15" s="797">
        <v>241896</v>
      </c>
      <c r="I15" s="797">
        <v>241896</v>
      </c>
    </row>
    <row r="16" spans="1:9" s="793" customFormat="1" ht="30.75" customHeight="1">
      <c r="A16" s="796" t="s">
        <v>686</v>
      </c>
      <c r="B16" s="796" t="s">
        <v>687</v>
      </c>
      <c r="C16" s="797">
        <v>21992</v>
      </c>
      <c r="D16" s="797">
        <v>0</v>
      </c>
      <c r="E16" s="798">
        <v>0</v>
      </c>
      <c r="F16" s="798">
        <v>0</v>
      </c>
      <c r="G16" s="797">
        <v>0</v>
      </c>
      <c r="H16" s="797">
        <v>21992</v>
      </c>
      <c r="I16" s="797">
        <v>21992</v>
      </c>
    </row>
    <row r="17" spans="1:9" s="793" customFormat="1" ht="45" customHeight="1">
      <c r="A17" s="796" t="s">
        <v>688</v>
      </c>
      <c r="B17" s="796" t="s">
        <v>689</v>
      </c>
      <c r="C17" s="797">
        <v>54460</v>
      </c>
      <c r="D17" s="797">
        <v>8169</v>
      </c>
      <c r="E17" s="798">
        <v>8169</v>
      </c>
      <c r="F17" s="798">
        <v>0</v>
      </c>
      <c r="G17" s="797">
        <v>0</v>
      </c>
      <c r="H17" s="797">
        <v>46291</v>
      </c>
      <c r="I17" s="797">
        <v>54460</v>
      </c>
    </row>
    <row r="18" spans="1:9" s="793" customFormat="1" ht="45" customHeight="1">
      <c r="A18" s="796" t="s">
        <v>690</v>
      </c>
      <c r="B18" s="796" t="s">
        <v>691</v>
      </c>
      <c r="C18" s="797">
        <v>55251</v>
      </c>
      <c r="D18" s="797">
        <v>8288</v>
      </c>
      <c r="E18" s="798">
        <v>8288</v>
      </c>
      <c r="F18" s="798">
        <v>0</v>
      </c>
      <c r="G18" s="797">
        <v>0</v>
      </c>
      <c r="H18" s="797">
        <v>46963</v>
      </c>
      <c r="I18" s="797">
        <v>55251</v>
      </c>
    </row>
    <row r="19" spans="1:9" ht="18" customHeight="1">
      <c r="A19" s="951" t="s">
        <v>692</v>
      </c>
      <c r="B19" s="952"/>
      <c r="C19" s="803">
        <f>SUM(C6:C18)</f>
        <v>6797323</v>
      </c>
      <c r="D19" s="803">
        <f aca="true" t="shared" si="0" ref="D19:I19">SUM(D6:D18)</f>
        <v>714066</v>
      </c>
      <c r="E19" s="803">
        <f t="shared" si="0"/>
        <v>202420</v>
      </c>
      <c r="F19" s="803">
        <f t="shared" si="0"/>
        <v>185297</v>
      </c>
      <c r="G19" s="803">
        <f t="shared" si="0"/>
        <v>0</v>
      </c>
      <c r="H19" s="803">
        <f t="shared" si="0"/>
        <v>2455330</v>
      </c>
      <c r="I19" s="803">
        <f t="shared" si="0"/>
        <v>2843047</v>
      </c>
    </row>
  </sheetData>
  <mergeCells count="3">
    <mergeCell ref="A3:I3"/>
    <mergeCell ref="A19:B19"/>
    <mergeCell ref="A1:I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5.75390625" style="679" customWidth="1"/>
    <col min="2" max="2" width="47.25390625" style="679" customWidth="1"/>
    <col min="3" max="3" width="18.125" style="679" customWidth="1"/>
    <col min="4" max="16384" width="9.125" style="679" customWidth="1"/>
  </cols>
  <sheetData>
    <row r="1" ht="12.75">
      <c r="C1" s="652" t="s">
        <v>711</v>
      </c>
    </row>
    <row r="4" spans="1:3" ht="15.75">
      <c r="A4" s="902" t="s">
        <v>539</v>
      </c>
      <c r="B4" s="902"/>
      <c r="C4" s="902"/>
    </row>
    <row r="5" spans="1:3" ht="15.75">
      <c r="A5" s="954" t="s">
        <v>285</v>
      </c>
      <c r="B5" s="954"/>
      <c r="C5" s="954"/>
    </row>
    <row r="8" ht="12.75">
      <c r="C8" s="680" t="s">
        <v>60</v>
      </c>
    </row>
    <row r="9" spans="1:3" ht="38.25">
      <c r="A9" s="681" t="s">
        <v>540</v>
      </c>
      <c r="B9" s="681" t="s">
        <v>0</v>
      </c>
      <c r="C9" s="681" t="s">
        <v>59</v>
      </c>
    </row>
    <row r="10" spans="1:3" s="134" customFormat="1" ht="12.75">
      <c r="A10" s="682" t="s">
        <v>18</v>
      </c>
      <c r="B10" s="682" t="s">
        <v>304</v>
      </c>
      <c r="C10" s="682" t="s">
        <v>305</v>
      </c>
    </row>
    <row r="11" spans="1:3" ht="12.75">
      <c r="A11" s="683" t="s">
        <v>19</v>
      </c>
      <c r="B11" s="684" t="s">
        <v>20</v>
      </c>
      <c r="C11" s="685">
        <v>10467</v>
      </c>
    </row>
    <row r="12" spans="1:3" ht="12.75">
      <c r="A12" s="683" t="s">
        <v>21</v>
      </c>
      <c r="B12" s="684" t="s">
        <v>22</v>
      </c>
      <c r="C12" s="686">
        <v>17022</v>
      </c>
    </row>
    <row r="13" spans="1:3" ht="12.75">
      <c r="A13" s="683" t="s">
        <v>557</v>
      </c>
      <c r="B13" s="684" t="s">
        <v>558</v>
      </c>
      <c r="C13" s="686">
        <v>108</v>
      </c>
    </row>
    <row r="14" spans="1:3" ht="31.5">
      <c r="A14" s="687" t="s">
        <v>23</v>
      </c>
      <c r="B14" s="688" t="s">
        <v>24</v>
      </c>
      <c r="C14" s="689">
        <v>1320</v>
      </c>
    </row>
    <row r="15" spans="1:3" ht="12.75">
      <c r="A15" s="690"/>
      <c r="B15" s="691" t="s">
        <v>25</v>
      </c>
      <c r="C15" s="692">
        <f>SUM(C11:C14)</f>
        <v>28917</v>
      </c>
    </row>
  </sheetData>
  <sheetProtection/>
  <mergeCells count="2">
    <mergeCell ref="A4:C4"/>
    <mergeCell ref="A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9"/>
  <sheetViews>
    <sheetView view="pageBreakPreview" zoomScale="75" zoomScaleSheetLayoutView="75" zoomScalePageLayoutView="0" workbookViewId="0" topLeftCell="A1">
      <selection activeCell="L2" sqref="L2"/>
    </sheetView>
  </sheetViews>
  <sheetFormatPr defaultColWidth="9.00390625" defaultRowHeight="12.75"/>
  <cols>
    <col min="1" max="1" width="2.875" style="91" customWidth="1"/>
    <col min="2" max="2" width="3.125" style="91" customWidth="1"/>
    <col min="3" max="3" width="4.625" style="91" customWidth="1"/>
    <col min="4" max="4" width="4.00390625" style="91" customWidth="1"/>
    <col min="5" max="5" width="3.375" style="91" customWidth="1"/>
    <col min="6" max="6" width="2.75390625" style="92" customWidth="1"/>
    <col min="7" max="7" width="3.25390625" style="92" customWidth="1"/>
    <col min="8" max="8" width="3.125" style="92" customWidth="1"/>
    <col min="9" max="9" width="4.875" style="92" customWidth="1"/>
    <col min="10" max="10" width="2.375" style="92" customWidth="1"/>
    <col min="11" max="11" width="2.875" style="92" customWidth="1"/>
    <col min="12" max="12" width="48.75390625" style="92" customWidth="1"/>
    <col min="13" max="13" width="14.75390625" style="93" customWidth="1"/>
    <col min="14" max="14" width="10.625" style="93" hidden="1" customWidth="1"/>
    <col min="15" max="15" width="12.25390625" style="93" hidden="1" customWidth="1"/>
    <col min="16" max="16" width="11.75390625" style="93" hidden="1" customWidth="1"/>
    <col min="17" max="17" width="9.125" style="93" hidden="1" customWidth="1"/>
    <col min="18" max="19" width="12.25390625" style="437" hidden="1" customWidth="1"/>
    <col min="20" max="20" width="9.125" style="93" hidden="1" customWidth="1"/>
    <col min="21" max="21" width="9.125" style="505" hidden="1" customWidth="1"/>
    <col min="22" max="22" width="11.75390625" style="93" hidden="1" customWidth="1"/>
    <col min="23" max="16384" width="9.125" style="92" customWidth="1"/>
  </cols>
  <sheetData>
    <row r="1" spans="12:22" ht="15" customHeight="1">
      <c r="L1" s="818" t="s">
        <v>695</v>
      </c>
      <c r="M1" s="818"/>
      <c r="N1" s="819"/>
      <c r="O1" s="819"/>
      <c r="P1" s="824"/>
      <c r="Q1" s="824"/>
      <c r="R1" s="824"/>
      <c r="S1" s="824"/>
      <c r="T1" s="824"/>
      <c r="U1" s="824"/>
      <c r="V1" s="824"/>
    </row>
    <row r="3" spans="1:22" ht="15.75">
      <c r="A3" s="817" t="s">
        <v>517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24"/>
      <c r="N3" s="824"/>
      <c r="O3" s="824"/>
      <c r="P3" s="824"/>
      <c r="Q3" s="824"/>
      <c r="R3" s="824"/>
      <c r="S3" s="824"/>
      <c r="T3" s="824"/>
      <c r="U3" s="824"/>
      <c r="V3" s="824"/>
    </row>
    <row r="4" spans="1:15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258"/>
      <c r="N4" s="265"/>
      <c r="O4" s="265"/>
    </row>
    <row r="5" spans="12:22" ht="15.75">
      <c r="L5" s="828" t="s">
        <v>60</v>
      </c>
      <c r="M5" s="828"/>
      <c r="N5" s="816"/>
      <c r="O5" s="816"/>
      <c r="P5" s="816"/>
      <c r="Q5" s="816"/>
      <c r="R5" s="816"/>
      <c r="S5" s="816"/>
      <c r="T5" s="816"/>
      <c r="U5" s="816"/>
      <c r="V5" s="816"/>
    </row>
    <row r="6" spans="1:22" ht="95.25">
      <c r="A6" s="95" t="s">
        <v>61</v>
      </c>
      <c r="B6" s="95" t="s">
        <v>62</v>
      </c>
      <c r="C6" s="95" t="s">
        <v>63</v>
      </c>
      <c r="D6" s="95" t="s">
        <v>64</v>
      </c>
      <c r="E6" s="95" t="s">
        <v>65</v>
      </c>
      <c r="F6" s="95" t="s">
        <v>66</v>
      </c>
      <c r="G6" s="95" t="s">
        <v>67</v>
      </c>
      <c r="H6" s="95" t="s">
        <v>68</v>
      </c>
      <c r="I6" s="95" t="s">
        <v>69</v>
      </c>
      <c r="J6" s="95" t="s">
        <v>70</v>
      </c>
      <c r="K6" s="95" t="s">
        <v>71</v>
      </c>
      <c r="L6" s="538" t="s">
        <v>72</v>
      </c>
      <c r="M6" s="539" t="s">
        <v>437</v>
      </c>
      <c r="N6" s="539" t="s">
        <v>358</v>
      </c>
      <c r="O6" s="540" t="s">
        <v>212</v>
      </c>
      <c r="P6" s="115" t="s">
        <v>448</v>
      </c>
      <c r="Q6" s="115" t="s">
        <v>449</v>
      </c>
      <c r="R6" s="541" t="s">
        <v>358</v>
      </c>
      <c r="S6" s="541" t="s">
        <v>454</v>
      </c>
      <c r="T6" s="115" t="s">
        <v>459</v>
      </c>
      <c r="U6" s="537" t="s">
        <v>449</v>
      </c>
      <c r="V6" s="554" t="s">
        <v>358</v>
      </c>
    </row>
    <row r="7" spans="1:33" s="7" customFormat="1" ht="15">
      <c r="A7" s="117" t="s">
        <v>303</v>
      </c>
      <c r="B7" s="117" t="s">
        <v>304</v>
      </c>
      <c r="C7" s="117" t="s">
        <v>305</v>
      </c>
      <c r="D7" s="117" t="s">
        <v>306</v>
      </c>
      <c r="E7" s="117" t="s">
        <v>307</v>
      </c>
      <c r="F7" s="117" t="s">
        <v>308</v>
      </c>
      <c r="G7" s="117" t="s">
        <v>309</v>
      </c>
      <c r="H7" s="117" t="s">
        <v>310</v>
      </c>
      <c r="I7" s="117" t="s">
        <v>311</v>
      </c>
      <c r="J7" s="117" t="s">
        <v>312</v>
      </c>
      <c r="K7" s="117" t="s">
        <v>313</v>
      </c>
      <c r="L7" s="117" t="s">
        <v>314</v>
      </c>
      <c r="M7" s="118" t="s">
        <v>315</v>
      </c>
      <c r="N7" s="259" t="s">
        <v>316</v>
      </c>
      <c r="O7" s="259" t="s">
        <v>316</v>
      </c>
      <c r="P7" s="118" t="s">
        <v>317</v>
      </c>
      <c r="Q7" s="118" t="s">
        <v>447</v>
      </c>
      <c r="R7" s="438" t="s">
        <v>317</v>
      </c>
      <c r="S7" s="438" t="s">
        <v>316</v>
      </c>
      <c r="T7" s="118" t="s">
        <v>317</v>
      </c>
      <c r="U7" s="482" t="s">
        <v>447</v>
      </c>
      <c r="V7" s="118" t="s">
        <v>317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33" ht="15">
      <c r="A8" s="91" t="s">
        <v>74</v>
      </c>
      <c r="G8" s="92" t="s">
        <v>75</v>
      </c>
      <c r="N8" s="97"/>
      <c r="O8" s="97"/>
      <c r="P8" s="97"/>
      <c r="Q8" s="97"/>
      <c r="R8" s="439"/>
      <c r="S8" s="439"/>
      <c r="T8" s="97"/>
      <c r="U8" s="506"/>
      <c r="V8" s="97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</row>
    <row r="9" spans="4:10" ht="15">
      <c r="D9" s="91" t="s">
        <v>74</v>
      </c>
      <c r="J9" s="92" t="s">
        <v>174</v>
      </c>
    </row>
    <row r="10" spans="5:22" ht="15">
      <c r="E10" s="96" t="s">
        <v>109</v>
      </c>
      <c r="K10" s="92" t="s">
        <v>175</v>
      </c>
      <c r="M10" s="93">
        <v>119511</v>
      </c>
      <c r="N10" s="93">
        <v>0</v>
      </c>
      <c r="O10" s="93">
        <f aca="true" t="shared" si="0" ref="O10:O18">M10+N10</f>
        <v>119511</v>
      </c>
      <c r="P10" s="93">
        <v>44363</v>
      </c>
      <c r="Q10" s="93">
        <f>SUM(P10/O10)*100</f>
        <v>37.120432428814084</v>
      </c>
      <c r="R10" s="437">
        <v>267485</v>
      </c>
      <c r="S10" s="437">
        <f>O10+R10</f>
        <v>386996</v>
      </c>
      <c r="T10" s="93">
        <v>132025</v>
      </c>
      <c r="U10" s="505">
        <f>SUM(T10/S10)*100</f>
        <v>34.11533969343352</v>
      </c>
      <c r="V10" s="93">
        <v>188</v>
      </c>
    </row>
    <row r="11" spans="5:22" ht="15">
      <c r="E11" s="96" t="s">
        <v>113</v>
      </c>
      <c r="K11" s="92" t="s">
        <v>407</v>
      </c>
      <c r="M11" s="93">
        <v>23135</v>
      </c>
      <c r="N11" s="93">
        <v>0</v>
      </c>
      <c r="O11" s="93">
        <f t="shared" si="0"/>
        <v>23135</v>
      </c>
      <c r="P11" s="93">
        <v>8663</v>
      </c>
      <c r="Q11" s="93">
        <f aca="true" t="shared" si="1" ref="Q11:Q48">SUM(P11/O11)*100</f>
        <v>37.445429003674086</v>
      </c>
      <c r="R11" s="437">
        <v>35104</v>
      </c>
      <c r="S11" s="437">
        <f aca="true" t="shared" si="2" ref="S11:S47">O11+R11</f>
        <v>58239</v>
      </c>
      <c r="T11" s="97">
        <v>22196</v>
      </c>
      <c r="U11" s="505">
        <f aca="true" t="shared" si="3" ref="U11:U48">SUM(T11/S11)*100</f>
        <v>38.1119181304624</v>
      </c>
      <c r="V11" s="93">
        <v>35</v>
      </c>
    </row>
    <row r="12" spans="5:22" ht="15">
      <c r="E12" s="96" t="s">
        <v>176</v>
      </c>
      <c r="K12" s="92" t="s">
        <v>177</v>
      </c>
      <c r="M12" s="93">
        <v>268987</v>
      </c>
      <c r="N12" s="93">
        <v>0</v>
      </c>
      <c r="O12" s="93">
        <f t="shared" si="0"/>
        <v>268987</v>
      </c>
      <c r="P12" s="93">
        <v>124979</v>
      </c>
      <c r="Q12" s="93">
        <f t="shared" si="1"/>
        <v>46.46284021160874</v>
      </c>
      <c r="R12" s="437">
        <v>252460</v>
      </c>
      <c r="S12" s="437">
        <f t="shared" si="2"/>
        <v>521447</v>
      </c>
      <c r="T12" s="97">
        <v>226688</v>
      </c>
      <c r="U12" s="505">
        <f t="shared" si="3"/>
        <v>43.47287452032517</v>
      </c>
      <c r="V12" s="93">
        <v>125112</v>
      </c>
    </row>
    <row r="13" spans="5:22" ht="15">
      <c r="E13" s="96" t="s">
        <v>119</v>
      </c>
      <c r="K13" s="92" t="s">
        <v>178</v>
      </c>
      <c r="M13" s="93">
        <v>269761</v>
      </c>
      <c r="N13" s="93">
        <v>0</v>
      </c>
      <c r="O13" s="93">
        <f t="shared" si="0"/>
        <v>269761</v>
      </c>
      <c r="P13" s="93">
        <v>657</v>
      </c>
      <c r="Q13" s="93">
        <f t="shared" si="1"/>
        <v>0.24354891922850228</v>
      </c>
      <c r="R13" s="437">
        <v>15494</v>
      </c>
      <c r="S13" s="437">
        <f t="shared" si="2"/>
        <v>285255</v>
      </c>
      <c r="T13" s="97">
        <v>36569</v>
      </c>
      <c r="U13" s="505">
        <f t="shared" si="3"/>
        <v>12.819757760600165</v>
      </c>
      <c r="V13" s="93">
        <v>128758</v>
      </c>
    </row>
    <row r="14" spans="5:22" ht="15">
      <c r="E14" s="96" t="s">
        <v>120</v>
      </c>
      <c r="K14" s="92" t="s">
        <v>179</v>
      </c>
      <c r="M14" s="93">
        <v>258888</v>
      </c>
      <c r="N14" s="93">
        <v>0</v>
      </c>
      <c r="O14" s="93">
        <f t="shared" si="0"/>
        <v>258888</v>
      </c>
      <c r="P14" s="93">
        <v>31810</v>
      </c>
      <c r="Q14" s="93">
        <f t="shared" si="1"/>
        <v>12.28716665121597</v>
      </c>
      <c r="R14" s="437">
        <v>23642</v>
      </c>
      <c r="S14" s="437">
        <f t="shared" si="2"/>
        <v>282530</v>
      </c>
      <c r="T14" s="97">
        <v>77403</v>
      </c>
      <c r="U14" s="505">
        <f t="shared" si="3"/>
        <v>27.3963826850246</v>
      </c>
      <c r="V14" s="93">
        <v>1094</v>
      </c>
    </row>
    <row r="15" spans="5:22" ht="15">
      <c r="E15" s="96" t="s">
        <v>180</v>
      </c>
      <c r="K15" s="92" t="s">
        <v>181</v>
      </c>
      <c r="M15" s="93">
        <v>38776</v>
      </c>
      <c r="N15" s="93">
        <v>3493</v>
      </c>
      <c r="O15" s="93">
        <f t="shared" si="0"/>
        <v>42269</v>
      </c>
      <c r="P15" s="93">
        <v>12287</v>
      </c>
      <c r="Q15" s="93">
        <f t="shared" si="1"/>
        <v>29.06858454186283</v>
      </c>
      <c r="R15" s="437">
        <v>1039</v>
      </c>
      <c r="S15" s="437">
        <f t="shared" si="2"/>
        <v>43308</v>
      </c>
      <c r="T15" s="97">
        <v>17240</v>
      </c>
      <c r="U15" s="505">
        <f t="shared" si="3"/>
        <v>39.80788768818694</v>
      </c>
      <c r="V15" s="93">
        <v>4296</v>
      </c>
    </row>
    <row r="16" spans="5:22" ht="15">
      <c r="E16" s="96" t="s">
        <v>182</v>
      </c>
      <c r="K16" s="92" t="s">
        <v>183</v>
      </c>
      <c r="M16" s="93">
        <v>10000</v>
      </c>
      <c r="N16" s="93">
        <v>0</v>
      </c>
      <c r="O16" s="93">
        <f t="shared" si="0"/>
        <v>10000</v>
      </c>
      <c r="P16" s="93">
        <v>3999</v>
      </c>
      <c r="Q16" s="93">
        <f t="shared" si="1"/>
        <v>39.989999999999995</v>
      </c>
      <c r="R16" s="437">
        <v>0</v>
      </c>
      <c r="S16" s="437">
        <f t="shared" si="2"/>
        <v>10000</v>
      </c>
      <c r="T16" s="97">
        <v>17185</v>
      </c>
      <c r="U16" s="505">
        <f t="shared" si="3"/>
        <v>171.85</v>
      </c>
      <c r="V16" s="93">
        <v>0</v>
      </c>
    </row>
    <row r="17" spans="5:22" ht="15">
      <c r="E17" s="96" t="s">
        <v>184</v>
      </c>
      <c r="K17" s="92" t="s">
        <v>185</v>
      </c>
      <c r="M17" s="93">
        <v>27458</v>
      </c>
      <c r="N17" s="267">
        <v>362</v>
      </c>
      <c r="O17" s="267">
        <f t="shared" si="0"/>
        <v>27820</v>
      </c>
      <c r="P17" s="267">
        <v>0</v>
      </c>
      <c r="Q17" s="267">
        <f t="shared" si="1"/>
        <v>0</v>
      </c>
      <c r="R17" s="437">
        <v>34505</v>
      </c>
      <c r="S17" s="437">
        <f t="shared" si="2"/>
        <v>62325</v>
      </c>
      <c r="T17" s="93">
        <v>0</v>
      </c>
      <c r="U17" s="505">
        <f t="shared" si="3"/>
        <v>0</v>
      </c>
      <c r="V17" s="93">
        <v>-4017</v>
      </c>
    </row>
    <row r="18" spans="1:22" s="101" customFormat="1" ht="15.75">
      <c r="A18" s="98" t="s">
        <v>74</v>
      </c>
      <c r="B18" s="180"/>
      <c r="C18" s="98"/>
      <c r="D18" s="98"/>
      <c r="E18" s="98"/>
      <c r="F18" s="99"/>
      <c r="G18" s="99"/>
      <c r="H18" s="99" t="s">
        <v>406</v>
      </c>
      <c r="I18" s="99"/>
      <c r="J18" s="99"/>
      <c r="K18" s="99"/>
      <c r="L18" s="99"/>
      <c r="M18" s="100">
        <f>SUM(M10:M17)</f>
        <v>1016516</v>
      </c>
      <c r="N18" s="206">
        <f>SUM(N10:N17)</f>
        <v>3855</v>
      </c>
      <c r="O18" s="206">
        <f t="shared" si="0"/>
        <v>1020371</v>
      </c>
      <c r="P18" s="206">
        <f>SUM(P10:P17)</f>
        <v>226758</v>
      </c>
      <c r="Q18" s="206">
        <f t="shared" si="1"/>
        <v>22.223093365060357</v>
      </c>
      <c r="R18" s="440">
        <f>SUM(R10:R17)</f>
        <v>629729</v>
      </c>
      <c r="S18" s="440">
        <f t="shared" si="2"/>
        <v>1650100</v>
      </c>
      <c r="T18" s="206">
        <f>SUM(T10:T17)</f>
        <v>529306</v>
      </c>
      <c r="U18" s="507">
        <f t="shared" si="3"/>
        <v>32.077207441973215</v>
      </c>
      <c r="V18" s="206">
        <f>SUM(V10:V17)</f>
        <v>255466</v>
      </c>
    </row>
    <row r="19" spans="1:7" ht="15">
      <c r="A19" s="91" t="s">
        <v>79</v>
      </c>
      <c r="G19" s="92" t="s">
        <v>170</v>
      </c>
    </row>
    <row r="20" spans="4:10" ht="15">
      <c r="D20" s="91" t="s">
        <v>74</v>
      </c>
      <c r="J20" s="92" t="s">
        <v>174</v>
      </c>
    </row>
    <row r="21" spans="5:22" ht="15">
      <c r="E21" s="96" t="s">
        <v>109</v>
      </c>
      <c r="K21" s="92" t="s">
        <v>175</v>
      </c>
      <c r="M21" s="93">
        <v>231875</v>
      </c>
      <c r="N21" s="93">
        <v>0</v>
      </c>
      <c r="O21" s="93">
        <f>M21+N21</f>
        <v>231875</v>
      </c>
      <c r="P21" s="93">
        <v>66540</v>
      </c>
      <c r="Q21" s="93">
        <f t="shared" si="1"/>
        <v>28.696495956873314</v>
      </c>
      <c r="R21" s="437">
        <v>23037</v>
      </c>
      <c r="S21" s="437">
        <f t="shared" si="2"/>
        <v>254912</v>
      </c>
      <c r="T21" s="93">
        <v>104849</v>
      </c>
      <c r="U21" s="505">
        <f t="shared" si="3"/>
        <v>41.131449284458945</v>
      </c>
      <c r="V21" s="93">
        <v>6552</v>
      </c>
    </row>
    <row r="22" spans="5:22" ht="15">
      <c r="E22" s="96" t="s">
        <v>113</v>
      </c>
      <c r="K22" s="92" t="s">
        <v>407</v>
      </c>
      <c r="M22" s="93">
        <v>66695</v>
      </c>
      <c r="N22" s="93">
        <v>0</v>
      </c>
      <c r="O22" s="93">
        <f>M22+N22</f>
        <v>66695</v>
      </c>
      <c r="P22" s="93">
        <v>17550</v>
      </c>
      <c r="Q22" s="93">
        <f t="shared" si="1"/>
        <v>26.31381662793313</v>
      </c>
      <c r="R22" s="437">
        <v>6152</v>
      </c>
      <c r="S22" s="437">
        <f t="shared" si="2"/>
        <v>72847</v>
      </c>
      <c r="T22" s="97">
        <v>27380</v>
      </c>
      <c r="U22" s="505">
        <f t="shared" si="3"/>
        <v>37.5856246653946</v>
      </c>
      <c r="V22" s="93">
        <v>1700</v>
      </c>
    </row>
    <row r="23" spans="5:22" ht="15">
      <c r="E23" s="96" t="s">
        <v>176</v>
      </c>
      <c r="K23" s="92" t="s">
        <v>177</v>
      </c>
      <c r="M23" s="93">
        <v>115971</v>
      </c>
      <c r="N23" s="93">
        <v>0</v>
      </c>
      <c r="O23" s="93">
        <f>M23+N23</f>
        <v>115971</v>
      </c>
      <c r="P23" s="93">
        <v>33198</v>
      </c>
      <c r="Q23" s="93">
        <f t="shared" si="1"/>
        <v>28.626122047753316</v>
      </c>
      <c r="R23" s="437">
        <v>13042</v>
      </c>
      <c r="S23" s="437">
        <f t="shared" si="2"/>
        <v>129013</v>
      </c>
      <c r="T23" s="97">
        <v>60216</v>
      </c>
      <c r="U23" s="505">
        <f t="shared" si="3"/>
        <v>46.67436614914776</v>
      </c>
      <c r="V23" s="93">
        <v>8273</v>
      </c>
    </row>
    <row r="24" spans="5:22" ht="15">
      <c r="E24" s="96" t="s">
        <v>120</v>
      </c>
      <c r="K24" s="92" t="s">
        <v>181</v>
      </c>
      <c r="M24" s="93">
        <v>14127</v>
      </c>
      <c r="N24" s="267">
        <v>20216</v>
      </c>
      <c r="O24" s="267">
        <f>M24+N24</f>
        <v>34343</v>
      </c>
      <c r="P24" s="267">
        <v>26974</v>
      </c>
      <c r="Q24" s="267">
        <f t="shared" si="1"/>
        <v>78.54293451358355</v>
      </c>
      <c r="R24" s="437">
        <v>21245</v>
      </c>
      <c r="S24" s="437">
        <f t="shared" si="2"/>
        <v>55588</v>
      </c>
      <c r="T24" s="267">
        <v>44831</v>
      </c>
      <c r="U24" s="505">
        <f t="shared" si="3"/>
        <v>80.64870115852342</v>
      </c>
      <c r="V24" s="93">
        <v>14651</v>
      </c>
    </row>
    <row r="25" spans="1:22" s="101" customFormat="1" ht="15.75">
      <c r="A25" s="98" t="s">
        <v>79</v>
      </c>
      <c r="B25" s="98"/>
      <c r="C25" s="98"/>
      <c r="D25" s="98"/>
      <c r="E25" s="98"/>
      <c r="F25" s="99"/>
      <c r="G25" s="99"/>
      <c r="H25" s="99" t="s">
        <v>150</v>
      </c>
      <c r="I25" s="99"/>
      <c r="J25" s="99"/>
      <c r="K25" s="99"/>
      <c r="L25" s="99"/>
      <c r="M25" s="100">
        <f>SUM(M21:M24)</f>
        <v>428668</v>
      </c>
      <c r="N25" s="206">
        <f>SUM(N21:N24)</f>
        <v>20216</v>
      </c>
      <c r="O25" s="206">
        <f>M25+N25</f>
        <v>448884</v>
      </c>
      <c r="P25" s="206">
        <f>SUM(P21:P24)</f>
        <v>144262</v>
      </c>
      <c r="Q25" s="206">
        <f t="shared" si="1"/>
        <v>32.137924274422794</v>
      </c>
      <c r="R25" s="440">
        <f>SUM(R21:R24)</f>
        <v>63476</v>
      </c>
      <c r="S25" s="440">
        <f t="shared" si="2"/>
        <v>512360</v>
      </c>
      <c r="T25" s="206">
        <f>SUM(T21:T24)</f>
        <v>237276</v>
      </c>
      <c r="U25" s="507">
        <f t="shared" si="3"/>
        <v>46.31040674525725</v>
      </c>
      <c r="V25" s="206">
        <f>SUM(V21:V24)</f>
        <v>31176</v>
      </c>
    </row>
    <row r="26" spans="1:7" ht="15">
      <c r="A26" s="91" t="s">
        <v>126</v>
      </c>
      <c r="G26" s="92" t="s">
        <v>512</v>
      </c>
    </row>
    <row r="27" spans="4:10" ht="15">
      <c r="D27" s="91" t="s">
        <v>74</v>
      </c>
      <c r="J27" s="92" t="s">
        <v>174</v>
      </c>
    </row>
    <row r="28" spans="5:22" ht="15">
      <c r="E28" s="91" t="s">
        <v>109</v>
      </c>
      <c r="K28" s="92" t="s">
        <v>175</v>
      </c>
      <c r="M28" s="93">
        <v>100877</v>
      </c>
      <c r="N28" s="93">
        <v>0</v>
      </c>
      <c r="O28" s="93">
        <f>M28+N28</f>
        <v>100877</v>
      </c>
      <c r="P28" s="93">
        <v>12966</v>
      </c>
      <c r="Q28" s="93">
        <f t="shared" si="1"/>
        <v>12.853276762790328</v>
      </c>
      <c r="R28" s="437">
        <v>1753</v>
      </c>
      <c r="S28" s="437">
        <f t="shared" si="2"/>
        <v>102630</v>
      </c>
      <c r="T28" s="93">
        <v>25829</v>
      </c>
      <c r="U28" s="505">
        <f t="shared" si="3"/>
        <v>25.167105134950795</v>
      </c>
      <c r="V28" s="93">
        <v>-655</v>
      </c>
    </row>
    <row r="29" spans="5:22" ht="15">
      <c r="E29" s="91" t="s">
        <v>113</v>
      </c>
      <c r="K29" s="92" t="s">
        <v>407</v>
      </c>
      <c r="M29" s="93">
        <v>28539</v>
      </c>
      <c r="N29" s="93">
        <v>0</v>
      </c>
      <c r="O29" s="93">
        <f>M29+N29</f>
        <v>28539</v>
      </c>
      <c r="P29" s="93">
        <v>3262</v>
      </c>
      <c r="Q29" s="93">
        <f t="shared" si="1"/>
        <v>11.429973019376993</v>
      </c>
      <c r="R29" s="437">
        <v>425</v>
      </c>
      <c r="S29" s="437">
        <f t="shared" si="2"/>
        <v>28964</v>
      </c>
      <c r="T29" s="97">
        <v>6425</v>
      </c>
      <c r="U29" s="505">
        <f t="shared" si="3"/>
        <v>22.182709570501313</v>
      </c>
      <c r="V29" s="93">
        <v>-176</v>
      </c>
    </row>
    <row r="30" spans="5:22" ht="15">
      <c r="E30" s="91" t="s">
        <v>176</v>
      </c>
      <c r="K30" s="92" t="s">
        <v>177</v>
      </c>
      <c r="M30" s="93">
        <v>19191</v>
      </c>
      <c r="N30" s="267">
        <v>0</v>
      </c>
      <c r="O30" s="97">
        <f>M30+N30</f>
        <v>19191</v>
      </c>
      <c r="P30" s="97">
        <v>6567</v>
      </c>
      <c r="Q30" s="97">
        <f t="shared" si="1"/>
        <v>34.21916523370329</v>
      </c>
      <c r="R30" s="437">
        <v>4552</v>
      </c>
      <c r="S30" s="437">
        <f t="shared" si="2"/>
        <v>23743</v>
      </c>
      <c r="T30" s="97">
        <v>8701</v>
      </c>
      <c r="U30" s="505">
        <f t="shared" si="3"/>
        <v>36.646590574063936</v>
      </c>
      <c r="V30" s="93">
        <v>-3267</v>
      </c>
    </row>
    <row r="31" spans="1:22" s="101" customFormat="1" ht="15.75">
      <c r="A31" s="98" t="s">
        <v>126</v>
      </c>
      <c r="B31" s="98"/>
      <c r="C31" s="98"/>
      <c r="D31" s="98"/>
      <c r="E31" s="98"/>
      <c r="F31" s="99"/>
      <c r="G31" s="99"/>
      <c r="H31" s="180" t="s">
        <v>513</v>
      </c>
      <c r="I31" s="99"/>
      <c r="J31" s="99"/>
      <c r="K31" s="99"/>
      <c r="L31" s="99"/>
      <c r="M31" s="100">
        <f>SUM(M28:M30)</f>
        <v>148607</v>
      </c>
      <c r="N31" s="206">
        <v>0</v>
      </c>
      <c r="O31" s="206">
        <f>M31+N31</f>
        <v>148607</v>
      </c>
      <c r="P31" s="206">
        <f>SUM(P28:P30)</f>
        <v>22795</v>
      </c>
      <c r="Q31" s="206">
        <f t="shared" si="1"/>
        <v>15.339115923206847</v>
      </c>
      <c r="R31" s="440">
        <f>SUM(R28:R30)</f>
        <v>6730</v>
      </c>
      <c r="S31" s="440">
        <f t="shared" si="2"/>
        <v>155337</v>
      </c>
      <c r="T31" s="206">
        <f>SUM(T28:T30)</f>
        <v>40955</v>
      </c>
      <c r="U31" s="507">
        <f t="shared" si="3"/>
        <v>26.365257472463092</v>
      </c>
      <c r="V31" s="206">
        <f>SUM(V28:V30)</f>
        <v>-4098</v>
      </c>
    </row>
    <row r="32" spans="1:7" ht="15">
      <c r="A32" s="91" t="s">
        <v>151</v>
      </c>
      <c r="G32" s="102" t="s">
        <v>395</v>
      </c>
    </row>
    <row r="33" spans="4:10" ht="15">
      <c r="D33" s="91" t="s">
        <v>74</v>
      </c>
      <c r="J33" s="92" t="s">
        <v>174</v>
      </c>
    </row>
    <row r="34" spans="5:22" ht="15">
      <c r="E34" s="91" t="s">
        <v>109</v>
      </c>
      <c r="K34" s="92" t="s">
        <v>175</v>
      </c>
      <c r="M34" s="93">
        <v>36145</v>
      </c>
      <c r="N34" s="93">
        <v>0</v>
      </c>
      <c r="O34" s="93">
        <f>M34+N34</f>
        <v>36145</v>
      </c>
      <c r="P34" s="93">
        <v>7971</v>
      </c>
      <c r="Q34" s="93">
        <f t="shared" si="1"/>
        <v>22.05284271683497</v>
      </c>
      <c r="R34" s="437">
        <v>1306</v>
      </c>
      <c r="S34" s="437">
        <f t="shared" si="2"/>
        <v>37451</v>
      </c>
      <c r="T34" s="93">
        <v>16564</v>
      </c>
      <c r="U34" s="505">
        <f t="shared" si="3"/>
        <v>44.228458519131664</v>
      </c>
      <c r="V34" s="93">
        <v>5535</v>
      </c>
    </row>
    <row r="35" spans="5:22" ht="15">
      <c r="E35" s="91" t="s">
        <v>113</v>
      </c>
      <c r="K35" s="92" t="s">
        <v>407</v>
      </c>
      <c r="M35" s="93">
        <v>9759</v>
      </c>
      <c r="N35" s="93">
        <v>0</v>
      </c>
      <c r="O35" s="93">
        <f>M35+N35</f>
        <v>9759</v>
      </c>
      <c r="P35" s="93">
        <v>2057</v>
      </c>
      <c r="Q35" s="93">
        <f t="shared" si="1"/>
        <v>21.077979301157907</v>
      </c>
      <c r="R35" s="437">
        <v>353</v>
      </c>
      <c r="S35" s="437">
        <f t="shared" si="2"/>
        <v>10112</v>
      </c>
      <c r="T35" s="97">
        <v>4190</v>
      </c>
      <c r="U35" s="505">
        <f t="shared" si="3"/>
        <v>41.43591772151899</v>
      </c>
      <c r="V35" s="93">
        <v>1438</v>
      </c>
    </row>
    <row r="36" spans="5:22" ht="15">
      <c r="E36" s="91" t="s">
        <v>176</v>
      </c>
      <c r="K36" s="92" t="s">
        <v>177</v>
      </c>
      <c r="M36" s="93">
        <v>15500</v>
      </c>
      <c r="N36" s="267">
        <v>0</v>
      </c>
      <c r="O36" s="267">
        <f>M36+N36</f>
        <v>15500</v>
      </c>
      <c r="P36" s="267">
        <v>2602</v>
      </c>
      <c r="Q36" s="267">
        <f t="shared" si="1"/>
        <v>16.78709677419355</v>
      </c>
      <c r="R36" s="437">
        <v>7586</v>
      </c>
      <c r="S36" s="437">
        <f t="shared" si="2"/>
        <v>23086</v>
      </c>
      <c r="T36" s="93">
        <v>8300</v>
      </c>
      <c r="U36" s="505">
        <f t="shared" si="3"/>
        <v>35.95252534003292</v>
      </c>
      <c r="V36" s="93">
        <v>12812</v>
      </c>
    </row>
    <row r="37" spans="1:22" s="101" customFormat="1" ht="15.75">
      <c r="A37" s="98" t="s">
        <v>151</v>
      </c>
      <c r="B37" s="98"/>
      <c r="C37" s="98"/>
      <c r="D37" s="98"/>
      <c r="E37" s="98"/>
      <c r="F37" s="99"/>
      <c r="G37" s="99"/>
      <c r="H37" s="99" t="s">
        <v>397</v>
      </c>
      <c r="I37" s="99"/>
      <c r="J37" s="99"/>
      <c r="K37" s="99"/>
      <c r="L37" s="99"/>
      <c r="M37" s="100">
        <f>SUM(M34:M36)</f>
        <v>61404</v>
      </c>
      <c r="N37" s="206">
        <v>0</v>
      </c>
      <c r="O37" s="206">
        <f>M37+N37</f>
        <v>61404</v>
      </c>
      <c r="P37" s="206">
        <f>SUM(P34:P36)</f>
        <v>12630</v>
      </c>
      <c r="Q37" s="206">
        <f t="shared" si="1"/>
        <v>20.568692593316396</v>
      </c>
      <c r="R37" s="440">
        <f>SUM(R34:R36)</f>
        <v>9245</v>
      </c>
      <c r="S37" s="440">
        <f t="shared" si="2"/>
        <v>70649</v>
      </c>
      <c r="T37" s="206">
        <f>SUM(T34:T36)</f>
        <v>29054</v>
      </c>
      <c r="U37" s="507">
        <f t="shared" si="3"/>
        <v>41.12443205140907</v>
      </c>
      <c r="V37" s="206">
        <f>SUM(V34:V36)</f>
        <v>19785</v>
      </c>
    </row>
    <row r="38" spans="12:17" ht="15">
      <c r="L38" s="181"/>
      <c r="N38" s="184"/>
      <c r="O38" s="184"/>
      <c r="P38" s="184"/>
      <c r="Q38" s="184"/>
    </row>
    <row r="39" spans="1:22" ht="15">
      <c r="A39" s="182"/>
      <c r="B39" s="182"/>
      <c r="C39" s="182"/>
      <c r="D39" s="182" t="s">
        <v>74</v>
      </c>
      <c r="E39" s="182"/>
      <c r="F39" s="183"/>
      <c r="G39" s="183"/>
      <c r="H39" s="183"/>
      <c r="I39" s="183"/>
      <c r="J39" s="183" t="s">
        <v>187</v>
      </c>
      <c r="K39" s="183"/>
      <c r="L39" s="183"/>
      <c r="M39" s="184"/>
      <c r="N39" s="184"/>
      <c r="O39" s="184"/>
      <c r="P39" s="184"/>
      <c r="Q39" s="184"/>
      <c r="R39" s="441"/>
      <c r="S39" s="441"/>
      <c r="T39" s="184"/>
      <c r="U39" s="508"/>
      <c r="V39" s="184"/>
    </row>
    <row r="40" spans="5:22" ht="15">
      <c r="E40" s="96" t="s">
        <v>109</v>
      </c>
      <c r="K40" s="92" t="s">
        <v>175</v>
      </c>
      <c r="M40" s="93">
        <f>SUM(M10+M28+M34+M21)</f>
        <v>488408</v>
      </c>
      <c r="N40" s="93">
        <v>0</v>
      </c>
      <c r="O40" s="93">
        <f aca="true" t="shared" si="4" ref="O40:O48">M40+N40</f>
        <v>488408</v>
      </c>
      <c r="P40" s="93">
        <f>P10+P21+P28+P34</f>
        <v>131840</v>
      </c>
      <c r="Q40" s="93">
        <f t="shared" si="1"/>
        <v>26.99382483497404</v>
      </c>
      <c r="R40" s="437">
        <f>R10+R21+R28+R34</f>
        <v>293581</v>
      </c>
      <c r="S40" s="437">
        <f t="shared" si="2"/>
        <v>781989</v>
      </c>
      <c r="T40" s="93">
        <f>T10+T21+T28+T34</f>
        <v>279267</v>
      </c>
      <c r="U40" s="505">
        <f t="shared" si="3"/>
        <v>35.712394931386505</v>
      </c>
      <c r="V40" s="93">
        <f>V10+V21+V28+V34</f>
        <v>11620</v>
      </c>
    </row>
    <row r="41" spans="5:22" ht="15">
      <c r="E41" s="96" t="s">
        <v>113</v>
      </c>
      <c r="K41" s="92" t="s">
        <v>407</v>
      </c>
      <c r="M41" s="93">
        <f>SUM(M11+M29+M35+M22)</f>
        <v>128128</v>
      </c>
      <c r="N41" s="93">
        <v>0</v>
      </c>
      <c r="O41" s="93">
        <f t="shared" si="4"/>
        <v>128128</v>
      </c>
      <c r="P41" s="93">
        <f>P11+P22+P29+P35</f>
        <v>31532</v>
      </c>
      <c r="Q41" s="93">
        <f t="shared" si="1"/>
        <v>24.609765234765234</v>
      </c>
      <c r="R41" s="437">
        <f>R11+R22+R29+R35</f>
        <v>42034</v>
      </c>
      <c r="S41" s="437">
        <f t="shared" si="2"/>
        <v>170162</v>
      </c>
      <c r="T41" s="97">
        <f>T11+T22+T29+T35</f>
        <v>60191</v>
      </c>
      <c r="U41" s="505">
        <f t="shared" si="3"/>
        <v>35.37276242639367</v>
      </c>
      <c r="V41" s="93">
        <f>V11+V22+V29+V35</f>
        <v>2997</v>
      </c>
    </row>
    <row r="42" spans="5:22" ht="15">
      <c r="E42" s="96" t="s">
        <v>176</v>
      </c>
      <c r="K42" s="92" t="s">
        <v>177</v>
      </c>
      <c r="M42" s="93">
        <f>SUM(M12+M30+M36+M23)</f>
        <v>419649</v>
      </c>
      <c r="N42" s="93">
        <v>0</v>
      </c>
      <c r="O42" s="93">
        <f t="shared" si="4"/>
        <v>419649</v>
      </c>
      <c r="P42" s="93">
        <f>P12+P23+P30+P36</f>
        <v>167346</v>
      </c>
      <c r="Q42" s="93">
        <f t="shared" si="1"/>
        <v>39.87761200431789</v>
      </c>
      <c r="R42" s="437">
        <f>R12+R23+R30+R36</f>
        <v>277640</v>
      </c>
      <c r="S42" s="437">
        <f t="shared" si="2"/>
        <v>697289</v>
      </c>
      <c r="T42" s="97">
        <f>T12+T23+T30+T36</f>
        <v>303905</v>
      </c>
      <c r="U42" s="505">
        <f t="shared" si="3"/>
        <v>43.58379380715887</v>
      </c>
      <c r="V42" s="93">
        <f>V12+V23+V30+V36</f>
        <v>142930</v>
      </c>
    </row>
    <row r="43" spans="5:22" ht="15">
      <c r="E43" s="96" t="s">
        <v>119</v>
      </c>
      <c r="K43" s="92" t="s">
        <v>178</v>
      </c>
      <c r="M43" s="93">
        <f>SUM(M13)</f>
        <v>269761</v>
      </c>
      <c r="N43" s="93">
        <v>0</v>
      </c>
      <c r="O43" s="93">
        <f t="shared" si="4"/>
        <v>269761</v>
      </c>
      <c r="P43" s="93" t="e">
        <f>P13+#REF!+#REF!</f>
        <v>#REF!</v>
      </c>
      <c r="Q43" s="93" t="e">
        <f t="shared" si="1"/>
        <v>#REF!</v>
      </c>
      <c r="R43" s="437" t="e">
        <f>R13+#REF!+#REF!</f>
        <v>#REF!</v>
      </c>
      <c r="S43" s="437">
        <v>66542</v>
      </c>
      <c r="T43" s="97" t="e">
        <f>T13+#REF!+#REF!</f>
        <v>#REF!</v>
      </c>
      <c r="U43" s="505" t="e">
        <f t="shared" si="3"/>
        <v>#REF!</v>
      </c>
      <c r="V43" s="93">
        <v>128758</v>
      </c>
    </row>
    <row r="44" spans="5:22" ht="15">
      <c r="E44" s="96" t="s">
        <v>120</v>
      </c>
      <c r="K44" s="92" t="s">
        <v>179</v>
      </c>
      <c r="M44" s="93">
        <f>SUM(M14)</f>
        <v>258888</v>
      </c>
      <c r="N44" s="93">
        <v>0</v>
      </c>
      <c r="O44" s="93">
        <f t="shared" si="4"/>
        <v>258888</v>
      </c>
      <c r="P44" s="93" t="e">
        <f>P14+#REF!</f>
        <v>#REF!</v>
      </c>
      <c r="Q44" s="93" t="e">
        <f t="shared" si="1"/>
        <v>#REF!</v>
      </c>
      <c r="R44" s="437" t="e">
        <f>R14+#REF!</f>
        <v>#REF!</v>
      </c>
      <c r="S44" s="437" t="e">
        <f t="shared" si="2"/>
        <v>#REF!</v>
      </c>
      <c r="T44" s="97" t="e">
        <f>T14+#REF!</f>
        <v>#REF!</v>
      </c>
      <c r="U44" s="505" t="e">
        <f t="shared" si="3"/>
        <v>#REF!</v>
      </c>
      <c r="V44" s="93" t="e">
        <f>V14+#REF!</f>
        <v>#REF!</v>
      </c>
    </row>
    <row r="45" spans="5:22" ht="15">
      <c r="E45" s="96" t="s">
        <v>180</v>
      </c>
      <c r="K45" s="92" t="s">
        <v>181</v>
      </c>
      <c r="M45" s="93">
        <f>SUM(M15+M24)</f>
        <v>52903</v>
      </c>
      <c r="N45" s="93">
        <v>23709</v>
      </c>
      <c r="O45" s="93">
        <f t="shared" si="4"/>
        <v>76612</v>
      </c>
      <c r="P45" s="93">
        <f>P15+P24</f>
        <v>39261</v>
      </c>
      <c r="Q45" s="93">
        <f t="shared" si="1"/>
        <v>51.24654101185193</v>
      </c>
      <c r="R45" s="437">
        <f>R15+R24</f>
        <v>22284</v>
      </c>
      <c r="S45" s="437">
        <f t="shared" si="2"/>
        <v>98896</v>
      </c>
      <c r="T45" s="97">
        <f>T15+T24</f>
        <v>62071</v>
      </c>
      <c r="U45" s="505">
        <f t="shared" si="3"/>
        <v>62.76391360621258</v>
      </c>
      <c r="V45" s="93">
        <f>V15+V24</f>
        <v>18947</v>
      </c>
    </row>
    <row r="46" spans="5:22" ht="15">
      <c r="E46" s="96" t="s">
        <v>182</v>
      </c>
      <c r="K46" s="92" t="s">
        <v>183</v>
      </c>
      <c r="M46" s="93">
        <f>SUM(M16)</f>
        <v>10000</v>
      </c>
      <c r="N46" s="93">
        <v>0</v>
      </c>
      <c r="O46" s="93">
        <f t="shared" si="4"/>
        <v>10000</v>
      </c>
      <c r="P46" s="93">
        <f>P16</f>
        <v>3999</v>
      </c>
      <c r="Q46" s="93">
        <f t="shared" si="1"/>
        <v>39.989999999999995</v>
      </c>
      <c r="R46" s="437">
        <v>0</v>
      </c>
      <c r="S46" s="437">
        <f t="shared" si="2"/>
        <v>10000</v>
      </c>
      <c r="T46" s="97">
        <f>T16</f>
        <v>17185</v>
      </c>
      <c r="U46" s="505">
        <f t="shared" si="3"/>
        <v>171.85</v>
      </c>
      <c r="V46" s="93">
        <f>V16</f>
        <v>0</v>
      </c>
    </row>
    <row r="47" spans="5:22" ht="15">
      <c r="E47" s="96" t="s">
        <v>184</v>
      </c>
      <c r="K47" s="92" t="s">
        <v>185</v>
      </c>
      <c r="M47" s="93">
        <f>SUM(M17)</f>
        <v>27458</v>
      </c>
      <c r="N47" s="267">
        <v>362</v>
      </c>
      <c r="O47" s="267">
        <f t="shared" si="4"/>
        <v>27820</v>
      </c>
      <c r="P47" s="267">
        <f>P17</f>
        <v>0</v>
      </c>
      <c r="Q47" s="267">
        <f t="shared" si="1"/>
        <v>0</v>
      </c>
      <c r="R47" s="437">
        <f>R17</f>
        <v>34505</v>
      </c>
      <c r="S47" s="437">
        <f t="shared" si="2"/>
        <v>62325</v>
      </c>
      <c r="T47" s="93">
        <f>T17</f>
        <v>0</v>
      </c>
      <c r="U47" s="505">
        <f t="shared" si="3"/>
        <v>0</v>
      </c>
      <c r="V47" s="93">
        <f>V17</f>
        <v>-4017</v>
      </c>
    </row>
    <row r="48" spans="1:22" s="101" customFormat="1" ht="15.75">
      <c r="A48" s="98"/>
      <c r="B48" s="98"/>
      <c r="C48" s="98"/>
      <c r="D48" s="98" t="s">
        <v>74</v>
      </c>
      <c r="E48" s="98"/>
      <c r="F48" s="99"/>
      <c r="G48" s="99"/>
      <c r="H48" s="99"/>
      <c r="I48" s="99"/>
      <c r="J48" s="99" t="s">
        <v>189</v>
      </c>
      <c r="K48" s="99"/>
      <c r="L48" s="99"/>
      <c r="M48" s="100">
        <f>SUM(M40:M47)</f>
        <v>1655195</v>
      </c>
      <c r="N48" s="206">
        <f>SUM(N40:N47)</f>
        <v>24071</v>
      </c>
      <c r="O48" s="206">
        <f t="shared" si="4"/>
        <v>1679266</v>
      </c>
      <c r="P48" s="206" t="e">
        <f>SUM(P40:P47)</f>
        <v>#REF!</v>
      </c>
      <c r="Q48" s="206" t="e">
        <f t="shared" si="1"/>
        <v>#REF!</v>
      </c>
      <c r="R48" s="440" t="e">
        <f>SUM(R40:R47)</f>
        <v>#REF!</v>
      </c>
      <c r="S48" s="440" t="e">
        <f>SUM(S40:S47)</f>
        <v>#REF!</v>
      </c>
      <c r="T48" s="206">
        <f>T18+T25+T31+T37</f>
        <v>836591</v>
      </c>
      <c r="U48" s="507" t="e">
        <f t="shared" si="3"/>
        <v>#REF!</v>
      </c>
      <c r="V48" s="206" t="e">
        <f>SUM(V40:V47)</f>
        <v>#REF!</v>
      </c>
    </row>
    <row r="49" spans="1:12" ht="15.75">
      <c r="A49" s="94"/>
      <c r="B49" s="94"/>
      <c r="C49" s="94"/>
      <c r="D49" s="94"/>
      <c r="E49" s="94"/>
      <c r="F49" s="104"/>
      <c r="G49" s="104"/>
      <c r="H49" s="104"/>
      <c r="I49" s="104"/>
      <c r="J49" s="104"/>
      <c r="K49" s="104"/>
      <c r="L49" s="104"/>
    </row>
    <row r="50" spans="1:22" ht="15.75">
      <c r="A50" s="817" t="s">
        <v>553</v>
      </c>
      <c r="B50" s="817"/>
      <c r="C50" s="817"/>
      <c r="D50" s="817"/>
      <c r="E50" s="817"/>
      <c r="F50" s="817"/>
      <c r="G50" s="817"/>
      <c r="H50" s="817"/>
      <c r="I50" s="817"/>
      <c r="J50" s="817"/>
      <c r="K50" s="817"/>
      <c r="L50" s="817"/>
      <c r="M50" s="824"/>
      <c r="N50" s="824"/>
      <c r="O50" s="824"/>
      <c r="P50" s="824"/>
      <c r="Q50" s="824"/>
      <c r="R50" s="824"/>
      <c r="S50" s="824"/>
      <c r="T50" s="824"/>
      <c r="U50" s="824"/>
      <c r="V50" s="824"/>
    </row>
    <row r="51" spans="1:12" ht="15.7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1:22" ht="15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828" t="s">
        <v>60</v>
      </c>
      <c r="M52" s="828"/>
      <c r="N52" s="816"/>
      <c r="O52" s="816"/>
      <c r="P52" s="816"/>
      <c r="Q52" s="816"/>
      <c r="R52" s="816"/>
      <c r="S52" s="816"/>
      <c r="T52" s="816"/>
      <c r="U52" s="816"/>
      <c r="V52" s="816"/>
    </row>
    <row r="53" spans="1:22" ht="95.25">
      <c r="A53" s="95" t="s">
        <v>61</v>
      </c>
      <c r="B53" s="95" t="s">
        <v>62</v>
      </c>
      <c r="C53" s="95" t="s">
        <v>63</v>
      </c>
      <c r="D53" s="95" t="s">
        <v>64</v>
      </c>
      <c r="E53" s="95" t="s">
        <v>65</v>
      </c>
      <c r="F53" s="95" t="s">
        <v>66</v>
      </c>
      <c r="G53" s="95" t="s">
        <v>67</v>
      </c>
      <c r="H53" s="95" t="s">
        <v>68</v>
      </c>
      <c r="I53" s="95" t="s">
        <v>69</v>
      </c>
      <c r="J53" s="95" t="s">
        <v>70</v>
      </c>
      <c r="K53" s="95" t="s">
        <v>71</v>
      </c>
      <c r="L53" s="538" t="s">
        <v>72</v>
      </c>
      <c r="M53" s="539" t="s">
        <v>437</v>
      </c>
      <c r="N53" s="539" t="s">
        <v>358</v>
      </c>
      <c r="O53" s="540" t="s">
        <v>212</v>
      </c>
      <c r="P53" s="115" t="s">
        <v>448</v>
      </c>
      <c r="Q53" s="115" t="s">
        <v>449</v>
      </c>
      <c r="R53" s="541" t="s">
        <v>358</v>
      </c>
      <c r="S53" s="541" t="s">
        <v>454</v>
      </c>
      <c r="T53" s="115" t="s">
        <v>459</v>
      </c>
      <c r="U53" s="537" t="s">
        <v>449</v>
      </c>
      <c r="V53" s="554" t="s">
        <v>358</v>
      </c>
    </row>
    <row r="54" spans="1:33" s="7" customFormat="1" ht="15">
      <c r="A54" s="117" t="s">
        <v>303</v>
      </c>
      <c r="B54" s="117" t="s">
        <v>304</v>
      </c>
      <c r="C54" s="117" t="s">
        <v>305</v>
      </c>
      <c r="D54" s="117" t="s">
        <v>306</v>
      </c>
      <c r="E54" s="117" t="s">
        <v>307</v>
      </c>
      <c r="F54" s="117" t="s">
        <v>308</v>
      </c>
      <c r="G54" s="117" t="s">
        <v>309</v>
      </c>
      <c r="H54" s="117" t="s">
        <v>310</v>
      </c>
      <c r="I54" s="117" t="s">
        <v>311</v>
      </c>
      <c r="J54" s="117" t="s">
        <v>312</v>
      </c>
      <c r="K54" s="117" t="s">
        <v>313</v>
      </c>
      <c r="L54" s="117" t="s">
        <v>314</v>
      </c>
      <c r="M54" s="118" t="s">
        <v>315</v>
      </c>
      <c r="N54" s="259" t="s">
        <v>316</v>
      </c>
      <c r="O54" s="259" t="s">
        <v>316</v>
      </c>
      <c r="P54" s="118" t="s">
        <v>317</v>
      </c>
      <c r="Q54" s="118" t="s">
        <v>447</v>
      </c>
      <c r="R54" s="438" t="s">
        <v>317</v>
      </c>
      <c r="S54" s="438" t="s">
        <v>316</v>
      </c>
      <c r="T54" s="118" t="s">
        <v>317</v>
      </c>
      <c r="U54" s="482" t="s">
        <v>447</v>
      </c>
      <c r="V54" s="118" t="s">
        <v>317</v>
      </c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</row>
    <row r="55" spans="1:7" ht="15">
      <c r="A55" s="91" t="s">
        <v>74</v>
      </c>
      <c r="G55" s="92" t="s">
        <v>75</v>
      </c>
    </row>
    <row r="56" spans="4:10" ht="15">
      <c r="D56" s="91" t="s">
        <v>79</v>
      </c>
      <c r="J56" s="92" t="s">
        <v>190</v>
      </c>
    </row>
    <row r="57" spans="5:15" ht="15">
      <c r="E57" s="96" t="s">
        <v>191</v>
      </c>
      <c r="K57" s="92" t="s">
        <v>398</v>
      </c>
      <c r="N57" s="97"/>
      <c r="O57" s="97"/>
    </row>
    <row r="58" spans="5:22" ht="15">
      <c r="E58" s="96"/>
      <c r="K58" s="106" t="s">
        <v>438</v>
      </c>
      <c r="L58" s="106"/>
      <c r="M58" s="97">
        <v>411116</v>
      </c>
      <c r="N58" s="97">
        <v>308088</v>
      </c>
      <c r="O58" s="97">
        <f>M58+N58</f>
        <v>719204</v>
      </c>
      <c r="P58" s="97">
        <v>240</v>
      </c>
      <c r="Q58" s="97">
        <f>SUM(P58/O58)*100</f>
        <v>0.03337022597204687</v>
      </c>
      <c r="R58" s="439">
        <v>0</v>
      </c>
      <c r="S58" s="439">
        <f>O58+R58</f>
        <v>719204</v>
      </c>
      <c r="T58" s="93">
        <v>240</v>
      </c>
      <c r="U58" s="505">
        <f>SUM(T58/S58)*100</f>
        <v>0.03337022597204687</v>
      </c>
      <c r="V58" s="93">
        <v>0</v>
      </c>
    </row>
    <row r="59" spans="5:19" ht="15">
      <c r="E59" s="96"/>
      <c r="K59" s="106" t="s">
        <v>541</v>
      </c>
      <c r="L59" s="106"/>
      <c r="M59" s="97">
        <v>2438</v>
      </c>
      <c r="N59" s="97"/>
      <c r="O59" s="97"/>
      <c r="P59" s="97"/>
      <c r="Q59" s="97"/>
      <c r="R59" s="439"/>
      <c r="S59" s="439"/>
    </row>
    <row r="60" spans="1:20" ht="15">
      <c r="A60" s="366"/>
      <c r="B60" s="366"/>
      <c r="C60" s="366"/>
      <c r="D60" s="366"/>
      <c r="E60" s="367"/>
      <c r="F60" s="368"/>
      <c r="G60" s="368"/>
      <c r="H60" s="368"/>
      <c r="I60" s="368"/>
      <c r="J60" s="368"/>
      <c r="K60" s="766" t="s">
        <v>566</v>
      </c>
      <c r="L60" s="368"/>
      <c r="M60" s="267">
        <v>103767</v>
      </c>
      <c r="N60" s="97"/>
      <c r="O60" s="97"/>
      <c r="P60" s="97"/>
      <c r="Q60" s="97"/>
      <c r="R60" s="439"/>
      <c r="S60" s="439"/>
      <c r="T60" s="97"/>
    </row>
    <row r="61" spans="1:22" ht="15.75">
      <c r="A61" s="109"/>
      <c r="B61" s="109"/>
      <c r="C61" s="109"/>
      <c r="D61" s="109"/>
      <c r="E61" s="369" t="s">
        <v>191</v>
      </c>
      <c r="F61" s="101"/>
      <c r="G61" s="101" t="s">
        <v>441</v>
      </c>
      <c r="H61" s="101"/>
      <c r="I61" s="101"/>
      <c r="J61" s="101"/>
      <c r="K61" s="101"/>
      <c r="L61" s="101"/>
      <c r="M61" s="266">
        <f>SUM(M58:M60)</f>
        <v>517321</v>
      </c>
      <c r="N61" s="370">
        <f>SUM(N58:N60)</f>
        <v>308088</v>
      </c>
      <c r="O61" s="370">
        <f>M61+N61</f>
        <v>825409</v>
      </c>
      <c r="P61" s="370">
        <f>SUM(P58:P60)</f>
        <v>240</v>
      </c>
      <c r="Q61" s="370">
        <f>SUM(P61/O61)*100</f>
        <v>0.02907649419863365</v>
      </c>
      <c r="R61" s="446">
        <f>SUM(R58:R60)</f>
        <v>0</v>
      </c>
      <c r="S61" s="446">
        <f aca="true" t="shared" si="5" ref="S61:S85">O61+R61</f>
        <v>825409</v>
      </c>
      <c r="T61" s="206">
        <f>SUM(T58:T60)</f>
        <v>240</v>
      </c>
      <c r="U61" s="507">
        <f aca="true" t="shared" si="6" ref="U61:U72">SUM(T61/S61)*100</f>
        <v>0.02907649419863365</v>
      </c>
      <c r="V61" s="206">
        <f>SUM(V58:V60)</f>
        <v>0</v>
      </c>
    </row>
    <row r="62" spans="1:13" ht="15">
      <c r="A62" s="207"/>
      <c r="B62" s="207"/>
      <c r="C62" s="207"/>
      <c r="D62" s="207"/>
      <c r="E62" s="207" t="s">
        <v>81</v>
      </c>
      <c r="F62" s="208"/>
      <c r="G62" s="208"/>
      <c r="H62" s="208"/>
      <c r="I62" s="208"/>
      <c r="J62" s="208"/>
      <c r="K62" s="209" t="s">
        <v>399</v>
      </c>
      <c r="L62" s="208"/>
      <c r="M62" s="210"/>
    </row>
    <row r="63" spans="1:22" s="101" customFormat="1" ht="15.75">
      <c r="A63" s="204"/>
      <c r="B63" s="204"/>
      <c r="C63" s="204"/>
      <c r="D63" s="204"/>
      <c r="E63" s="204" t="s">
        <v>81</v>
      </c>
      <c r="F63" s="180"/>
      <c r="G63" s="180" t="s">
        <v>424</v>
      </c>
      <c r="H63" s="180"/>
      <c r="I63" s="180"/>
      <c r="J63" s="180"/>
      <c r="K63" s="205"/>
      <c r="L63" s="180"/>
      <c r="M63" s="206">
        <v>0</v>
      </c>
      <c r="N63" s="206">
        <v>0</v>
      </c>
      <c r="O63" s="206">
        <f>M63+N63</f>
        <v>0</v>
      </c>
      <c r="P63" s="206" t="e">
        <f>SUM(#REF!)</f>
        <v>#REF!</v>
      </c>
      <c r="Q63" s="206" t="e">
        <f>SUM(P63/O63)*100</f>
        <v>#REF!</v>
      </c>
      <c r="R63" s="440" t="e">
        <f>SUM(#REF!)</f>
        <v>#REF!</v>
      </c>
      <c r="S63" s="440" t="e">
        <f t="shared" si="5"/>
        <v>#REF!</v>
      </c>
      <c r="T63" s="206" t="e">
        <f>SUM(#REF!)</f>
        <v>#REF!</v>
      </c>
      <c r="U63" s="507" t="e">
        <f t="shared" si="6"/>
        <v>#REF!</v>
      </c>
      <c r="V63" s="206" t="e">
        <f>SUM(#REF!)</f>
        <v>#REF!</v>
      </c>
    </row>
    <row r="64" spans="1:13" ht="15">
      <c r="A64" s="105"/>
      <c r="B64" s="105"/>
      <c r="C64" s="105"/>
      <c r="D64" s="105"/>
      <c r="E64" s="91" t="s">
        <v>90</v>
      </c>
      <c r="F64" s="106"/>
      <c r="G64" s="106"/>
      <c r="H64" s="106"/>
      <c r="I64" s="106"/>
      <c r="J64" s="106"/>
      <c r="K64" s="102" t="s">
        <v>193</v>
      </c>
      <c r="L64" s="106"/>
      <c r="M64" s="97"/>
    </row>
    <row r="65" spans="1:22" s="106" customFormat="1" ht="15">
      <c r="A65" s="105"/>
      <c r="B65" s="105"/>
      <c r="C65" s="105"/>
      <c r="D65" s="105"/>
      <c r="E65" s="105"/>
      <c r="K65" s="102"/>
      <c r="L65" s="106" t="s">
        <v>542</v>
      </c>
      <c r="M65" s="97">
        <v>2700</v>
      </c>
      <c r="N65" s="267">
        <v>0</v>
      </c>
      <c r="O65" s="97">
        <f>M65+N65</f>
        <v>2700</v>
      </c>
      <c r="P65" s="97">
        <v>0</v>
      </c>
      <c r="Q65" s="97">
        <f>SUM(P65/O65)*100</f>
        <v>0</v>
      </c>
      <c r="R65" s="439">
        <v>0</v>
      </c>
      <c r="S65" s="437">
        <f t="shared" si="5"/>
        <v>2700</v>
      </c>
      <c r="T65" s="97">
        <v>158</v>
      </c>
      <c r="U65" s="505">
        <f t="shared" si="6"/>
        <v>5.851851851851852</v>
      </c>
      <c r="V65" s="97">
        <v>0</v>
      </c>
    </row>
    <row r="66" spans="1:22" s="104" customFormat="1" ht="15.75">
      <c r="A66" s="204"/>
      <c r="B66" s="204"/>
      <c r="C66" s="204"/>
      <c r="D66" s="204"/>
      <c r="E66" s="204" t="s">
        <v>90</v>
      </c>
      <c r="F66" s="180"/>
      <c r="G66" s="205" t="s">
        <v>425</v>
      </c>
      <c r="H66" s="180"/>
      <c r="I66" s="180"/>
      <c r="J66" s="180"/>
      <c r="K66" s="205"/>
      <c r="L66" s="180"/>
      <c r="M66" s="206">
        <f>SUM(M65)</f>
        <v>2700</v>
      </c>
      <c r="N66" s="206">
        <v>0</v>
      </c>
      <c r="O66" s="206">
        <f>M66+N66</f>
        <v>2700</v>
      </c>
      <c r="P66" s="206">
        <f>SUM(P65:P65)</f>
        <v>0</v>
      </c>
      <c r="Q66" s="206">
        <f>SUM(P66/O66)*100</f>
        <v>0</v>
      </c>
      <c r="R66" s="440">
        <f>SUM(R65:R65)</f>
        <v>0</v>
      </c>
      <c r="S66" s="440">
        <f t="shared" si="5"/>
        <v>2700</v>
      </c>
      <c r="T66" s="206">
        <f>SUM(T65:T65)</f>
        <v>158</v>
      </c>
      <c r="U66" s="507">
        <f t="shared" si="6"/>
        <v>5.851851851851852</v>
      </c>
      <c r="V66" s="206">
        <f>SUM(V65:V65)</f>
        <v>0</v>
      </c>
    </row>
    <row r="67" spans="1:15" ht="15">
      <c r="A67" s="105"/>
      <c r="B67" s="105"/>
      <c r="C67" s="105"/>
      <c r="D67" s="105"/>
      <c r="E67" s="105" t="s">
        <v>94</v>
      </c>
      <c r="F67" s="106"/>
      <c r="G67" s="106"/>
      <c r="H67" s="106"/>
      <c r="I67" s="106"/>
      <c r="J67" s="106"/>
      <c r="K67" s="102" t="s">
        <v>194</v>
      </c>
      <c r="L67" s="106"/>
      <c r="M67" s="97"/>
      <c r="N67" s="97"/>
      <c r="O67" s="97"/>
    </row>
    <row r="68" spans="1:22" s="101" customFormat="1" ht="15.75">
      <c r="A68" s="204"/>
      <c r="B68" s="204"/>
      <c r="C68" s="204"/>
      <c r="D68" s="204"/>
      <c r="E68" s="204" t="s">
        <v>94</v>
      </c>
      <c r="F68" s="180"/>
      <c r="G68" s="180" t="s">
        <v>440</v>
      </c>
      <c r="H68" s="180"/>
      <c r="I68" s="180"/>
      <c r="J68" s="180"/>
      <c r="K68" s="205"/>
      <c r="L68" s="180"/>
      <c r="M68" s="206">
        <v>0</v>
      </c>
      <c r="N68" s="206" t="e">
        <f>SUM(#REF!)</f>
        <v>#REF!</v>
      </c>
      <c r="O68" s="206" t="e">
        <f>M68+N68</f>
        <v>#REF!</v>
      </c>
      <c r="P68" s="206" t="e">
        <f>SUM(#REF!)</f>
        <v>#REF!</v>
      </c>
      <c r="Q68" s="184" t="e">
        <f>SUM(P68/O68)*100</f>
        <v>#REF!</v>
      </c>
      <c r="R68" s="440" t="e">
        <f>SUM(#REF!)</f>
        <v>#REF!</v>
      </c>
      <c r="S68" s="440" t="e">
        <f t="shared" si="5"/>
        <v>#REF!</v>
      </c>
      <c r="T68" s="206" t="e">
        <f>SUM(#REF!)</f>
        <v>#REF!</v>
      </c>
      <c r="U68" s="507" t="e">
        <f t="shared" si="6"/>
        <v>#REF!</v>
      </c>
      <c r="V68" s="206" t="e">
        <f>SUM(#REF!)</f>
        <v>#REF!</v>
      </c>
    </row>
    <row r="69" spans="1:17" ht="15">
      <c r="A69" s="105"/>
      <c r="B69" s="105"/>
      <c r="C69" s="105"/>
      <c r="D69" s="105"/>
      <c r="E69" s="107" t="s">
        <v>195</v>
      </c>
      <c r="F69" s="106"/>
      <c r="G69" s="106"/>
      <c r="H69" s="106"/>
      <c r="I69" s="106"/>
      <c r="J69" s="106"/>
      <c r="K69" s="102" t="s">
        <v>196</v>
      </c>
      <c r="L69" s="106"/>
      <c r="M69" s="97"/>
      <c r="N69" s="267">
        <v>0</v>
      </c>
      <c r="O69" s="97"/>
      <c r="P69" s="184">
        <v>0</v>
      </c>
      <c r="Q69" s="184">
        <v>0</v>
      </c>
    </row>
    <row r="70" spans="1:22" s="101" customFormat="1" ht="15.75">
      <c r="A70" s="204"/>
      <c r="B70" s="204"/>
      <c r="C70" s="204"/>
      <c r="D70" s="204"/>
      <c r="E70" s="204" t="s">
        <v>195</v>
      </c>
      <c r="F70" s="180"/>
      <c r="G70" s="180" t="s">
        <v>457</v>
      </c>
      <c r="H70" s="180"/>
      <c r="I70" s="180"/>
      <c r="J70" s="180"/>
      <c r="K70" s="205"/>
      <c r="L70" s="180"/>
      <c r="M70" s="206">
        <f>SUM(M69:M69)</f>
        <v>0</v>
      </c>
      <c r="N70" s="206"/>
      <c r="O70" s="206">
        <f>SUM(O69:O69)</f>
        <v>0</v>
      </c>
      <c r="P70" s="206"/>
      <c r="Q70" s="206"/>
      <c r="R70" s="440">
        <f>SUM(R69:R69)</f>
        <v>0</v>
      </c>
      <c r="S70" s="440">
        <f t="shared" si="5"/>
        <v>0</v>
      </c>
      <c r="T70" s="206" t="e">
        <f>SUM(#REF!)</f>
        <v>#REF!</v>
      </c>
      <c r="U70" s="507" t="e">
        <f t="shared" si="6"/>
        <v>#REF!</v>
      </c>
      <c r="V70" s="206" t="e">
        <f>SUM(#REF!)</f>
        <v>#REF!</v>
      </c>
    </row>
    <row r="71" spans="1:22" s="101" customFormat="1" ht="15.75">
      <c r="A71" s="443"/>
      <c r="B71" s="443"/>
      <c r="C71" s="443"/>
      <c r="D71" s="443"/>
      <c r="E71" s="443" t="s">
        <v>197</v>
      </c>
      <c r="F71" s="444"/>
      <c r="G71" s="444"/>
      <c r="H71" s="444"/>
      <c r="I71" s="444"/>
      <c r="J71" s="444"/>
      <c r="K71" s="444" t="s">
        <v>198</v>
      </c>
      <c r="L71" s="444"/>
      <c r="M71" s="445">
        <v>1446077</v>
      </c>
      <c r="N71" s="370">
        <v>368</v>
      </c>
      <c r="O71" s="370">
        <f>M71+N71</f>
        <v>1446445</v>
      </c>
      <c r="P71" s="370">
        <v>0</v>
      </c>
      <c r="Q71" s="370">
        <f>SUM(P71/O71)*100</f>
        <v>0</v>
      </c>
      <c r="R71" s="446">
        <v>1022429</v>
      </c>
      <c r="S71" s="446">
        <f t="shared" si="5"/>
        <v>2468874</v>
      </c>
      <c r="T71" s="266">
        <v>0</v>
      </c>
      <c r="U71" s="507">
        <f t="shared" si="6"/>
        <v>0</v>
      </c>
      <c r="V71" s="206">
        <v>78870</v>
      </c>
    </row>
    <row r="72" spans="1:22" ht="15.75">
      <c r="A72" s="98" t="s">
        <v>74</v>
      </c>
      <c r="B72" s="98"/>
      <c r="C72" s="98"/>
      <c r="D72" s="98"/>
      <c r="E72" s="98"/>
      <c r="F72" s="99"/>
      <c r="G72" s="103"/>
      <c r="H72" s="99" t="s">
        <v>144</v>
      </c>
      <c r="I72" s="99"/>
      <c r="J72" s="103"/>
      <c r="K72" s="99"/>
      <c r="L72" s="99"/>
      <c r="M72" s="100">
        <f>SUM(M61+M63+M66+M68+M70+M71)</f>
        <v>1966098</v>
      </c>
      <c r="N72" s="206" t="e">
        <f>N61+N63+N66+N68+N69+N71</f>
        <v>#REF!</v>
      </c>
      <c r="O72" s="206" t="e">
        <f>M72+N72</f>
        <v>#REF!</v>
      </c>
      <c r="P72" s="206" t="e">
        <f>P61+P63+P66+P68+P69+P71</f>
        <v>#REF!</v>
      </c>
      <c r="Q72" s="206" t="e">
        <f>SUM(P72/O72)*100</f>
        <v>#REF!</v>
      </c>
      <c r="R72" s="440" t="e">
        <f>R61+R63+R66+R68+R70+R71</f>
        <v>#REF!</v>
      </c>
      <c r="S72" s="440" t="e">
        <f t="shared" si="5"/>
        <v>#REF!</v>
      </c>
      <c r="T72" s="206" t="e">
        <f>T61+T63+T66+T68+T70+T71</f>
        <v>#REF!</v>
      </c>
      <c r="U72" s="507" t="e">
        <f t="shared" si="6"/>
        <v>#REF!</v>
      </c>
      <c r="V72" s="206" t="e">
        <f>V61+V63+V66+V68+V70+V71</f>
        <v>#REF!</v>
      </c>
    </row>
    <row r="73" spans="1:7" ht="15">
      <c r="A73" s="91" t="s">
        <v>79</v>
      </c>
      <c r="G73" s="92" t="s">
        <v>170</v>
      </c>
    </row>
    <row r="74" spans="4:10" ht="15">
      <c r="D74" s="91" t="s">
        <v>79</v>
      </c>
      <c r="J74" s="92" t="s">
        <v>190</v>
      </c>
    </row>
    <row r="75" spans="5:11" ht="15">
      <c r="E75" s="96" t="s">
        <v>191</v>
      </c>
      <c r="K75" s="92" t="s">
        <v>398</v>
      </c>
    </row>
    <row r="76" spans="11:22" ht="15">
      <c r="K76" s="92" t="s">
        <v>199</v>
      </c>
      <c r="M76" s="93">
        <v>5000</v>
      </c>
      <c r="N76" s="267">
        <v>0</v>
      </c>
      <c r="O76" s="97">
        <f>M76+N76</f>
        <v>5000</v>
      </c>
      <c r="P76" s="267">
        <v>455</v>
      </c>
      <c r="Q76" s="267">
        <f aca="true" t="shared" si="7" ref="Q76:Q82">SUM(P76/O76)*100</f>
        <v>9.1</v>
      </c>
      <c r="R76" s="437">
        <v>988</v>
      </c>
      <c r="S76" s="437">
        <f t="shared" si="5"/>
        <v>5988</v>
      </c>
      <c r="T76" s="97">
        <v>624</v>
      </c>
      <c r="U76" s="506">
        <f>SUM(T76/S76)*100</f>
        <v>10.420841683366733</v>
      </c>
      <c r="V76" s="93">
        <v>0</v>
      </c>
    </row>
    <row r="77" spans="1:22" s="101" customFormat="1" ht="15.75">
      <c r="A77" s="98"/>
      <c r="B77" s="98"/>
      <c r="C77" s="98"/>
      <c r="D77" s="98"/>
      <c r="E77" s="108" t="s">
        <v>191</v>
      </c>
      <c r="F77" s="99"/>
      <c r="G77" s="99" t="s">
        <v>408</v>
      </c>
      <c r="H77" s="99"/>
      <c r="I77" s="99"/>
      <c r="J77" s="99"/>
      <c r="K77" s="99"/>
      <c r="L77" s="99"/>
      <c r="M77" s="100">
        <f>SUM(M76:M76)</f>
        <v>5000</v>
      </c>
      <c r="N77" s="206">
        <v>0</v>
      </c>
      <c r="O77" s="206">
        <f>M77+N77</f>
        <v>5000</v>
      </c>
      <c r="P77" s="206">
        <f>SUM(P76)</f>
        <v>455</v>
      </c>
      <c r="Q77" s="206">
        <f t="shared" si="7"/>
        <v>9.1</v>
      </c>
      <c r="R77" s="440">
        <f>SUM(R76:R76)</f>
        <v>988</v>
      </c>
      <c r="S77" s="440">
        <f t="shared" si="5"/>
        <v>5988</v>
      </c>
      <c r="T77" s="206">
        <f>SUM(T76:T76)</f>
        <v>624</v>
      </c>
      <c r="U77" s="507">
        <f aca="true" t="shared" si="8" ref="U77:U85">SUM(T77/S77)*100</f>
        <v>10.420841683366733</v>
      </c>
      <c r="V77" s="206">
        <f>SUM(V76:V76)</f>
        <v>0</v>
      </c>
    </row>
    <row r="78" spans="1:22" ht="15.75">
      <c r="A78" s="98" t="s">
        <v>79</v>
      </c>
      <c r="B78" s="98"/>
      <c r="C78" s="98"/>
      <c r="D78" s="98"/>
      <c r="E78" s="98"/>
      <c r="F78" s="99"/>
      <c r="G78" s="103"/>
      <c r="H78" s="99" t="s">
        <v>150</v>
      </c>
      <c r="I78" s="99"/>
      <c r="J78" s="103"/>
      <c r="K78" s="99"/>
      <c r="L78" s="99"/>
      <c r="M78" s="100">
        <f>SUM(M77)</f>
        <v>5000</v>
      </c>
      <c r="N78" s="206">
        <v>0</v>
      </c>
      <c r="O78" s="206">
        <f>M78+N78</f>
        <v>5000</v>
      </c>
      <c r="P78" s="206" t="e">
        <f>P77+#REF!+#REF!+#REF!</f>
        <v>#REF!</v>
      </c>
      <c r="Q78" s="206" t="e">
        <f t="shared" si="7"/>
        <v>#REF!</v>
      </c>
      <c r="R78" s="440">
        <f>R77</f>
        <v>988</v>
      </c>
      <c r="S78" s="440">
        <f t="shared" si="5"/>
        <v>5988</v>
      </c>
      <c r="T78" s="206">
        <f>SUM(T77)</f>
        <v>624</v>
      </c>
      <c r="U78" s="507">
        <f t="shared" si="8"/>
        <v>10.420841683366733</v>
      </c>
      <c r="V78" s="206">
        <f>SUM(V77)</f>
        <v>0</v>
      </c>
    </row>
    <row r="79" spans="1:22" s="101" customFormat="1" ht="15.75">
      <c r="A79" s="94"/>
      <c r="B79" s="94"/>
      <c r="C79" s="94"/>
      <c r="D79" s="94"/>
      <c r="E79" s="105" t="s">
        <v>191</v>
      </c>
      <c r="F79" s="106"/>
      <c r="G79" s="106"/>
      <c r="H79" s="106"/>
      <c r="I79" s="106"/>
      <c r="J79" s="106"/>
      <c r="K79" s="106" t="s">
        <v>398</v>
      </c>
      <c r="L79" s="106"/>
      <c r="M79" s="97">
        <f>SUM(M61+M77)</f>
        <v>522321</v>
      </c>
      <c r="N79" s="93">
        <f>N61+N77</f>
        <v>308088</v>
      </c>
      <c r="O79" s="93">
        <f aca="true" t="shared" si="9" ref="O79:O85">M79+N79</f>
        <v>830409</v>
      </c>
      <c r="P79" s="93" t="e">
        <f>P61+P77+#REF!</f>
        <v>#REF!</v>
      </c>
      <c r="Q79" s="93" t="e">
        <f t="shared" si="7"/>
        <v>#REF!</v>
      </c>
      <c r="R79" s="437" t="e">
        <f>R61+R77+#REF!+#REF!</f>
        <v>#REF!</v>
      </c>
      <c r="S79" s="437" t="e">
        <f t="shared" si="5"/>
        <v>#REF!</v>
      </c>
      <c r="T79" s="93" t="e">
        <f>T61+T77+#REF!+#REF!</f>
        <v>#REF!</v>
      </c>
      <c r="U79" s="506" t="e">
        <f t="shared" si="8"/>
        <v>#REF!</v>
      </c>
      <c r="V79" s="93" t="e">
        <f>V61+V77+#REF!+#REF!</f>
        <v>#REF!</v>
      </c>
    </row>
    <row r="80" spans="1:22" ht="15">
      <c r="A80" s="105"/>
      <c r="B80" s="105"/>
      <c r="C80" s="105"/>
      <c r="D80" s="105"/>
      <c r="E80" s="105" t="s">
        <v>81</v>
      </c>
      <c r="F80" s="106"/>
      <c r="G80" s="106"/>
      <c r="H80" s="106"/>
      <c r="I80" s="106"/>
      <c r="J80" s="106"/>
      <c r="K80" s="102" t="s">
        <v>399</v>
      </c>
      <c r="L80" s="106"/>
      <c r="M80" s="97">
        <f>SUM(M63)</f>
        <v>0</v>
      </c>
      <c r="N80" s="93">
        <v>0</v>
      </c>
      <c r="O80" s="93">
        <f t="shared" si="9"/>
        <v>0</v>
      </c>
      <c r="P80" s="93" t="e">
        <f>P63+#REF!</f>
        <v>#REF!</v>
      </c>
      <c r="Q80" s="93" t="e">
        <f t="shared" si="7"/>
        <v>#REF!</v>
      </c>
      <c r="R80" s="437" t="e">
        <f>R63</f>
        <v>#REF!</v>
      </c>
      <c r="S80" s="437" t="e">
        <f t="shared" si="5"/>
        <v>#REF!</v>
      </c>
      <c r="T80" s="97" t="e">
        <f>T63</f>
        <v>#REF!</v>
      </c>
      <c r="U80" s="506" t="e">
        <f t="shared" si="8"/>
        <v>#REF!</v>
      </c>
      <c r="V80" s="93" t="e">
        <f>V63</f>
        <v>#REF!</v>
      </c>
    </row>
    <row r="81" spans="1:22" ht="15">
      <c r="A81" s="105"/>
      <c r="B81" s="105"/>
      <c r="C81" s="105"/>
      <c r="D81" s="105"/>
      <c r="E81" s="105" t="s">
        <v>90</v>
      </c>
      <c r="F81" s="106"/>
      <c r="G81" s="106"/>
      <c r="H81" s="106"/>
      <c r="I81" s="106"/>
      <c r="J81" s="106"/>
      <c r="K81" s="102" t="s">
        <v>193</v>
      </c>
      <c r="L81" s="106"/>
      <c r="M81" s="97">
        <f>SUM(M66)</f>
        <v>2700</v>
      </c>
      <c r="N81" s="93">
        <v>0</v>
      </c>
      <c r="O81" s="93">
        <f t="shared" si="9"/>
        <v>2700</v>
      </c>
      <c r="P81" s="93" t="e">
        <f>P66+#REF!</f>
        <v>#REF!</v>
      </c>
      <c r="Q81" s="93" t="e">
        <f t="shared" si="7"/>
        <v>#REF!</v>
      </c>
      <c r="R81" s="437">
        <f>R66</f>
        <v>0</v>
      </c>
      <c r="S81" s="437">
        <f t="shared" si="5"/>
        <v>2700</v>
      </c>
      <c r="T81" s="97">
        <f>T66</f>
        <v>158</v>
      </c>
      <c r="U81" s="506">
        <f t="shared" si="8"/>
        <v>5.851851851851852</v>
      </c>
      <c r="V81" s="93">
        <f>V66</f>
        <v>0</v>
      </c>
    </row>
    <row r="82" spans="1:22" ht="15">
      <c r="A82" s="105"/>
      <c r="B82" s="105"/>
      <c r="C82" s="105"/>
      <c r="D82" s="105"/>
      <c r="E82" s="105" t="s">
        <v>94</v>
      </c>
      <c r="F82" s="106"/>
      <c r="G82" s="106"/>
      <c r="H82" s="106"/>
      <c r="I82" s="106"/>
      <c r="J82" s="106"/>
      <c r="K82" s="102" t="s">
        <v>201</v>
      </c>
      <c r="L82" s="106"/>
      <c r="M82" s="97">
        <f>SUM(M68)</f>
        <v>0</v>
      </c>
      <c r="N82" s="93">
        <v>24</v>
      </c>
      <c r="O82" s="93">
        <f t="shared" si="9"/>
        <v>24</v>
      </c>
      <c r="P82" s="93" t="e">
        <f>P68+#REF!</f>
        <v>#REF!</v>
      </c>
      <c r="Q82" s="93" t="e">
        <f t="shared" si="7"/>
        <v>#REF!</v>
      </c>
      <c r="R82" s="437" t="e">
        <f>R68</f>
        <v>#REF!</v>
      </c>
      <c r="S82" s="437" t="e">
        <f t="shared" si="5"/>
        <v>#REF!</v>
      </c>
      <c r="T82" s="97" t="e">
        <f>T68</f>
        <v>#REF!</v>
      </c>
      <c r="U82" s="506" t="e">
        <f t="shared" si="8"/>
        <v>#REF!</v>
      </c>
      <c r="V82" s="93" t="e">
        <f>V68</f>
        <v>#REF!</v>
      </c>
    </row>
    <row r="83" spans="1:22" ht="15">
      <c r="A83" s="105"/>
      <c r="B83" s="105"/>
      <c r="C83" s="105"/>
      <c r="D83" s="105"/>
      <c r="E83" s="105" t="s">
        <v>195</v>
      </c>
      <c r="F83" s="106"/>
      <c r="G83" s="106"/>
      <c r="H83" s="106"/>
      <c r="I83" s="106"/>
      <c r="J83" s="106"/>
      <c r="K83" s="102" t="s">
        <v>196</v>
      </c>
      <c r="L83" s="106"/>
      <c r="M83" s="97">
        <f>SUM(M70)</f>
        <v>0</v>
      </c>
      <c r="N83" s="93">
        <v>0</v>
      </c>
      <c r="O83" s="93">
        <f t="shared" si="9"/>
        <v>0</v>
      </c>
      <c r="P83" s="93">
        <f>P69</f>
        <v>0</v>
      </c>
      <c r="Q83" s="93">
        <v>0</v>
      </c>
      <c r="R83" s="437">
        <f>R70</f>
        <v>0</v>
      </c>
      <c r="S83" s="437">
        <f t="shared" si="5"/>
        <v>0</v>
      </c>
      <c r="T83" s="97" t="e">
        <f>T70</f>
        <v>#REF!</v>
      </c>
      <c r="U83" s="506" t="e">
        <f t="shared" si="8"/>
        <v>#REF!</v>
      </c>
      <c r="V83" s="93" t="e">
        <f>V70</f>
        <v>#REF!</v>
      </c>
    </row>
    <row r="84" spans="1:22" ht="15">
      <c r="A84" s="105"/>
      <c r="B84" s="105"/>
      <c r="C84" s="105"/>
      <c r="D84" s="105"/>
      <c r="E84" s="91" t="s">
        <v>197</v>
      </c>
      <c r="F84" s="106"/>
      <c r="G84" s="106"/>
      <c r="H84" s="106"/>
      <c r="I84" s="106"/>
      <c r="J84" s="106"/>
      <c r="K84" s="102" t="s">
        <v>198</v>
      </c>
      <c r="L84" s="106"/>
      <c r="M84" s="97">
        <f>SUM(M71)</f>
        <v>1446077</v>
      </c>
      <c r="N84" s="267">
        <v>368</v>
      </c>
      <c r="O84" s="267">
        <f t="shared" si="9"/>
        <v>1446445</v>
      </c>
      <c r="P84" s="267">
        <f>P71</f>
        <v>0</v>
      </c>
      <c r="Q84" s="267">
        <f>SUM(P84/O84)*100</f>
        <v>0</v>
      </c>
      <c r="R84" s="437">
        <f>R71</f>
        <v>1022429</v>
      </c>
      <c r="S84" s="437">
        <f t="shared" si="5"/>
        <v>2468874</v>
      </c>
      <c r="T84" s="267">
        <f>T71</f>
        <v>0</v>
      </c>
      <c r="U84" s="506">
        <f t="shared" si="8"/>
        <v>0</v>
      </c>
      <c r="V84" s="93">
        <f>V71</f>
        <v>78870</v>
      </c>
    </row>
    <row r="85" spans="1:22" ht="15.75">
      <c r="A85" s="98"/>
      <c r="B85" s="98"/>
      <c r="C85" s="98"/>
      <c r="D85" s="98" t="s">
        <v>79</v>
      </c>
      <c r="E85" s="98"/>
      <c r="F85" s="99"/>
      <c r="G85" s="99"/>
      <c r="H85" s="99"/>
      <c r="I85" s="99"/>
      <c r="J85" s="99" t="s">
        <v>202</v>
      </c>
      <c r="K85" s="99"/>
      <c r="L85" s="99"/>
      <c r="M85" s="100">
        <f>SUM(M79:M84)</f>
        <v>1971098</v>
      </c>
      <c r="N85" s="206">
        <f>SUM(N79:N84)</f>
        <v>308480</v>
      </c>
      <c r="O85" s="206">
        <f t="shared" si="9"/>
        <v>2279578</v>
      </c>
      <c r="P85" s="206" t="e">
        <f>SUM(P79:P84)</f>
        <v>#REF!</v>
      </c>
      <c r="Q85" s="206" t="e">
        <f>SUM(P85/O85)*100</f>
        <v>#REF!</v>
      </c>
      <c r="R85" s="440" t="e">
        <f>SUM(R79:R84)</f>
        <v>#REF!</v>
      </c>
      <c r="S85" s="440" t="e">
        <f t="shared" si="5"/>
        <v>#REF!</v>
      </c>
      <c r="T85" s="206" t="e">
        <f>T72+T78+#REF!+#REF!</f>
        <v>#REF!</v>
      </c>
      <c r="U85" s="507" t="e">
        <f t="shared" si="8"/>
        <v>#REF!</v>
      </c>
      <c r="V85" s="206" t="e">
        <f>SUM(V79:V84)</f>
        <v>#REF!</v>
      </c>
    </row>
    <row r="86" spans="1:12" ht="15.75">
      <c r="A86" s="94"/>
      <c r="B86" s="94"/>
      <c r="C86" s="94"/>
      <c r="D86" s="94"/>
      <c r="E86" s="94"/>
      <c r="F86" s="104"/>
      <c r="G86" s="104"/>
      <c r="H86" s="104"/>
      <c r="I86" s="104"/>
      <c r="J86" s="104"/>
      <c r="K86" s="104"/>
      <c r="L86" s="104"/>
    </row>
    <row r="87" spans="1:12" ht="15.75">
      <c r="A87" s="94"/>
      <c r="B87" s="94"/>
      <c r="C87" s="94"/>
      <c r="D87" s="94"/>
      <c r="E87" s="94"/>
      <c r="F87" s="104"/>
      <c r="G87" s="104"/>
      <c r="H87" s="104"/>
      <c r="I87" s="104"/>
      <c r="J87" s="104"/>
      <c r="K87" s="104"/>
      <c r="L87" s="104"/>
    </row>
    <row r="88" spans="1:13" ht="15.75">
      <c r="A88" s="94"/>
      <c r="B88" s="94"/>
      <c r="C88" s="94"/>
      <c r="D88" s="94"/>
      <c r="E88" s="94"/>
      <c r="F88" s="104"/>
      <c r="G88" s="104"/>
      <c r="H88" s="104"/>
      <c r="I88" s="104"/>
      <c r="J88" s="104"/>
      <c r="K88" s="104"/>
      <c r="L88" s="104"/>
      <c r="M88" s="382"/>
    </row>
    <row r="89" spans="1:12" ht="15.75">
      <c r="A89" s="94"/>
      <c r="B89" s="94"/>
      <c r="C89" s="94"/>
      <c r="D89" s="94"/>
      <c r="E89" s="94"/>
      <c r="F89" s="104"/>
      <c r="G89" s="104"/>
      <c r="H89" s="104"/>
      <c r="I89" s="104"/>
      <c r="J89" s="104"/>
      <c r="K89" s="104"/>
      <c r="L89" s="104"/>
    </row>
    <row r="90" spans="1:12" ht="15.75">
      <c r="A90" s="94"/>
      <c r="B90" s="94"/>
      <c r="C90" s="94"/>
      <c r="D90" s="94"/>
      <c r="E90" s="94"/>
      <c r="F90" s="104"/>
      <c r="G90" s="104"/>
      <c r="H90" s="104"/>
      <c r="I90" s="104"/>
      <c r="J90" s="104"/>
      <c r="K90" s="104"/>
      <c r="L90" s="104"/>
    </row>
    <row r="91" spans="1:12" ht="15.75">
      <c r="A91" s="94"/>
      <c r="B91" s="94"/>
      <c r="C91" s="94"/>
      <c r="D91" s="94"/>
      <c r="E91" s="94"/>
      <c r="F91" s="104"/>
      <c r="G91" s="104"/>
      <c r="H91" s="104"/>
      <c r="I91" s="104"/>
      <c r="J91" s="104"/>
      <c r="K91" s="104"/>
      <c r="L91" s="104"/>
    </row>
    <row r="92" spans="1:22" ht="15.75">
      <c r="A92" s="817" t="s">
        <v>516</v>
      </c>
      <c r="B92" s="817"/>
      <c r="C92" s="817"/>
      <c r="D92" s="817"/>
      <c r="E92" s="817"/>
      <c r="F92" s="817"/>
      <c r="G92" s="817"/>
      <c r="H92" s="817"/>
      <c r="I92" s="817"/>
      <c r="J92" s="817"/>
      <c r="K92" s="817"/>
      <c r="L92" s="817"/>
      <c r="M92" s="824"/>
      <c r="N92" s="824"/>
      <c r="O92" s="824"/>
      <c r="P92" s="824"/>
      <c r="Q92" s="824"/>
      <c r="R92" s="824"/>
      <c r="S92" s="824"/>
      <c r="T92" s="824"/>
      <c r="U92" s="824"/>
      <c r="V92" s="824"/>
    </row>
    <row r="93" spans="1:14" ht="15.75">
      <c r="A93" s="94"/>
      <c r="B93" s="94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0"/>
      <c r="N93" s="110"/>
    </row>
    <row r="94" spans="1:14" ht="15.75">
      <c r="A94" s="94"/>
      <c r="B94" s="94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0"/>
      <c r="N94" s="110"/>
    </row>
    <row r="95" spans="1:22" ht="15.75">
      <c r="A95" s="94"/>
      <c r="B95" s="94"/>
      <c r="C95" s="109"/>
      <c r="D95" s="109"/>
      <c r="E95" s="109"/>
      <c r="F95" s="109"/>
      <c r="G95" s="109"/>
      <c r="H95" s="109"/>
      <c r="I95" s="109"/>
      <c r="J95" s="109"/>
      <c r="K95" s="109"/>
      <c r="L95" s="828" t="s">
        <v>60</v>
      </c>
      <c r="M95" s="828"/>
      <c r="N95" s="816"/>
      <c r="O95" s="816"/>
      <c r="P95" s="816"/>
      <c r="Q95" s="816"/>
      <c r="R95" s="816"/>
      <c r="S95" s="816"/>
      <c r="T95" s="816"/>
      <c r="U95" s="816"/>
      <c r="V95" s="816"/>
    </row>
    <row r="96" spans="1:22" ht="95.25">
      <c r="A96" s="95" t="s">
        <v>61</v>
      </c>
      <c r="B96" s="95" t="s">
        <v>62</v>
      </c>
      <c r="C96" s="95" t="s">
        <v>63</v>
      </c>
      <c r="D96" s="95" t="s">
        <v>64</v>
      </c>
      <c r="E96" s="95" t="s">
        <v>65</v>
      </c>
      <c r="F96" s="95" t="s">
        <v>66</v>
      </c>
      <c r="G96" s="95" t="s">
        <v>67</v>
      </c>
      <c r="H96" s="95" t="s">
        <v>68</v>
      </c>
      <c r="I96" s="95" t="s">
        <v>69</v>
      </c>
      <c r="J96" s="95" t="s">
        <v>70</v>
      </c>
      <c r="K96" s="95" t="s">
        <v>71</v>
      </c>
      <c r="L96" s="538" t="s">
        <v>72</v>
      </c>
      <c r="M96" s="539" t="s">
        <v>437</v>
      </c>
      <c r="N96" s="539" t="s">
        <v>358</v>
      </c>
      <c r="O96" s="540" t="s">
        <v>212</v>
      </c>
      <c r="P96" s="115" t="s">
        <v>448</v>
      </c>
      <c r="Q96" s="115" t="s">
        <v>449</v>
      </c>
      <c r="R96" s="541" t="s">
        <v>358</v>
      </c>
      <c r="S96" s="541" t="s">
        <v>454</v>
      </c>
      <c r="T96" s="115" t="s">
        <v>459</v>
      </c>
      <c r="U96" s="537" t="s">
        <v>449</v>
      </c>
      <c r="V96" s="554" t="s">
        <v>358</v>
      </c>
    </row>
    <row r="97" spans="1:33" s="7" customFormat="1" ht="15">
      <c r="A97" s="117" t="s">
        <v>303</v>
      </c>
      <c r="B97" s="117" t="s">
        <v>304</v>
      </c>
      <c r="C97" s="117" t="s">
        <v>305</v>
      </c>
      <c r="D97" s="117" t="s">
        <v>306</v>
      </c>
      <c r="E97" s="117" t="s">
        <v>307</v>
      </c>
      <c r="F97" s="117" t="s">
        <v>308</v>
      </c>
      <c r="G97" s="117" t="s">
        <v>309</v>
      </c>
      <c r="H97" s="117" t="s">
        <v>310</v>
      </c>
      <c r="I97" s="117" t="s">
        <v>311</v>
      </c>
      <c r="J97" s="117" t="s">
        <v>312</v>
      </c>
      <c r="K97" s="117" t="s">
        <v>313</v>
      </c>
      <c r="L97" s="117" t="s">
        <v>314</v>
      </c>
      <c r="M97" s="118" t="s">
        <v>315</v>
      </c>
      <c r="N97" s="259" t="s">
        <v>316</v>
      </c>
      <c r="O97" s="259" t="s">
        <v>316</v>
      </c>
      <c r="P97" s="118" t="s">
        <v>317</v>
      </c>
      <c r="Q97" s="118" t="s">
        <v>447</v>
      </c>
      <c r="R97" s="438" t="s">
        <v>317</v>
      </c>
      <c r="S97" s="438" t="s">
        <v>316</v>
      </c>
      <c r="T97" s="118" t="s">
        <v>317</v>
      </c>
      <c r="U97" s="482" t="s">
        <v>447</v>
      </c>
      <c r="V97" s="118" t="s">
        <v>317</v>
      </c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</row>
    <row r="98" spans="1:7" ht="15">
      <c r="A98" s="91" t="s">
        <v>203</v>
      </c>
      <c r="G98" s="92" t="s">
        <v>75</v>
      </c>
    </row>
    <row r="99" spans="4:10" ht="15">
      <c r="D99" s="91" t="s">
        <v>126</v>
      </c>
      <c r="J99" s="92" t="s">
        <v>204</v>
      </c>
    </row>
    <row r="100" spans="5:11" ht="15">
      <c r="E100" s="91" t="s">
        <v>205</v>
      </c>
      <c r="K100" s="92" t="s">
        <v>206</v>
      </c>
    </row>
    <row r="101" spans="11:22" ht="15">
      <c r="K101" s="92" t="s">
        <v>2</v>
      </c>
      <c r="M101" s="93">
        <v>55910</v>
      </c>
      <c r="N101" s="93">
        <v>0</v>
      </c>
      <c r="O101" s="93">
        <f>M101+N101</f>
        <v>55910</v>
      </c>
      <c r="P101" s="93">
        <v>19563</v>
      </c>
      <c r="Q101" s="93">
        <f>SUM(P101/O101)*100</f>
        <v>34.99016276158111</v>
      </c>
      <c r="R101" s="437">
        <v>0</v>
      </c>
      <c r="S101" s="437">
        <f>O101+R101</f>
        <v>55910</v>
      </c>
      <c r="T101" s="97">
        <v>39125</v>
      </c>
      <c r="U101" s="506">
        <f>SUM(T101/S101)*100</f>
        <v>69.97853693435879</v>
      </c>
      <c r="V101" s="93">
        <v>0</v>
      </c>
    </row>
    <row r="102" spans="1:22" s="101" customFormat="1" ht="15.75">
      <c r="A102" s="98"/>
      <c r="B102" s="98"/>
      <c r="C102" s="98"/>
      <c r="D102" s="98"/>
      <c r="E102" s="98" t="s">
        <v>205</v>
      </c>
      <c r="F102" s="99"/>
      <c r="G102" s="99" t="s">
        <v>415</v>
      </c>
      <c r="H102" s="99"/>
      <c r="I102" s="99"/>
      <c r="J102" s="99"/>
      <c r="K102" s="99"/>
      <c r="L102" s="99"/>
      <c r="M102" s="100">
        <f>SUM(M101:M101)</f>
        <v>55910</v>
      </c>
      <c r="N102" s="206">
        <v>0</v>
      </c>
      <c r="O102" s="206">
        <f>M102+N102</f>
        <v>55910</v>
      </c>
      <c r="P102" s="206">
        <f>SUM(P101:P101)</f>
        <v>19563</v>
      </c>
      <c r="Q102" s="206">
        <f>SUM(P102/O102)*100</f>
        <v>34.99016276158111</v>
      </c>
      <c r="R102" s="440">
        <f>SUM(R101:R101)</f>
        <v>0</v>
      </c>
      <c r="S102" s="440">
        <f>O102+R102</f>
        <v>55910</v>
      </c>
      <c r="T102" s="370">
        <f>SUM(T101:T101)</f>
        <v>39125</v>
      </c>
      <c r="U102" s="507">
        <f>SUM(T102/S102)*100</f>
        <v>69.97853693435879</v>
      </c>
      <c r="V102" s="206">
        <f>SUM(V101:V101)</f>
        <v>0</v>
      </c>
    </row>
    <row r="103" spans="5:21" ht="15">
      <c r="E103" s="91" t="s">
        <v>207</v>
      </c>
      <c r="K103" s="92" t="s">
        <v>208</v>
      </c>
      <c r="U103" s="506"/>
    </row>
    <row r="104" spans="11:22" ht="15">
      <c r="K104" s="92" t="s">
        <v>209</v>
      </c>
      <c r="M104" s="93">
        <v>0</v>
      </c>
      <c r="N104" s="93">
        <v>0</v>
      </c>
      <c r="O104" s="93">
        <f>M104+N104</f>
        <v>0</v>
      </c>
      <c r="P104" s="93">
        <v>62500</v>
      </c>
      <c r="Q104" s="93" t="e">
        <f>SUM(P104/O104)*100</f>
        <v>#DIV/0!</v>
      </c>
      <c r="R104" s="437">
        <v>0</v>
      </c>
      <c r="S104" s="437">
        <f>O104+R104</f>
        <v>0</v>
      </c>
      <c r="T104" s="97">
        <v>62500</v>
      </c>
      <c r="U104" s="506" t="e">
        <f>SUM(T104/S104)*100</f>
        <v>#DIV/0!</v>
      </c>
      <c r="V104" s="93">
        <v>0</v>
      </c>
    </row>
    <row r="105" spans="1:22" s="101" customFormat="1" ht="15.75">
      <c r="A105" s="98"/>
      <c r="B105" s="98"/>
      <c r="C105" s="98"/>
      <c r="D105" s="98"/>
      <c r="E105" s="98" t="s">
        <v>210</v>
      </c>
      <c r="F105" s="99"/>
      <c r="G105" s="99" t="s">
        <v>409</v>
      </c>
      <c r="H105" s="99"/>
      <c r="I105" s="99"/>
      <c r="J105" s="99"/>
      <c r="K105" s="99"/>
      <c r="L105" s="99"/>
      <c r="M105" s="100">
        <f>SUM(M104:M104)</f>
        <v>0</v>
      </c>
      <c r="N105" s="206">
        <v>0</v>
      </c>
      <c r="O105" s="206">
        <f>M105+N105</f>
        <v>0</v>
      </c>
      <c r="P105" s="206">
        <f>SUM(P104:P104)</f>
        <v>62500</v>
      </c>
      <c r="Q105" s="206" t="e">
        <f>SUM(P105/O105)*100</f>
        <v>#DIV/0!</v>
      </c>
      <c r="R105" s="440">
        <v>0</v>
      </c>
      <c r="S105" s="440">
        <f>O105+R105</f>
        <v>0</v>
      </c>
      <c r="T105" s="266">
        <f>SUM(T104:T104)</f>
        <v>62500</v>
      </c>
      <c r="U105" s="507" t="e">
        <f>SUM(T105/S105)*100</f>
        <v>#DIV/0!</v>
      </c>
      <c r="V105" s="206">
        <f>SUM(V104:V104)</f>
        <v>0</v>
      </c>
    </row>
    <row r="106" spans="1:22" ht="15.75">
      <c r="A106" s="98" t="s">
        <v>203</v>
      </c>
      <c r="B106" s="98"/>
      <c r="C106" s="98"/>
      <c r="D106" s="98"/>
      <c r="E106" s="98"/>
      <c r="F106" s="99"/>
      <c r="G106" s="103"/>
      <c r="H106" s="99" t="s">
        <v>144</v>
      </c>
      <c r="I106" s="99"/>
      <c r="J106" s="99"/>
      <c r="K106" s="99"/>
      <c r="L106" s="99"/>
      <c r="M106" s="100">
        <f>SUM(M102+M105)</f>
        <v>55910</v>
      </c>
      <c r="N106" s="206">
        <v>0</v>
      </c>
      <c r="O106" s="206">
        <f>M106+N106</f>
        <v>55910</v>
      </c>
      <c r="P106" s="206">
        <f>P102+P105</f>
        <v>82063</v>
      </c>
      <c r="Q106" s="206">
        <f>SUM(P106/O106)*100</f>
        <v>146.77696297621176</v>
      </c>
      <c r="R106" s="440">
        <f>R102+R105</f>
        <v>0</v>
      </c>
      <c r="S106" s="440">
        <f>O106+R106</f>
        <v>55910</v>
      </c>
      <c r="T106" s="206">
        <f>T102+T105</f>
        <v>101625</v>
      </c>
      <c r="U106" s="507">
        <f>SUM(T106/S106)*100</f>
        <v>181.76533714898943</v>
      </c>
      <c r="V106" s="206">
        <f>V102+V105</f>
        <v>0</v>
      </c>
    </row>
    <row r="109" ht="15">
      <c r="H109" s="92" t="s">
        <v>112</v>
      </c>
    </row>
  </sheetData>
  <sheetProtection selectLockedCells="1" selectUnlockedCells="1"/>
  <mergeCells count="7">
    <mergeCell ref="L52:V52"/>
    <mergeCell ref="A92:V92"/>
    <mergeCell ref="L95:V95"/>
    <mergeCell ref="L1:V1"/>
    <mergeCell ref="A3:V3"/>
    <mergeCell ref="L5:V5"/>
    <mergeCell ref="A50:V50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0" r:id="rId1"/>
  <headerFooter alignWithMargins="0">
    <oddFooter>&amp;C&amp;P. oldal</oddFooter>
  </headerFooter>
  <rowBreaks count="2" manualBreakCount="2">
    <brk id="49" max="26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67.00390625" style="0" customWidth="1"/>
    <col min="2" max="2" width="12.75390625" style="0" customWidth="1"/>
    <col min="3" max="3" width="10.25390625" style="3" hidden="1" customWidth="1"/>
    <col min="4" max="4" width="12.25390625" style="3" hidden="1" customWidth="1"/>
    <col min="5" max="5" width="0" style="3" hidden="1" customWidth="1"/>
    <col min="6" max="6" width="0" style="37" hidden="1" customWidth="1"/>
    <col min="7" max="7" width="11.125" style="461" hidden="1" customWidth="1"/>
    <col min="8" max="8" width="11.75390625" style="3" hidden="1" customWidth="1"/>
    <col min="9" max="9" width="11.625" style="3" hidden="1" customWidth="1"/>
    <col min="10" max="10" width="0" style="481" hidden="1" customWidth="1"/>
    <col min="11" max="11" width="10.25390625" style="3" hidden="1" customWidth="1"/>
  </cols>
  <sheetData>
    <row r="1" spans="1:11" ht="12.75">
      <c r="A1" s="820" t="s">
        <v>696</v>
      </c>
      <c r="B1" s="820"/>
      <c r="C1" s="823"/>
      <c r="D1" s="823"/>
      <c r="E1" s="824"/>
      <c r="F1" s="824"/>
      <c r="G1" s="824"/>
      <c r="H1" s="824"/>
      <c r="I1" s="824"/>
      <c r="J1" s="824"/>
      <c r="K1" s="824"/>
    </row>
    <row r="3" spans="1:11" ht="15.75">
      <c r="A3" s="825" t="s">
        <v>522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</row>
    <row r="4" ht="15.75">
      <c r="A4" s="5"/>
    </row>
    <row r="5" spans="1:11" ht="15.75">
      <c r="A5" s="821" t="s">
        <v>60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</row>
    <row r="6" spans="1:11" s="270" customFormat="1" ht="31.5">
      <c r="A6" s="268" t="s">
        <v>211</v>
      </c>
      <c r="B6" s="116" t="s">
        <v>437</v>
      </c>
      <c r="C6" s="271" t="s">
        <v>73</v>
      </c>
      <c r="D6" s="271" t="s">
        <v>212</v>
      </c>
      <c r="E6" s="271" t="s">
        <v>448</v>
      </c>
      <c r="F6" s="116" t="s">
        <v>449</v>
      </c>
      <c r="G6" s="409" t="s">
        <v>358</v>
      </c>
      <c r="H6" s="271" t="s">
        <v>454</v>
      </c>
      <c r="I6" s="271" t="s">
        <v>459</v>
      </c>
      <c r="J6" s="498" t="s">
        <v>449</v>
      </c>
      <c r="K6" s="411" t="s">
        <v>358</v>
      </c>
    </row>
    <row r="7" spans="1:11" s="122" customFormat="1" ht="15">
      <c r="A7" s="119" t="s">
        <v>318</v>
      </c>
      <c r="B7" s="120" t="s">
        <v>315</v>
      </c>
      <c r="C7" s="118" t="s">
        <v>316</v>
      </c>
      <c r="D7" s="118" t="s">
        <v>316</v>
      </c>
      <c r="E7" s="118" t="s">
        <v>317</v>
      </c>
      <c r="F7" s="118" t="s">
        <v>447</v>
      </c>
      <c r="G7" s="460" t="s">
        <v>317</v>
      </c>
      <c r="H7" s="118" t="s">
        <v>316</v>
      </c>
      <c r="I7" s="118" t="s">
        <v>317</v>
      </c>
      <c r="J7" s="482" t="s">
        <v>447</v>
      </c>
      <c r="K7" s="118" t="s">
        <v>317</v>
      </c>
    </row>
    <row r="8" spans="1:11" ht="15">
      <c r="A8" s="19" t="s">
        <v>214</v>
      </c>
      <c r="B8" s="3">
        <v>7497</v>
      </c>
      <c r="C8" s="3">
        <v>0</v>
      </c>
      <c r="D8" s="3">
        <f aca="true" t="shared" si="0" ref="D8:D14">B8+C8</f>
        <v>7497</v>
      </c>
      <c r="E8" s="3">
        <v>1850</v>
      </c>
      <c r="F8" s="37">
        <f aca="true" t="shared" si="1" ref="F8:F14">SUM(E8/D8)*100</f>
        <v>24.676537281579296</v>
      </c>
      <c r="G8" s="461">
        <v>0</v>
      </c>
      <c r="H8" s="3">
        <f>D8+G8</f>
        <v>7497</v>
      </c>
      <c r="I8" s="3">
        <v>3114</v>
      </c>
      <c r="J8" s="481">
        <f>SUM(I8/H8)*100</f>
        <v>41.53661464585834</v>
      </c>
      <c r="K8" s="3">
        <v>0</v>
      </c>
    </row>
    <row r="9" spans="1:11" ht="15">
      <c r="A9" s="19" t="s">
        <v>3</v>
      </c>
      <c r="B9" s="3">
        <v>2000</v>
      </c>
      <c r="C9" s="3">
        <v>0</v>
      </c>
      <c r="D9" s="3">
        <f t="shared" si="0"/>
        <v>2000</v>
      </c>
      <c r="E9" s="3">
        <v>49</v>
      </c>
      <c r="F9" s="37">
        <f t="shared" si="1"/>
        <v>2.45</v>
      </c>
      <c r="G9" s="461">
        <v>0</v>
      </c>
      <c r="H9" s="3">
        <f aca="true" t="shared" si="2" ref="H9:H34">D9+G9</f>
        <v>2000</v>
      </c>
      <c r="I9" s="20">
        <v>423</v>
      </c>
      <c r="J9" s="481">
        <f aca="true" t="shared" si="3" ref="J9:J34">SUM(I9/H9)*100</f>
        <v>21.15</v>
      </c>
      <c r="K9" s="3">
        <v>0</v>
      </c>
    </row>
    <row r="10" spans="1:11" ht="15">
      <c r="A10" s="2" t="s">
        <v>369</v>
      </c>
      <c r="B10" s="3">
        <v>15433</v>
      </c>
      <c r="C10" s="3">
        <v>0</v>
      </c>
      <c r="D10" s="3">
        <f t="shared" si="0"/>
        <v>15433</v>
      </c>
      <c r="E10" s="3">
        <v>4283</v>
      </c>
      <c r="F10" s="37">
        <f t="shared" si="1"/>
        <v>27.75221927039461</v>
      </c>
      <c r="G10" s="461">
        <v>0</v>
      </c>
      <c r="H10" s="3">
        <f t="shared" si="2"/>
        <v>15433</v>
      </c>
      <c r="I10" s="20">
        <v>9143</v>
      </c>
      <c r="J10" s="481">
        <f t="shared" si="3"/>
        <v>59.24318019827643</v>
      </c>
      <c r="K10" s="3">
        <v>0</v>
      </c>
    </row>
    <row r="11" spans="1:11" ht="15">
      <c r="A11" s="11" t="s">
        <v>215</v>
      </c>
      <c r="B11" s="12">
        <f>SUM(B12:B13)</f>
        <v>32000</v>
      </c>
      <c r="C11" s="111">
        <f>C12</f>
        <v>0</v>
      </c>
      <c r="D11" s="111">
        <f t="shared" si="0"/>
        <v>32000</v>
      </c>
      <c r="E11" s="111" t="e">
        <f>E12+#REF!+#REF!</f>
        <v>#REF!</v>
      </c>
      <c r="F11" s="384" t="e">
        <f t="shared" si="1"/>
        <v>#REF!</v>
      </c>
      <c r="G11" s="186">
        <f>G12</f>
        <v>0</v>
      </c>
      <c r="H11" s="111">
        <f t="shared" si="2"/>
        <v>32000</v>
      </c>
      <c r="I11" s="111">
        <v>47654</v>
      </c>
      <c r="J11" s="481">
        <f t="shared" si="3"/>
        <v>148.91875000000002</v>
      </c>
      <c r="K11" s="111">
        <v>0</v>
      </c>
    </row>
    <row r="12" spans="1:11" ht="15">
      <c r="A12" s="2" t="s">
        <v>216</v>
      </c>
      <c r="B12" s="552">
        <v>30000</v>
      </c>
      <c r="C12" s="497">
        <v>0</v>
      </c>
      <c r="D12" s="497">
        <f t="shared" si="0"/>
        <v>30000</v>
      </c>
      <c r="E12" s="497">
        <v>17324</v>
      </c>
      <c r="F12" s="553">
        <f t="shared" si="1"/>
        <v>57.74666666666667</v>
      </c>
      <c r="G12" s="21">
        <v>0</v>
      </c>
      <c r="H12" s="20">
        <f t="shared" si="2"/>
        <v>30000</v>
      </c>
      <c r="I12" s="3">
        <v>43083</v>
      </c>
      <c r="J12" s="486">
        <f t="shared" si="3"/>
        <v>143.60999999999999</v>
      </c>
      <c r="K12" s="3">
        <v>0</v>
      </c>
    </row>
    <row r="13" spans="1:11" ht="15">
      <c r="A13" s="2" t="s">
        <v>228</v>
      </c>
      <c r="B13" s="111">
        <v>2000</v>
      </c>
      <c r="C13" s="20"/>
      <c r="D13" s="20"/>
      <c r="E13" s="20"/>
      <c r="F13" s="408"/>
      <c r="G13" s="21"/>
      <c r="H13" s="20">
        <v>0</v>
      </c>
      <c r="J13" s="483"/>
      <c r="K13" s="3">
        <v>0</v>
      </c>
    </row>
    <row r="14" spans="1:11" ht="15">
      <c r="A14" s="113" t="s">
        <v>458</v>
      </c>
      <c r="B14" s="186">
        <v>61600</v>
      </c>
      <c r="C14" s="20">
        <v>0</v>
      </c>
      <c r="D14" s="20">
        <f t="shared" si="0"/>
        <v>61600</v>
      </c>
      <c r="E14" s="20">
        <v>3451</v>
      </c>
      <c r="F14" s="408">
        <f t="shared" si="1"/>
        <v>5.6022727272727275</v>
      </c>
      <c r="G14" s="21">
        <v>30970</v>
      </c>
      <c r="H14" s="20">
        <f t="shared" si="2"/>
        <v>92570</v>
      </c>
      <c r="I14" s="497">
        <v>19985</v>
      </c>
      <c r="J14" s="481">
        <f t="shared" si="3"/>
        <v>21.589067732526736</v>
      </c>
      <c r="K14" s="3">
        <v>0</v>
      </c>
    </row>
    <row r="15" spans="1:11" s="270" customFormat="1" ht="15.75">
      <c r="A15" s="391" t="s">
        <v>217</v>
      </c>
      <c r="B15" s="392">
        <f>SUM(B8+B9+B10+B11+B14)</f>
        <v>118530</v>
      </c>
      <c r="C15" s="263">
        <f>C8+C9+C10+C11+C14</f>
        <v>0</v>
      </c>
      <c r="D15" s="263">
        <f>B15+C15</f>
        <v>118530</v>
      </c>
      <c r="E15" s="260" t="e">
        <f>E8+E9+E10+E11+E14+#REF!</f>
        <v>#REF!</v>
      </c>
      <c r="F15" s="393" t="e">
        <f>SUM(E15/D15)*100</f>
        <v>#REF!</v>
      </c>
      <c r="G15" s="419">
        <f>SUM(G14:G14)</f>
        <v>30970</v>
      </c>
      <c r="H15" s="260">
        <f t="shared" si="2"/>
        <v>149500</v>
      </c>
      <c r="I15" s="86" t="e">
        <f>I8+I9+I10+I11+I14+#REF!</f>
        <v>#REF!</v>
      </c>
      <c r="J15" s="485" t="e">
        <f t="shared" si="3"/>
        <v>#REF!</v>
      </c>
      <c r="K15" s="260">
        <f>SUM(K8:K14)</f>
        <v>0</v>
      </c>
    </row>
    <row r="16" spans="1:11" ht="15">
      <c r="A16" s="2" t="s">
        <v>218</v>
      </c>
      <c r="B16" s="21">
        <v>7818</v>
      </c>
      <c r="C16" s="3">
        <v>0</v>
      </c>
      <c r="D16" s="3">
        <f>B16+C16</f>
        <v>7818</v>
      </c>
      <c r="E16" s="3">
        <v>5681</v>
      </c>
      <c r="F16" s="37">
        <f>SUM(E16/D16)*100</f>
        <v>72.66564338705551</v>
      </c>
      <c r="G16" s="461">
        <v>0</v>
      </c>
      <c r="H16" s="3">
        <f t="shared" si="2"/>
        <v>7818</v>
      </c>
      <c r="I16" s="3">
        <v>5680</v>
      </c>
      <c r="J16" s="481">
        <f t="shared" si="3"/>
        <v>72.65285239191608</v>
      </c>
      <c r="K16" s="3">
        <v>0</v>
      </c>
    </row>
    <row r="17" spans="1:11" ht="15">
      <c r="A17" s="2" t="s">
        <v>296</v>
      </c>
      <c r="B17" s="21">
        <v>1800</v>
      </c>
      <c r="C17" s="20">
        <v>0</v>
      </c>
      <c r="D17" s="20">
        <f>B17+C17</f>
        <v>1800</v>
      </c>
      <c r="E17" s="3">
        <v>450</v>
      </c>
      <c r="F17" s="37">
        <f>SUM(E17/D17)*100</f>
        <v>25</v>
      </c>
      <c r="G17" s="461">
        <v>0</v>
      </c>
      <c r="H17" s="3">
        <f t="shared" si="2"/>
        <v>1800</v>
      </c>
      <c r="I17" s="20">
        <v>450</v>
      </c>
      <c r="J17" s="481">
        <f t="shared" si="3"/>
        <v>25</v>
      </c>
      <c r="K17" s="3">
        <v>0</v>
      </c>
    </row>
    <row r="18" spans="1:11" ht="15">
      <c r="A18" s="2" t="s">
        <v>452</v>
      </c>
      <c r="B18" s="21">
        <v>38025</v>
      </c>
      <c r="C18" s="111"/>
      <c r="D18" s="20">
        <v>0</v>
      </c>
      <c r="E18" s="20">
        <v>402</v>
      </c>
      <c r="F18" s="408">
        <v>0</v>
      </c>
      <c r="G18" s="461">
        <v>402</v>
      </c>
      <c r="H18" s="3">
        <f t="shared" si="2"/>
        <v>402</v>
      </c>
      <c r="I18" s="20">
        <v>402</v>
      </c>
      <c r="J18" s="481">
        <f t="shared" si="3"/>
        <v>100</v>
      </c>
      <c r="K18" s="3">
        <v>0</v>
      </c>
    </row>
    <row r="19" spans="1:9" ht="15">
      <c r="A19" s="2" t="s">
        <v>568</v>
      </c>
      <c r="B19" s="21">
        <v>14551</v>
      </c>
      <c r="C19" s="111"/>
      <c r="D19" s="20"/>
      <c r="E19" s="20"/>
      <c r="F19" s="408"/>
      <c r="I19" s="20"/>
    </row>
    <row r="20" spans="1:11" s="270" customFormat="1" ht="15.75">
      <c r="A20" s="394" t="s">
        <v>131</v>
      </c>
      <c r="B20" s="395">
        <f>SUM(B16:B19)</f>
        <v>62194</v>
      </c>
      <c r="C20" s="263">
        <f>SUM(C16:C17)</f>
        <v>0</v>
      </c>
      <c r="D20" s="263">
        <f>B20+C20</f>
        <v>62194</v>
      </c>
      <c r="E20" s="260">
        <f>SUM(E16:E18)</f>
        <v>6533</v>
      </c>
      <c r="F20" s="393">
        <f>SUM(E20/D20)*100</f>
        <v>10.504228703733478</v>
      </c>
      <c r="G20" s="419">
        <f>SUM(G16:G18)</f>
        <v>402</v>
      </c>
      <c r="H20" s="260">
        <f t="shared" si="2"/>
        <v>62596</v>
      </c>
      <c r="I20" s="23">
        <f>SUM(I16:I18)</f>
        <v>6532</v>
      </c>
      <c r="J20" s="485">
        <f t="shared" si="3"/>
        <v>10.43517157645856</v>
      </c>
      <c r="K20" s="260">
        <f>SUM(K16:K18)</f>
        <v>0</v>
      </c>
    </row>
    <row r="21" spans="1:11" s="122" customFormat="1" ht="15">
      <c r="A21" s="362" t="s">
        <v>438</v>
      </c>
      <c r="B21" s="363">
        <v>358840</v>
      </c>
      <c r="C21" s="363">
        <v>263917</v>
      </c>
      <c r="D21" s="363">
        <f>B21+C21</f>
        <v>622757</v>
      </c>
      <c r="E21" s="20">
        <v>0</v>
      </c>
      <c r="F21" s="408">
        <f>SUM(E21/D21)*100</f>
        <v>0</v>
      </c>
      <c r="G21" s="461">
        <v>0</v>
      </c>
      <c r="H21" s="3">
        <f t="shared" si="2"/>
        <v>622757</v>
      </c>
      <c r="I21" s="20">
        <v>0</v>
      </c>
      <c r="J21" s="481">
        <f t="shared" si="3"/>
        <v>0</v>
      </c>
      <c r="K21" s="3">
        <v>0</v>
      </c>
    </row>
    <row r="22" spans="1:11" s="122" customFormat="1" ht="15">
      <c r="A22" s="362" t="s">
        <v>567</v>
      </c>
      <c r="B22" s="363">
        <v>103767</v>
      </c>
      <c r="C22" s="363"/>
      <c r="D22" s="363"/>
      <c r="E22" s="20"/>
      <c r="F22" s="408"/>
      <c r="G22" s="461"/>
      <c r="H22" s="3"/>
      <c r="I22" s="20"/>
      <c r="J22" s="481"/>
      <c r="K22" s="3"/>
    </row>
    <row r="23" spans="1:11" s="270" customFormat="1" ht="15.75">
      <c r="A23" s="202" t="s">
        <v>439</v>
      </c>
      <c r="B23" s="263">
        <f>SUM(B21:B22)</f>
        <v>462607</v>
      </c>
      <c r="C23" s="263">
        <f>SUM(C21:C21)</f>
        <v>263917</v>
      </c>
      <c r="D23" s="263">
        <f>B23+C23</f>
        <v>726524</v>
      </c>
      <c r="E23" s="260">
        <f>SUM(E21:E21)</f>
        <v>0</v>
      </c>
      <c r="F23" s="393">
        <f>SUM(E23/D23)*100</f>
        <v>0</v>
      </c>
      <c r="G23" s="419">
        <f>SUM(G21:G21)</f>
        <v>0</v>
      </c>
      <c r="H23" s="260">
        <f t="shared" si="2"/>
        <v>726524</v>
      </c>
      <c r="I23" s="23">
        <f>SUM(I21:I21)</f>
        <v>0</v>
      </c>
      <c r="J23" s="485">
        <f t="shared" si="3"/>
        <v>0</v>
      </c>
      <c r="K23" s="260">
        <f>SUM(K21:K21)</f>
        <v>0</v>
      </c>
    </row>
    <row r="24" spans="1:11" s="270" customFormat="1" ht="15.75">
      <c r="A24" s="202" t="s">
        <v>453</v>
      </c>
      <c r="B24" s="263">
        <v>0</v>
      </c>
      <c r="C24" s="263"/>
      <c r="D24" s="263" t="e">
        <f>SUM(#REF!)</f>
        <v>#REF!</v>
      </c>
      <c r="E24" s="260" t="e">
        <f>SUM(#REF!)</f>
        <v>#REF!</v>
      </c>
      <c r="F24" s="393" t="e">
        <f>SUM(#REF!)</f>
        <v>#REF!</v>
      </c>
      <c r="G24" s="419" t="e">
        <f>SUM(#REF!)</f>
        <v>#REF!</v>
      </c>
      <c r="H24" s="260" t="e">
        <f t="shared" si="2"/>
        <v>#REF!</v>
      </c>
      <c r="I24" s="23" t="e">
        <f>SUM(#REF!)</f>
        <v>#REF!</v>
      </c>
      <c r="J24" s="485" t="e">
        <f t="shared" si="3"/>
        <v>#REF!</v>
      </c>
      <c r="K24" s="260" t="e">
        <f>SUM(#REF!)</f>
        <v>#REF!</v>
      </c>
    </row>
    <row r="25" spans="1:11" ht="15">
      <c r="A25" s="2" t="s">
        <v>219</v>
      </c>
      <c r="B25" s="21">
        <v>5000</v>
      </c>
      <c r="C25" s="3">
        <v>0</v>
      </c>
      <c r="D25" s="363">
        <f aca="true" t="shared" si="4" ref="D25:D32">B25+C25</f>
        <v>5000</v>
      </c>
      <c r="E25" s="3">
        <v>0</v>
      </c>
      <c r="F25" s="37">
        <f aca="true" t="shared" si="5" ref="F25:F32">SUM(E25/D25)*100</f>
        <v>0</v>
      </c>
      <c r="G25" s="461">
        <v>0</v>
      </c>
      <c r="H25" s="3">
        <f t="shared" si="2"/>
        <v>5000</v>
      </c>
      <c r="I25" s="497">
        <v>0</v>
      </c>
      <c r="J25" s="481">
        <f t="shared" si="3"/>
        <v>0</v>
      </c>
      <c r="K25" s="3">
        <v>0</v>
      </c>
    </row>
    <row r="26" spans="1:11" ht="15">
      <c r="A26" s="2" t="s">
        <v>220</v>
      </c>
      <c r="B26" s="21">
        <v>12000</v>
      </c>
      <c r="C26" s="3">
        <v>0</v>
      </c>
      <c r="D26" s="3">
        <f t="shared" si="4"/>
        <v>12000</v>
      </c>
      <c r="E26" s="3">
        <v>0</v>
      </c>
      <c r="F26" s="37">
        <f t="shared" si="5"/>
        <v>0</v>
      </c>
      <c r="G26" s="461">
        <v>0</v>
      </c>
      <c r="H26" s="3">
        <f t="shared" si="2"/>
        <v>12000</v>
      </c>
      <c r="I26" s="20">
        <v>0</v>
      </c>
      <c r="J26" s="481">
        <f t="shared" si="3"/>
        <v>0</v>
      </c>
      <c r="K26" s="3">
        <v>235</v>
      </c>
    </row>
    <row r="27" spans="1:11" ht="15">
      <c r="A27" s="2" t="s">
        <v>297</v>
      </c>
      <c r="B27" s="21">
        <v>69561</v>
      </c>
      <c r="C27" s="111">
        <v>0</v>
      </c>
      <c r="D27" s="111">
        <f t="shared" si="4"/>
        <v>69561</v>
      </c>
      <c r="E27" s="111">
        <v>10225</v>
      </c>
      <c r="F27" s="384">
        <f t="shared" si="5"/>
        <v>14.699328646799211</v>
      </c>
      <c r="G27" s="461">
        <v>-30969</v>
      </c>
      <c r="H27" s="3">
        <f t="shared" si="2"/>
        <v>38592</v>
      </c>
      <c r="I27" s="111">
        <v>1800</v>
      </c>
      <c r="J27" s="481">
        <f t="shared" si="3"/>
        <v>4.664179104477612</v>
      </c>
      <c r="K27" s="3">
        <v>0</v>
      </c>
    </row>
    <row r="28" spans="1:11" s="270" customFormat="1" ht="15.75">
      <c r="A28" s="394" t="s">
        <v>221</v>
      </c>
      <c r="B28" s="395">
        <f>SUM(B25:B27)</f>
        <v>86561</v>
      </c>
      <c r="C28" s="263">
        <f>SUM(C25:C27)</f>
        <v>0</v>
      </c>
      <c r="D28" s="263">
        <f t="shared" si="4"/>
        <v>86561</v>
      </c>
      <c r="E28" s="260">
        <f>SUM(E25:E27)</f>
        <v>10225</v>
      </c>
      <c r="F28" s="393">
        <f t="shared" si="5"/>
        <v>11.812479061009</v>
      </c>
      <c r="G28" s="419">
        <f>SUM(G25:G27)</f>
        <v>-30969</v>
      </c>
      <c r="H28" s="260">
        <f t="shared" si="2"/>
        <v>55592</v>
      </c>
      <c r="I28" s="260">
        <f>SUM(I25:I27)</f>
        <v>1800</v>
      </c>
      <c r="J28" s="485">
        <f t="shared" si="3"/>
        <v>3.2378759533745862</v>
      </c>
      <c r="K28" s="260">
        <f>SUM(K25:K27)</f>
        <v>235</v>
      </c>
    </row>
    <row r="29" spans="1:11" ht="15">
      <c r="A29" s="19" t="s">
        <v>222</v>
      </c>
      <c r="B29" s="21">
        <v>500</v>
      </c>
      <c r="C29" s="261">
        <v>0</v>
      </c>
      <c r="D29" s="261">
        <f t="shared" si="4"/>
        <v>500</v>
      </c>
      <c r="E29" s="261">
        <v>148</v>
      </c>
      <c r="F29" s="385">
        <f t="shared" si="5"/>
        <v>29.599999999999998</v>
      </c>
      <c r="G29" s="461">
        <v>0</v>
      </c>
      <c r="H29" s="3">
        <f t="shared" si="2"/>
        <v>500</v>
      </c>
      <c r="I29" s="20">
        <v>266</v>
      </c>
      <c r="J29" s="481">
        <f t="shared" si="3"/>
        <v>53.2</v>
      </c>
      <c r="K29" s="3">
        <v>0</v>
      </c>
    </row>
    <row r="30" spans="1:11" s="270" customFormat="1" ht="15.75">
      <c r="A30" s="394" t="s">
        <v>149</v>
      </c>
      <c r="B30" s="395">
        <f>SUM(B29:B29)</f>
        <v>500</v>
      </c>
      <c r="C30" s="263">
        <f>SUM(C29)</f>
        <v>0</v>
      </c>
      <c r="D30" s="263">
        <f t="shared" si="4"/>
        <v>500</v>
      </c>
      <c r="E30" s="260">
        <f>SUM(E29)</f>
        <v>148</v>
      </c>
      <c r="F30" s="393">
        <f t="shared" si="5"/>
        <v>29.599999999999998</v>
      </c>
      <c r="G30" s="419">
        <v>0</v>
      </c>
      <c r="H30" s="260">
        <f t="shared" si="2"/>
        <v>500</v>
      </c>
      <c r="I30" s="23">
        <f>SUM(I29:I29)</f>
        <v>266</v>
      </c>
      <c r="J30" s="485">
        <f t="shared" si="3"/>
        <v>53.2</v>
      </c>
      <c r="K30" s="260">
        <f>SUM(K29:K29)</f>
        <v>0</v>
      </c>
    </row>
    <row r="31" spans="1:11" ht="15">
      <c r="A31" s="2" t="s">
        <v>223</v>
      </c>
      <c r="B31" s="21">
        <v>3000</v>
      </c>
      <c r="C31" s="85">
        <v>0</v>
      </c>
      <c r="D31" s="3">
        <f t="shared" si="4"/>
        <v>3000</v>
      </c>
      <c r="E31" s="3">
        <v>908</v>
      </c>
      <c r="F31" s="37">
        <f t="shared" si="5"/>
        <v>30.266666666666666</v>
      </c>
      <c r="G31" s="461">
        <v>0</v>
      </c>
      <c r="H31" s="3">
        <f t="shared" si="2"/>
        <v>3000</v>
      </c>
      <c r="I31" s="497">
        <v>1709</v>
      </c>
      <c r="J31" s="481">
        <f t="shared" si="3"/>
        <v>56.96666666666667</v>
      </c>
      <c r="K31" s="3">
        <v>0</v>
      </c>
    </row>
    <row r="32" spans="1:11" ht="15">
      <c r="A32" s="2" t="s">
        <v>224</v>
      </c>
      <c r="B32" s="21">
        <v>100</v>
      </c>
      <c r="C32" s="264">
        <v>0</v>
      </c>
      <c r="D32" s="20">
        <f t="shared" si="4"/>
        <v>100</v>
      </c>
      <c r="E32" s="20">
        <v>80</v>
      </c>
      <c r="F32" s="408">
        <f t="shared" si="5"/>
        <v>80</v>
      </c>
      <c r="G32" s="461">
        <v>0</v>
      </c>
      <c r="H32" s="3">
        <f t="shared" si="2"/>
        <v>100</v>
      </c>
      <c r="I32" s="20">
        <v>80</v>
      </c>
      <c r="J32" s="481">
        <f t="shared" si="3"/>
        <v>80</v>
      </c>
      <c r="K32" s="3">
        <v>0</v>
      </c>
    </row>
    <row r="33" spans="1:11" s="270" customFormat="1" ht="15.75">
      <c r="A33" s="394" t="s">
        <v>225</v>
      </c>
      <c r="B33" s="395">
        <f>SUM(B31:B32)</f>
        <v>3100</v>
      </c>
      <c r="C33" s="263">
        <f>SUM(C31:C32)</f>
        <v>0</v>
      </c>
      <c r="D33" s="263">
        <f>B33+C33</f>
        <v>3100</v>
      </c>
      <c r="E33" s="260">
        <f>SUM(E31:E32)</f>
        <v>988</v>
      </c>
      <c r="F33" s="393">
        <f>SUM(E33/D33)*100</f>
        <v>31.870967741935484</v>
      </c>
      <c r="G33" s="419">
        <v>0</v>
      </c>
      <c r="H33" s="260">
        <f t="shared" si="2"/>
        <v>3100</v>
      </c>
      <c r="I33" s="86">
        <f>SUM(I31:I32)</f>
        <v>1789</v>
      </c>
      <c r="J33" s="485">
        <f t="shared" si="3"/>
        <v>57.70967741935485</v>
      </c>
      <c r="K33" s="260">
        <f>SUM(K31:K32)</f>
        <v>0</v>
      </c>
    </row>
    <row r="34" spans="1:11" s="270" customFormat="1" ht="15.75">
      <c r="A34" s="394" t="s">
        <v>226</v>
      </c>
      <c r="B34" s="395">
        <f>B15+B20+B28+B4+B23+B30+B33</f>
        <v>733492</v>
      </c>
      <c r="C34" s="263">
        <f>C15+C20+C23+C28+C30+C33</f>
        <v>263917</v>
      </c>
      <c r="D34" s="263">
        <f>B34+C34</f>
        <v>997409</v>
      </c>
      <c r="E34" s="260" t="e">
        <f>E15+E20+E23+E24+E28+E30+E33</f>
        <v>#REF!</v>
      </c>
      <c r="F34" s="393" t="e">
        <f>SUM(E34/D34)*100</f>
        <v>#REF!</v>
      </c>
      <c r="G34" s="419" t="e">
        <f>G15+G20+G23+G24+G28+G30+G33</f>
        <v>#REF!</v>
      </c>
      <c r="H34" s="260" t="e">
        <f t="shared" si="2"/>
        <v>#REF!</v>
      </c>
      <c r="I34" s="260" t="e">
        <f>I15+I20+I23+I24+I28+I30+I33</f>
        <v>#REF!</v>
      </c>
      <c r="J34" s="485" t="e">
        <f t="shared" si="3"/>
        <v>#REF!</v>
      </c>
      <c r="K34" s="260" t="e">
        <f>K15+K20+K23+K24+K28+K30+K33</f>
        <v>#REF!</v>
      </c>
    </row>
  </sheetData>
  <sheetProtection selectLockedCells="1" selectUnlockedCells="1"/>
  <mergeCells count="3">
    <mergeCell ref="A1:K1"/>
    <mergeCell ref="A3:K3"/>
    <mergeCell ref="A5:K5"/>
  </mergeCells>
  <printOptions horizontalCentered="1"/>
  <pageMargins left="0.5513888888888889" right="0.5118055555555555" top="0.6" bottom="0.3541666666666667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zoomScaleSheetLayoutView="75" zoomScalePageLayoutView="0" workbookViewId="0" topLeftCell="A1">
      <selection activeCell="A13" sqref="A13"/>
    </sheetView>
  </sheetViews>
  <sheetFormatPr defaultColWidth="9.00390625" defaultRowHeight="12.75"/>
  <cols>
    <col min="1" max="1" width="47.875" style="0" customWidth="1"/>
    <col min="2" max="2" width="12.375" style="37" customWidth="1"/>
    <col min="3" max="3" width="9.75390625" style="2" hidden="1" customWidth="1"/>
    <col min="4" max="4" width="12.25390625" style="3" hidden="1" customWidth="1"/>
    <col min="5" max="6" width="0" style="3" hidden="1" customWidth="1"/>
    <col min="7" max="7" width="9.875" style="461" hidden="1" customWidth="1"/>
    <col min="8" max="8" width="0" style="461" hidden="1" customWidth="1"/>
    <col min="9" max="9" width="0" style="3" hidden="1" customWidth="1"/>
    <col min="10" max="10" width="0" style="481" hidden="1" customWidth="1"/>
    <col min="11" max="11" width="10.25390625" style="3" hidden="1" customWidth="1"/>
  </cols>
  <sheetData>
    <row r="1" spans="1:11" ht="12.75">
      <c r="A1" s="820" t="s">
        <v>697</v>
      </c>
      <c r="B1" s="820"/>
      <c r="C1" s="823"/>
      <c r="D1" s="823"/>
      <c r="E1" s="824"/>
      <c r="F1" s="824"/>
      <c r="G1" s="824"/>
      <c r="H1" s="824"/>
      <c r="I1" s="824"/>
      <c r="J1" s="824"/>
      <c r="K1" s="824"/>
    </row>
    <row r="3" spans="1:11" ht="15.75">
      <c r="A3" s="825" t="s">
        <v>562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</row>
    <row r="4" ht="15.75">
      <c r="A4" s="5"/>
    </row>
    <row r="5" spans="1:11" ht="15.75">
      <c r="A5" s="812" t="s">
        <v>60</v>
      </c>
      <c r="B5" s="812"/>
      <c r="C5" s="812"/>
      <c r="D5" s="812"/>
      <c r="E5" s="812"/>
      <c r="F5" s="812"/>
      <c r="G5" s="812"/>
      <c r="H5" s="812"/>
      <c r="I5" s="812"/>
      <c r="J5" s="812"/>
      <c r="K5" s="812"/>
    </row>
    <row r="6" spans="1:11" ht="31.5">
      <c r="A6" s="765" t="s">
        <v>211</v>
      </c>
      <c r="B6" s="273" t="s">
        <v>437</v>
      </c>
      <c r="C6" s="543" t="s">
        <v>73</v>
      </c>
      <c r="D6" s="544" t="s">
        <v>212</v>
      </c>
      <c r="E6" s="545" t="s">
        <v>448</v>
      </c>
      <c r="F6" s="545" t="s">
        <v>449</v>
      </c>
      <c r="G6" s="544" t="s">
        <v>358</v>
      </c>
      <c r="H6" s="544" t="s">
        <v>454</v>
      </c>
      <c r="I6" s="545" t="s">
        <v>459</v>
      </c>
      <c r="J6" s="546" t="s">
        <v>449</v>
      </c>
      <c r="K6" s="542" t="s">
        <v>358</v>
      </c>
    </row>
    <row r="7" spans="1:11" s="122" customFormat="1" ht="15">
      <c r="A7" s="119" t="s">
        <v>314</v>
      </c>
      <c r="B7" s="121" t="s">
        <v>315</v>
      </c>
      <c r="C7" s="274" t="s">
        <v>316</v>
      </c>
      <c r="D7" s="410" t="s">
        <v>316</v>
      </c>
      <c r="E7" s="118" t="s">
        <v>317</v>
      </c>
      <c r="F7" s="118" t="s">
        <v>447</v>
      </c>
      <c r="G7" s="478" t="s">
        <v>316</v>
      </c>
      <c r="H7" s="478" t="s">
        <v>316</v>
      </c>
      <c r="I7" s="118" t="s">
        <v>317</v>
      </c>
      <c r="J7" s="482" t="s">
        <v>447</v>
      </c>
      <c r="K7" s="410" t="s">
        <v>317</v>
      </c>
    </row>
    <row r="8" spans="1:11" ht="15">
      <c r="A8" s="2" t="s">
        <v>227</v>
      </c>
      <c r="B8" s="3">
        <v>1000</v>
      </c>
      <c r="C8" s="2">
        <v>0</v>
      </c>
      <c r="D8" s="3">
        <f>B8+C8</f>
        <v>1000</v>
      </c>
      <c r="E8" s="3">
        <v>0</v>
      </c>
      <c r="F8" s="3">
        <f>SUM(E8/D8)*100</f>
        <v>0</v>
      </c>
      <c r="G8" s="461">
        <v>0</v>
      </c>
      <c r="H8" s="461">
        <f aca="true" t="shared" si="0" ref="H8:H16">D8+G8</f>
        <v>1000</v>
      </c>
      <c r="I8" s="3">
        <v>481</v>
      </c>
      <c r="J8" s="481">
        <f>SUM(I8/H8)*100</f>
        <v>48.1</v>
      </c>
      <c r="K8" s="3">
        <v>0</v>
      </c>
    </row>
    <row r="9" spans="1:11" ht="15">
      <c r="A9" s="11" t="s">
        <v>215</v>
      </c>
      <c r="B9" s="12">
        <f>SUM(B10:B12)</f>
        <v>10090</v>
      </c>
      <c r="C9" s="114">
        <v>0</v>
      </c>
      <c r="D9" s="111">
        <f aca="true" t="shared" si="1" ref="D9:D16">B9+C9</f>
        <v>10090</v>
      </c>
      <c r="E9" s="111" t="e">
        <f>E10+E11+#REF!+E12</f>
        <v>#REF!</v>
      </c>
      <c r="F9" s="111" t="e">
        <f aca="true" t="shared" si="2" ref="F9:F16">SUM(E9/D9)*100</f>
        <v>#REF!</v>
      </c>
      <c r="G9" s="186">
        <f>G10+G11+G12</f>
        <v>4688</v>
      </c>
      <c r="H9" s="186">
        <f t="shared" si="0"/>
        <v>14778</v>
      </c>
      <c r="I9" s="111">
        <f>SUM(I10:I12)</f>
        <v>4804</v>
      </c>
      <c r="J9" s="484">
        <f aca="true" t="shared" si="3" ref="J9:J16">SUM(I9/H9)*100</f>
        <v>32.5077818378671</v>
      </c>
      <c r="K9" s="111">
        <v>0</v>
      </c>
    </row>
    <row r="10" spans="1:11" ht="15">
      <c r="A10" s="2" t="s">
        <v>446</v>
      </c>
      <c r="B10" s="3">
        <v>1000</v>
      </c>
      <c r="C10" s="2">
        <v>0</v>
      </c>
      <c r="D10" s="3">
        <f t="shared" si="1"/>
        <v>1000</v>
      </c>
      <c r="E10" s="3">
        <v>353</v>
      </c>
      <c r="F10" s="3">
        <f t="shared" si="2"/>
        <v>35.3</v>
      </c>
      <c r="G10" s="461">
        <v>0</v>
      </c>
      <c r="H10" s="461">
        <f t="shared" si="0"/>
        <v>1000</v>
      </c>
      <c r="I10" s="3">
        <v>461</v>
      </c>
      <c r="J10" s="481">
        <f t="shared" si="3"/>
        <v>46.1</v>
      </c>
      <c r="K10" s="3">
        <v>0</v>
      </c>
    </row>
    <row r="11" spans="1:11" ht="15">
      <c r="A11" s="2" t="s">
        <v>228</v>
      </c>
      <c r="B11" s="3">
        <v>7090</v>
      </c>
      <c r="C11" s="2">
        <v>0</v>
      </c>
      <c r="D11" s="3">
        <f t="shared" si="1"/>
        <v>7090</v>
      </c>
      <c r="E11" s="3">
        <v>1358</v>
      </c>
      <c r="F11" s="3">
        <f t="shared" si="2"/>
        <v>19.15373765867419</v>
      </c>
      <c r="G11" s="461">
        <v>4688</v>
      </c>
      <c r="H11" s="461">
        <f t="shared" si="0"/>
        <v>11778</v>
      </c>
      <c r="I11" s="20">
        <v>4293</v>
      </c>
      <c r="J11" s="481">
        <f t="shared" si="3"/>
        <v>36.44931227712684</v>
      </c>
      <c r="K11" s="3">
        <v>3500</v>
      </c>
    </row>
    <row r="12" spans="1:11" ht="15">
      <c r="A12" s="114" t="s">
        <v>229</v>
      </c>
      <c r="B12" s="186">
        <v>2000</v>
      </c>
      <c r="C12" s="19">
        <v>0</v>
      </c>
      <c r="D12" s="111">
        <f t="shared" si="1"/>
        <v>2000</v>
      </c>
      <c r="E12" s="20">
        <v>83</v>
      </c>
      <c r="F12" s="20">
        <f t="shared" si="2"/>
        <v>4.15</v>
      </c>
      <c r="G12" s="461">
        <v>0</v>
      </c>
      <c r="H12" s="461">
        <f t="shared" si="0"/>
        <v>2000</v>
      </c>
      <c r="I12" s="3">
        <v>50</v>
      </c>
      <c r="J12" s="481">
        <f t="shared" si="3"/>
        <v>2.5</v>
      </c>
      <c r="K12" s="3">
        <v>0</v>
      </c>
    </row>
    <row r="13" spans="1:11" s="270" customFormat="1" ht="15.75">
      <c r="A13" s="391" t="s">
        <v>217</v>
      </c>
      <c r="B13" s="392">
        <f>SUM(B8+B9)</f>
        <v>11090</v>
      </c>
      <c r="C13" s="202">
        <v>0</v>
      </c>
      <c r="D13" s="263">
        <f t="shared" si="1"/>
        <v>11090</v>
      </c>
      <c r="E13" s="260" t="e">
        <f>#REF!+E8+E9+#REF!</f>
        <v>#REF!</v>
      </c>
      <c r="F13" s="260" t="e">
        <f t="shared" si="2"/>
        <v>#REF!</v>
      </c>
      <c r="G13" s="418" t="e">
        <f>G8+G9+#REF!</f>
        <v>#REF!</v>
      </c>
      <c r="H13" s="418" t="e">
        <f>D13+G13</f>
        <v>#REF!</v>
      </c>
      <c r="I13" s="260" t="e">
        <f>I8+I9+#REF!+#REF!</f>
        <v>#REF!</v>
      </c>
      <c r="J13" s="499" t="e">
        <f t="shared" si="3"/>
        <v>#REF!</v>
      </c>
      <c r="K13" s="263">
        <f>SUM(K8:K12)</f>
        <v>3500</v>
      </c>
    </row>
    <row r="14" spans="1:11" ht="15">
      <c r="A14" s="2" t="s">
        <v>466</v>
      </c>
      <c r="B14" s="3">
        <v>11115</v>
      </c>
      <c r="C14" s="272"/>
      <c r="D14" s="20"/>
      <c r="E14" s="20"/>
      <c r="F14" s="20"/>
      <c r="H14" s="461">
        <v>0</v>
      </c>
      <c r="I14" s="111"/>
      <c r="K14" s="111">
        <v>11764</v>
      </c>
    </row>
    <row r="15" spans="1:11" s="270" customFormat="1" ht="15.75">
      <c r="A15" s="394" t="s">
        <v>131</v>
      </c>
      <c r="B15" s="395">
        <f>SUM(B14)</f>
        <v>11115</v>
      </c>
      <c r="C15" s="202">
        <v>0</v>
      </c>
      <c r="D15" s="263">
        <f t="shared" si="1"/>
        <v>11115</v>
      </c>
      <c r="E15" s="260" t="e">
        <f>SUM(#REF!)</f>
        <v>#REF!</v>
      </c>
      <c r="F15" s="260" t="e">
        <f t="shared" si="2"/>
        <v>#REF!</v>
      </c>
      <c r="G15" s="418" t="e">
        <f>SUM(#REF!)</f>
        <v>#REF!</v>
      </c>
      <c r="H15" s="418" t="e">
        <f t="shared" si="0"/>
        <v>#REF!</v>
      </c>
      <c r="I15" s="260" t="e">
        <f>SUM(#REF!)</f>
        <v>#REF!</v>
      </c>
      <c r="J15" s="499" t="e">
        <f t="shared" si="3"/>
        <v>#REF!</v>
      </c>
      <c r="K15" s="260">
        <f>SUM(K14:K14)</f>
        <v>11764</v>
      </c>
    </row>
    <row r="16" spans="1:11" s="270" customFormat="1" ht="15.75">
      <c r="A16" s="394" t="s">
        <v>226</v>
      </c>
      <c r="B16" s="395">
        <f>B13+B15</f>
        <v>22205</v>
      </c>
      <c r="C16" s="202">
        <v>0</v>
      </c>
      <c r="D16" s="263">
        <f t="shared" si="1"/>
        <v>22205</v>
      </c>
      <c r="E16" s="260" t="e">
        <f>E13+E15+#REF!</f>
        <v>#REF!</v>
      </c>
      <c r="F16" s="260" t="e">
        <f t="shared" si="2"/>
        <v>#REF!</v>
      </c>
      <c r="G16" s="418" t="e">
        <f>G13+G15+#REF!</f>
        <v>#REF!</v>
      </c>
      <c r="H16" s="418" t="e">
        <f t="shared" si="0"/>
        <v>#REF!</v>
      </c>
      <c r="I16" s="260" t="e">
        <f>I13+I15+#REF!</f>
        <v>#REF!</v>
      </c>
      <c r="J16" s="499" t="e">
        <f t="shared" si="3"/>
        <v>#REF!</v>
      </c>
      <c r="K16" s="260" t="e">
        <f>K13+K15+#REF!</f>
        <v>#REF!</v>
      </c>
    </row>
  </sheetData>
  <sheetProtection selectLockedCells="1" selectUnlockedCells="1"/>
  <mergeCells count="3">
    <mergeCell ref="A1:K1"/>
    <mergeCell ref="A3:K3"/>
    <mergeCell ref="A5:K5"/>
  </mergeCells>
  <printOptions horizontalCentered="1"/>
  <pageMargins left="0.5513888888888889" right="0.5118055555555555" top="0.6" bottom="0.35416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="75" zoomScaleNormal="75" zoomScaleSheetLayoutView="75" zoomScalePageLayoutView="0" workbookViewId="0" topLeftCell="A46">
      <selection activeCell="A2" sqref="A2"/>
    </sheetView>
  </sheetViews>
  <sheetFormatPr defaultColWidth="9.00390625" defaultRowHeight="12.75"/>
  <cols>
    <col min="1" max="1" width="64.875" style="38" customWidth="1"/>
    <col min="2" max="2" width="13.625" style="39" customWidth="1"/>
    <col min="3" max="3" width="9.375" style="39" hidden="1" customWidth="1"/>
    <col min="4" max="4" width="12.25390625" style="39" hidden="1" customWidth="1"/>
    <col min="5" max="6" width="9.125" style="39" hidden="1" customWidth="1"/>
    <col min="7" max="7" width="10.625" style="45" hidden="1" customWidth="1"/>
    <col min="8" max="8" width="10.875" style="39" hidden="1" customWidth="1"/>
    <col min="9" max="9" width="9.125" style="39" hidden="1" customWidth="1"/>
    <col min="10" max="10" width="9.125" style="500" hidden="1" customWidth="1"/>
    <col min="11" max="11" width="10.75390625" style="39" hidden="1" customWidth="1"/>
    <col min="12" max="16384" width="9.125" style="38" customWidth="1"/>
  </cols>
  <sheetData>
    <row r="1" spans="1:11" ht="15">
      <c r="A1" s="813" t="s">
        <v>698</v>
      </c>
      <c r="B1" s="813"/>
      <c r="C1" s="823"/>
      <c r="D1" s="823"/>
      <c r="E1" s="824"/>
      <c r="F1" s="824"/>
      <c r="G1" s="824"/>
      <c r="H1" s="824"/>
      <c r="I1" s="824"/>
      <c r="J1" s="824"/>
      <c r="K1" s="824"/>
    </row>
    <row r="3" spans="1:11" ht="15">
      <c r="A3" s="814" t="s">
        <v>514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</row>
    <row r="4" ht="15">
      <c r="A4" s="383"/>
    </row>
    <row r="5" spans="1:11" ht="14.25" customHeight="1">
      <c r="A5" s="815" t="s">
        <v>60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</row>
    <row r="6" spans="1:11" ht="31.5">
      <c r="A6" s="124" t="s">
        <v>211</v>
      </c>
      <c r="B6" s="116" t="s">
        <v>437</v>
      </c>
      <c r="C6" s="275" t="s">
        <v>358</v>
      </c>
      <c r="D6" s="269" t="s">
        <v>212</v>
      </c>
      <c r="E6" s="116" t="s">
        <v>448</v>
      </c>
      <c r="F6" s="116" t="s">
        <v>449</v>
      </c>
      <c r="G6" s="457" t="s">
        <v>358</v>
      </c>
      <c r="H6" s="269" t="s">
        <v>454</v>
      </c>
      <c r="I6" s="116" t="s">
        <v>459</v>
      </c>
      <c r="J6" s="501" t="s">
        <v>449</v>
      </c>
      <c r="K6" s="269" t="s">
        <v>358</v>
      </c>
    </row>
    <row r="7" spans="1:11" ht="15">
      <c r="A7" s="125" t="s">
        <v>318</v>
      </c>
      <c r="B7" s="643" t="s">
        <v>315</v>
      </c>
      <c r="C7" s="644" t="s">
        <v>316</v>
      </c>
      <c r="D7" s="644" t="s">
        <v>316</v>
      </c>
      <c r="E7" s="115" t="s">
        <v>317</v>
      </c>
      <c r="F7" s="115" t="s">
        <v>447</v>
      </c>
      <c r="G7" s="645" t="s">
        <v>316</v>
      </c>
      <c r="H7" s="644" t="s">
        <v>316</v>
      </c>
      <c r="I7" s="115" t="s">
        <v>317</v>
      </c>
      <c r="J7" s="537" t="s">
        <v>447</v>
      </c>
      <c r="K7" s="644" t="s">
        <v>317</v>
      </c>
    </row>
    <row r="8" spans="1:11" ht="14.25">
      <c r="A8" s="38" t="s">
        <v>230</v>
      </c>
      <c r="B8" s="39">
        <v>28000</v>
      </c>
      <c r="C8" s="39">
        <v>0</v>
      </c>
      <c r="D8" s="39">
        <f>B8+C8</f>
        <v>28000</v>
      </c>
      <c r="E8" s="39">
        <v>8642</v>
      </c>
      <c r="F8" s="39">
        <f>SUM(E8/D8)*100</f>
        <v>30.864285714285717</v>
      </c>
      <c r="G8" s="45">
        <v>0</v>
      </c>
      <c r="H8" s="39">
        <f>D8+G8</f>
        <v>28000</v>
      </c>
      <c r="I8" s="39">
        <v>8095</v>
      </c>
      <c r="J8" s="500">
        <f>SUM(I8/H8)*100</f>
        <v>28.910714285714285</v>
      </c>
      <c r="K8" s="45">
        <v>2067</v>
      </c>
    </row>
    <row r="9" spans="1:11" ht="14.25">
      <c r="A9" s="38" t="s">
        <v>231</v>
      </c>
      <c r="B9" s="39">
        <v>485</v>
      </c>
      <c r="C9" s="39">
        <v>0</v>
      </c>
      <c r="D9" s="39">
        <f aca="true" t="shared" si="0" ref="D9:D65">B9+C9</f>
        <v>485</v>
      </c>
      <c r="E9" s="39">
        <v>10</v>
      </c>
      <c r="F9" s="39">
        <f aca="true" t="shared" si="1" ref="F9:F65">SUM(E9/D9)*100</f>
        <v>2.0618556701030926</v>
      </c>
      <c r="G9" s="45">
        <v>-80</v>
      </c>
      <c r="H9" s="39">
        <f aca="true" t="shared" si="2" ref="H9:H56">D9+G9</f>
        <v>405</v>
      </c>
      <c r="I9" s="43">
        <v>43</v>
      </c>
      <c r="J9" s="500">
        <f aca="true" t="shared" si="3" ref="J9:J44">SUM(I9/H9)*100</f>
        <v>10.617283950617285</v>
      </c>
      <c r="K9" s="39">
        <v>0</v>
      </c>
    </row>
    <row r="10" spans="1:11" ht="14.25">
      <c r="A10" s="40" t="s">
        <v>232</v>
      </c>
      <c r="B10" s="41">
        <f>SUM(B11:B13)</f>
        <v>10375</v>
      </c>
      <c r="C10" s="90">
        <v>0</v>
      </c>
      <c r="D10" s="90">
        <f t="shared" si="0"/>
        <v>10375</v>
      </c>
      <c r="E10" s="90" t="e">
        <f>E11+E12+E13+#REF!+#REF!+#REF!+#REF!</f>
        <v>#REF!</v>
      </c>
      <c r="F10" s="90" t="e">
        <f t="shared" si="1"/>
        <v>#REF!</v>
      </c>
      <c r="G10" s="458">
        <f>SUM(G11:G13)</f>
        <v>448</v>
      </c>
      <c r="H10" s="90">
        <f t="shared" si="2"/>
        <v>10823</v>
      </c>
      <c r="I10" s="39">
        <v>28151</v>
      </c>
      <c r="J10" s="502">
        <f t="shared" si="3"/>
        <v>260.1034833225538</v>
      </c>
      <c r="K10" s="90">
        <f>SUM(K11:K13)</f>
        <v>1806</v>
      </c>
    </row>
    <row r="11" spans="1:11" ht="14.25">
      <c r="A11" s="38" t="s">
        <v>233</v>
      </c>
      <c r="B11" s="39">
        <v>2200</v>
      </c>
      <c r="C11" s="39">
        <v>0</v>
      </c>
      <c r="D11" s="39">
        <f t="shared" si="0"/>
        <v>2200</v>
      </c>
      <c r="E11" s="39">
        <v>298</v>
      </c>
      <c r="F11" s="39">
        <f t="shared" si="1"/>
        <v>13.545454545454547</v>
      </c>
      <c r="G11" s="45">
        <v>0</v>
      </c>
      <c r="H11" s="39">
        <f t="shared" si="2"/>
        <v>2200</v>
      </c>
      <c r="I11" s="504">
        <v>598</v>
      </c>
      <c r="J11" s="500">
        <f t="shared" si="3"/>
        <v>27.18181818181818</v>
      </c>
      <c r="K11" s="39">
        <v>0</v>
      </c>
    </row>
    <row r="12" spans="1:11" ht="14.25">
      <c r="A12" s="42" t="s">
        <v>234</v>
      </c>
      <c r="B12" s="43">
        <v>6175</v>
      </c>
      <c r="C12" s="39">
        <v>0</v>
      </c>
      <c r="D12" s="39">
        <f t="shared" si="0"/>
        <v>6175</v>
      </c>
      <c r="E12" s="39">
        <v>75</v>
      </c>
      <c r="F12" s="39">
        <f t="shared" si="1"/>
        <v>1.214574898785425</v>
      </c>
      <c r="G12" s="45">
        <v>0</v>
      </c>
      <c r="H12" s="39">
        <f t="shared" si="2"/>
        <v>6175</v>
      </c>
      <c r="I12" s="43">
        <v>1668</v>
      </c>
      <c r="J12" s="500">
        <f t="shared" si="3"/>
        <v>27.012145748987855</v>
      </c>
      <c r="K12" s="45">
        <v>-139</v>
      </c>
    </row>
    <row r="13" spans="1:11" ht="14.25">
      <c r="A13" s="89" t="s">
        <v>235</v>
      </c>
      <c r="B13" s="90">
        <v>2000</v>
      </c>
      <c r="C13" s="43">
        <v>0</v>
      </c>
      <c r="D13" s="43">
        <f t="shared" si="0"/>
        <v>2000</v>
      </c>
      <c r="E13" s="43">
        <v>1372</v>
      </c>
      <c r="F13" s="43">
        <f t="shared" si="1"/>
        <v>68.60000000000001</v>
      </c>
      <c r="G13" s="45">
        <v>448</v>
      </c>
      <c r="H13" s="39">
        <f t="shared" si="2"/>
        <v>2448</v>
      </c>
      <c r="I13" s="43">
        <v>3529</v>
      </c>
      <c r="J13" s="500">
        <f t="shared" si="3"/>
        <v>144.15849673202615</v>
      </c>
      <c r="K13" s="45">
        <v>1945</v>
      </c>
    </row>
    <row r="14" spans="1:11" ht="14.25">
      <c r="A14" s="44" t="s">
        <v>236</v>
      </c>
      <c r="B14" s="39">
        <v>2500</v>
      </c>
      <c r="C14" s="39">
        <v>0</v>
      </c>
      <c r="D14" s="39">
        <f t="shared" si="0"/>
        <v>2500</v>
      </c>
      <c r="E14" s="39">
        <v>219</v>
      </c>
      <c r="F14" s="39">
        <f t="shared" si="1"/>
        <v>8.76</v>
      </c>
      <c r="G14" s="45">
        <v>0</v>
      </c>
      <c r="H14" s="39">
        <f t="shared" si="2"/>
        <v>2500</v>
      </c>
      <c r="I14" s="43">
        <v>1788</v>
      </c>
      <c r="J14" s="500">
        <f t="shared" si="3"/>
        <v>71.52</v>
      </c>
      <c r="K14" s="39">
        <v>0</v>
      </c>
    </row>
    <row r="15" spans="1:11" ht="14.25">
      <c r="A15" s="44" t="s">
        <v>237</v>
      </c>
      <c r="B15" s="39">
        <v>50000</v>
      </c>
      <c r="C15" s="39">
        <v>0</v>
      </c>
      <c r="D15" s="39">
        <f t="shared" si="0"/>
        <v>50000</v>
      </c>
      <c r="E15" s="39">
        <v>12083</v>
      </c>
      <c r="F15" s="39">
        <f t="shared" si="1"/>
        <v>24.166</v>
      </c>
      <c r="G15" s="45">
        <v>0</v>
      </c>
      <c r="H15" s="39">
        <f t="shared" si="2"/>
        <v>50000</v>
      </c>
      <c r="I15" s="43">
        <v>16038</v>
      </c>
      <c r="J15" s="500">
        <f t="shared" si="3"/>
        <v>32.076</v>
      </c>
      <c r="K15" s="39">
        <v>0</v>
      </c>
    </row>
    <row r="16" spans="1:11" ht="14.25">
      <c r="A16" s="44" t="s">
        <v>238</v>
      </c>
      <c r="B16" s="39">
        <v>300</v>
      </c>
      <c r="C16" s="39">
        <v>0</v>
      </c>
      <c r="D16" s="39">
        <f t="shared" si="0"/>
        <v>300</v>
      </c>
      <c r="E16" s="39">
        <v>0</v>
      </c>
      <c r="F16" s="39">
        <f t="shared" si="1"/>
        <v>0</v>
      </c>
      <c r="G16" s="45">
        <v>0</v>
      </c>
      <c r="H16" s="39">
        <f t="shared" si="2"/>
        <v>300</v>
      </c>
      <c r="I16" s="43">
        <v>0</v>
      </c>
      <c r="J16" s="500">
        <f t="shared" si="3"/>
        <v>0</v>
      </c>
      <c r="K16" s="39">
        <v>0</v>
      </c>
    </row>
    <row r="17" spans="1:11" ht="14.25">
      <c r="A17" s="44" t="s">
        <v>239</v>
      </c>
      <c r="B17" s="39">
        <v>5461</v>
      </c>
      <c r="C17" s="39">
        <v>0</v>
      </c>
      <c r="D17" s="39">
        <f t="shared" si="0"/>
        <v>5461</v>
      </c>
      <c r="E17" s="39">
        <v>1728</v>
      </c>
      <c r="F17" s="39">
        <f t="shared" si="1"/>
        <v>31.64255630836843</v>
      </c>
      <c r="G17" s="45">
        <v>0</v>
      </c>
      <c r="H17" s="39">
        <f t="shared" si="2"/>
        <v>5461</v>
      </c>
      <c r="I17" s="43">
        <v>3045</v>
      </c>
      <c r="J17" s="500">
        <f t="shared" si="3"/>
        <v>55.759018494781174</v>
      </c>
      <c r="K17" s="39">
        <v>0</v>
      </c>
    </row>
    <row r="18" spans="1:11" ht="14.25">
      <c r="A18" s="44" t="s">
        <v>240</v>
      </c>
      <c r="B18" s="39">
        <v>7497</v>
      </c>
      <c r="C18" s="39">
        <v>0</v>
      </c>
      <c r="D18" s="39">
        <f t="shared" si="0"/>
        <v>7497</v>
      </c>
      <c r="E18" s="39">
        <v>2245</v>
      </c>
      <c r="F18" s="39">
        <f t="shared" si="1"/>
        <v>29.945311457916503</v>
      </c>
      <c r="G18" s="45">
        <v>0</v>
      </c>
      <c r="H18" s="39">
        <f t="shared" si="2"/>
        <v>7497</v>
      </c>
      <c r="I18" s="43">
        <v>4449</v>
      </c>
      <c r="J18" s="500">
        <f t="shared" si="3"/>
        <v>59.343737494997995</v>
      </c>
      <c r="K18" s="39">
        <v>0</v>
      </c>
    </row>
    <row r="19" spans="1:11" ht="14.25">
      <c r="A19" s="44" t="s">
        <v>372</v>
      </c>
      <c r="B19" s="39">
        <v>13920</v>
      </c>
      <c r="C19" s="39">
        <v>0</v>
      </c>
      <c r="D19" s="39">
        <f t="shared" si="0"/>
        <v>13920</v>
      </c>
      <c r="E19" s="39">
        <v>62</v>
      </c>
      <c r="F19" s="39">
        <f t="shared" si="1"/>
        <v>0.4454022988505747</v>
      </c>
      <c r="G19" s="45">
        <v>3588</v>
      </c>
      <c r="H19" s="39">
        <f t="shared" si="2"/>
        <v>17508</v>
      </c>
      <c r="I19" s="43">
        <v>5730</v>
      </c>
      <c r="J19" s="500">
        <f t="shared" si="3"/>
        <v>32.72789581905415</v>
      </c>
      <c r="K19" s="39">
        <v>0</v>
      </c>
    </row>
    <row r="20" spans="1:11" ht="14.25">
      <c r="A20" s="44" t="s">
        <v>422</v>
      </c>
      <c r="B20" s="39">
        <v>20227</v>
      </c>
      <c r="C20" s="39">
        <v>0</v>
      </c>
      <c r="D20" s="39">
        <f t="shared" si="0"/>
        <v>20227</v>
      </c>
      <c r="E20" s="39">
        <v>3676</v>
      </c>
      <c r="F20" s="39">
        <f t="shared" si="1"/>
        <v>18.173728185099126</v>
      </c>
      <c r="G20" s="45">
        <v>341</v>
      </c>
      <c r="H20" s="39">
        <f t="shared" si="2"/>
        <v>20568</v>
      </c>
      <c r="I20" s="43">
        <v>7918</v>
      </c>
      <c r="J20" s="500">
        <f t="shared" si="3"/>
        <v>38.49669389342668</v>
      </c>
      <c r="K20" s="39">
        <v>0</v>
      </c>
    </row>
    <row r="21" spans="1:11" ht="14.25">
      <c r="A21" s="44" t="s">
        <v>371</v>
      </c>
      <c r="B21" s="39">
        <v>56345</v>
      </c>
      <c r="C21" s="39">
        <v>0</v>
      </c>
      <c r="D21" s="39">
        <f t="shared" si="0"/>
        <v>56345</v>
      </c>
      <c r="E21" s="39">
        <v>16131</v>
      </c>
      <c r="F21" s="39">
        <f t="shared" si="1"/>
        <v>28.628982163457273</v>
      </c>
      <c r="G21" s="45">
        <v>4180</v>
      </c>
      <c r="H21" s="39">
        <f t="shared" si="2"/>
        <v>60525</v>
      </c>
      <c r="I21" s="43">
        <v>33386</v>
      </c>
      <c r="J21" s="500">
        <f t="shared" si="3"/>
        <v>55.160677406030565</v>
      </c>
      <c r="K21" s="39">
        <v>6488</v>
      </c>
    </row>
    <row r="22" spans="1:11" ht="14.25">
      <c r="A22" s="44" t="s">
        <v>241</v>
      </c>
      <c r="B22" s="39">
        <v>6507</v>
      </c>
      <c r="C22" s="39">
        <v>0</v>
      </c>
      <c r="D22" s="39">
        <f t="shared" si="0"/>
        <v>6507</v>
      </c>
      <c r="E22" s="39">
        <v>11279</v>
      </c>
      <c r="F22" s="39">
        <f t="shared" si="1"/>
        <v>173.33640694636546</v>
      </c>
      <c r="G22" s="45">
        <v>-4153</v>
      </c>
      <c r="H22" s="39">
        <f t="shared" si="2"/>
        <v>2354</v>
      </c>
      <c r="I22" s="43">
        <v>14017</v>
      </c>
      <c r="J22" s="500">
        <f t="shared" si="3"/>
        <v>595.4545454545454</v>
      </c>
      <c r="K22" s="39">
        <v>188</v>
      </c>
    </row>
    <row r="23" spans="1:11" ht="14.25">
      <c r="A23" s="44" t="s">
        <v>419</v>
      </c>
      <c r="B23" s="39">
        <v>1709</v>
      </c>
      <c r="C23" s="90">
        <v>0</v>
      </c>
      <c r="D23" s="43">
        <f t="shared" si="0"/>
        <v>1709</v>
      </c>
      <c r="E23" s="43">
        <v>3191</v>
      </c>
      <c r="F23" s="43">
        <f t="shared" si="1"/>
        <v>186.71737858396725</v>
      </c>
      <c r="G23" s="45">
        <v>-1600</v>
      </c>
      <c r="H23" s="39">
        <f t="shared" si="2"/>
        <v>109</v>
      </c>
      <c r="I23" s="43">
        <v>3787</v>
      </c>
      <c r="J23" s="500">
        <f t="shared" si="3"/>
        <v>3474.3119266055046</v>
      </c>
      <c r="K23" s="39">
        <v>35</v>
      </c>
    </row>
    <row r="24" spans="1:12" ht="14.25">
      <c r="A24" s="44" t="s">
        <v>455</v>
      </c>
      <c r="B24" s="43">
        <v>65275</v>
      </c>
      <c r="C24" s="43"/>
      <c r="D24" s="43">
        <v>0</v>
      </c>
      <c r="E24" s="43"/>
      <c r="F24" s="43"/>
      <c r="G24" s="45">
        <v>2209</v>
      </c>
      <c r="H24" s="39">
        <f t="shared" si="2"/>
        <v>2209</v>
      </c>
      <c r="I24" s="43">
        <v>4697</v>
      </c>
      <c r="J24" s="500">
        <f t="shared" si="3"/>
        <v>212.63014938886374</v>
      </c>
      <c r="K24" s="39">
        <v>0</v>
      </c>
      <c r="L24" s="39"/>
    </row>
    <row r="25" spans="1:11" ht="14.25">
      <c r="A25" s="44" t="s">
        <v>456</v>
      </c>
      <c r="B25" s="43">
        <v>8812</v>
      </c>
      <c r="C25" s="43"/>
      <c r="D25" s="43">
        <v>0</v>
      </c>
      <c r="E25" s="43"/>
      <c r="F25" s="43"/>
      <c r="G25" s="45">
        <v>298</v>
      </c>
      <c r="H25" s="39">
        <f t="shared" si="2"/>
        <v>298</v>
      </c>
      <c r="I25" s="43">
        <v>634</v>
      </c>
      <c r="J25" s="500">
        <f t="shared" si="3"/>
        <v>212.75167785234902</v>
      </c>
      <c r="K25" s="39">
        <v>0</v>
      </c>
    </row>
    <row r="26" spans="1:9" ht="14.25">
      <c r="A26" s="44" t="s">
        <v>511</v>
      </c>
      <c r="B26" s="43">
        <v>2182</v>
      </c>
      <c r="C26" s="43"/>
      <c r="D26" s="43"/>
      <c r="E26" s="43"/>
      <c r="F26" s="43"/>
      <c r="I26" s="43"/>
    </row>
    <row r="27" spans="1:11" s="365" customFormat="1" ht="15">
      <c r="A27" s="364" t="s">
        <v>174</v>
      </c>
      <c r="B27" s="396">
        <f>SUM((B8:B10),SUM(B14:B26))</f>
        <v>279595</v>
      </c>
      <c r="C27" s="276">
        <v>0</v>
      </c>
      <c r="D27" s="276">
        <f t="shared" si="0"/>
        <v>279595</v>
      </c>
      <c r="E27" s="276" t="e">
        <f>E8+E9+E10+E14+E15+E16+E17+E18+E19+E20+E21+E22+E23+#REF!+#REF!+#REF!+#REF!+#REF!+#REF!+#REF!+#REF!+#REF!+#REF!+#REF!</f>
        <v>#REF!</v>
      </c>
      <c r="F27" s="276" t="e">
        <f t="shared" si="1"/>
        <v>#REF!</v>
      </c>
      <c r="G27" s="459">
        <v>503091</v>
      </c>
      <c r="H27" s="276">
        <f t="shared" si="2"/>
        <v>782686</v>
      </c>
      <c r="I27" s="398">
        <v>276212</v>
      </c>
      <c r="J27" s="503">
        <f t="shared" si="3"/>
        <v>35.29026966114125</v>
      </c>
      <c r="K27" s="276" t="e">
        <f>K8+K9+K10+K14+K15+K16+K17+K18+K19+K20+K21+K22+K23+#REF!+#REF!+#REF!+#REF!+#REF!+#REF!+#REF!+#REF!+#REF!+#REF!+#REF!+#REF!+#REF!+K24+K25+#REF!</f>
        <v>#REF!</v>
      </c>
    </row>
    <row r="28" spans="1:11" ht="14.25">
      <c r="A28" s="44" t="s">
        <v>242</v>
      </c>
      <c r="B28" s="45">
        <v>30000</v>
      </c>
      <c r="C28" s="39">
        <v>0</v>
      </c>
      <c r="D28" s="39">
        <f t="shared" si="0"/>
        <v>30000</v>
      </c>
      <c r="E28" s="39">
        <v>250</v>
      </c>
      <c r="F28" s="39">
        <f t="shared" si="1"/>
        <v>0.8333333333333334</v>
      </c>
      <c r="G28" s="45">
        <v>-10</v>
      </c>
      <c r="H28" s="39">
        <f t="shared" si="2"/>
        <v>29990</v>
      </c>
      <c r="I28" s="504">
        <v>8969</v>
      </c>
      <c r="J28" s="500">
        <f t="shared" si="3"/>
        <v>29.906635545181725</v>
      </c>
      <c r="K28" s="39">
        <v>348</v>
      </c>
    </row>
    <row r="29" spans="1:11" ht="14.25">
      <c r="A29" s="44" t="s">
        <v>243</v>
      </c>
      <c r="B29" s="39">
        <v>450</v>
      </c>
      <c r="C29" s="39">
        <v>0</v>
      </c>
      <c r="D29" s="39">
        <f t="shared" si="0"/>
        <v>450</v>
      </c>
      <c r="E29" s="39">
        <v>0</v>
      </c>
      <c r="F29" s="39">
        <f t="shared" si="1"/>
        <v>0</v>
      </c>
      <c r="G29" s="45">
        <v>0</v>
      </c>
      <c r="H29" s="39">
        <f t="shared" si="2"/>
        <v>450</v>
      </c>
      <c r="I29" s="43">
        <v>450</v>
      </c>
      <c r="J29" s="500">
        <f t="shared" si="3"/>
        <v>100</v>
      </c>
      <c r="K29" s="39">
        <v>0</v>
      </c>
    </row>
    <row r="30" spans="1:11" ht="14.25">
      <c r="A30" s="44" t="s">
        <v>244</v>
      </c>
      <c r="B30" s="39">
        <v>1000</v>
      </c>
      <c r="C30" s="39">
        <v>0</v>
      </c>
      <c r="D30" s="39">
        <f t="shared" si="0"/>
        <v>1000</v>
      </c>
      <c r="E30" s="39">
        <v>450</v>
      </c>
      <c r="F30" s="39">
        <f t="shared" si="1"/>
        <v>45</v>
      </c>
      <c r="G30" s="45">
        <v>0</v>
      </c>
      <c r="H30" s="39">
        <f t="shared" si="2"/>
        <v>1000</v>
      </c>
      <c r="I30" s="43">
        <v>450</v>
      </c>
      <c r="J30" s="500">
        <f t="shared" si="3"/>
        <v>45</v>
      </c>
      <c r="K30" s="39">
        <v>200</v>
      </c>
    </row>
    <row r="31" spans="1:11" ht="14.25">
      <c r="A31" s="44" t="s">
        <v>245</v>
      </c>
      <c r="B31" s="45">
        <v>98500</v>
      </c>
      <c r="C31" s="39">
        <v>0</v>
      </c>
      <c r="D31" s="39">
        <f t="shared" si="0"/>
        <v>98500</v>
      </c>
      <c r="E31" s="39">
        <v>10553</v>
      </c>
      <c r="F31" s="39">
        <f t="shared" si="1"/>
        <v>10.713705583756346</v>
      </c>
      <c r="G31" s="45">
        <v>8900</v>
      </c>
      <c r="H31" s="39">
        <f t="shared" si="2"/>
        <v>107400</v>
      </c>
      <c r="I31" s="43">
        <v>24091</v>
      </c>
      <c r="J31" s="500">
        <f t="shared" si="3"/>
        <v>22.431098696461824</v>
      </c>
      <c r="K31" s="39">
        <v>0</v>
      </c>
    </row>
    <row r="32" spans="1:11" ht="14.25">
      <c r="A32" s="44" t="s">
        <v>298</v>
      </c>
      <c r="B32" s="45">
        <v>6320</v>
      </c>
      <c r="C32" s="39">
        <v>0</v>
      </c>
      <c r="D32" s="39">
        <f t="shared" si="0"/>
        <v>6320</v>
      </c>
      <c r="E32" s="39">
        <v>1580</v>
      </c>
      <c r="F32" s="39">
        <f t="shared" si="1"/>
        <v>25</v>
      </c>
      <c r="G32" s="45">
        <v>2489</v>
      </c>
      <c r="H32" s="39">
        <f t="shared" si="2"/>
        <v>8809</v>
      </c>
      <c r="I32" s="43">
        <v>3160</v>
      </c>
      <c r="J32" s="500">
        <f t="shared" si="3"/>
        <v>35.87240322397548</v>
      </c>
      <c r="K32" s="39">
        <v>-2498</v>
      </c>
    </row>
    <row r="33" spans="1:11" ht="14.25">
      <c r="A33" s="44" t="s">
        <v>423</v>
      </c>
      <c r="B33" s="45">
        <v>41000</v>
      </c>
      <c r="C33" s="39">
        <v>0</v>
      </c>
      <c r="D33" s="39">
        <f t="shared" si="0"/>
        <v>41000</v>
      </c>
      <c r="E33" s="39">
        <v>10250</v>
      </c>
      <c r="F33" s="39">
        <f t="shared" si="1"/>
        <v>25</v>
      </c>
      <c r="G33" s="45">
        <v>-2993</v>
      </c>
      <c r="H33" s="39">
        <f t="shared" si="2"/>
        <v>38007</v>
      </c>
      <c r="I33" s="43">
        <v>28943</v>
      </c>
      <c r="J33" s="500">
        <f t="shared" si="3"/>
        <v>76.15176151761518</v>
      </c>
      <c r="K33" s="39">
        <v>2498</v>
      </c>
    </row>
    <row r="34" spans="1:9" ht="14.25">
      <c r="A34" s="44" t="s">
        <v>518</v>
      </c>
      <c r="B34" s="45">
        <v>6500</v>
      </c>
      <c r="I34" s="43"/>
    </row>
    <row r="35" spans="1:11" ht="14.25">
      <c r="A35" s="44" t="s">
        <v>246</v>
      </c>
      <c r="B35" s="39">
        <v>65000</v>
      </c>
      <c r="C35" s="39">
        <v>0</v>
      </c>
      <c r="D35" s="39">
        <f t="shared" si="0"/>
        <v>65000</v>
      </c>
      <c r="E35" s="39">
        <v>0</v>
      </c>
      <c r="F35" s="39">
        <f t="shared" si="1"/>
        <v>0</v>
      </c>
      <c r="G35" s="45">
        <v>0</v>
      </c>
      <c r="H35" s="39">
        <f t="shared" si="2"/>
        <v>65000</v>
      </c>
      <c r="I35" s="43">
        <v>0</v>
      </c>
      <c r="J35" s="500">
        <f t="shared" si="3"/>
        <v>0</v>
      </c>
      <c r="K35" s="39">
        <v>0</v>
      </c>
    </row>
    <row r="36" spans="1:11" ht="14.25">
      <c r="A36" s="44" t="s">
        <v>247</v>
      </c>
      <c r="B36" s="39">
        <v>170</v>
      </c>
      <c r="C36" s="39">
        <v>0</v>
      </c>
      <c r="D36" s="39">
        <f t="shared" si="0"/>
        <v>170</v>
      </c>
      <c r="E36" s="39">
        <v>78</v>
      </c>
      <c r="F36" s="39">
        <f t="shared" si="1"/>
        <v>45.88235294117647</v>
      </c>
      <c r="G36" s="45">
        <v>0</v>
      </c>
      <c r="H36" s="39">
        <f t="shared" si="2"/>
        <v>170</v>
      </c>
      <c r="I36" s="43">
        <v>133</v>
      </c>
      <c r="J36" s="500">
        <f t="shared" si="3"/>
        <v>78.23529411764706</v>
      </c>
      <c r="K36" s="39">
        <v>0</v>
      </c>
    </row>
    <row r="37" spans="1:11" ht="14.25">
      <c r="A37" s="44" t="s">
        <v>248</v>
      </c>
      <c r="B37" s="45">
        <v>545</v>
      </c>
      <c r="C37" s="39">
        <v>0</v>
      </c>
      <c r="D37" s="39">
        <f t="shared" si="0"/>
        <v>545</v>
      </c>
      <c r="E37" s="39">
        <v>0</v>
      </c>
      <c r="F37" s="39">
        <f t="shared" si="1"/>
        <v>0</v>
      </c>
      <c r="G37" s="45">
        <v>0</v>
      </c>
      <c r="H37" s="39">
        <f t="shared" si="2"/>
        <v>545</v>
      </c>
      <c r="I37" s="43">
        <v>344</v>
      </c>
      <c r="J37" s="500">
        <f t="shared" si="3"/>
        <v>63.11926605504588</v>
      </c>
      <c r="K37" s="39">
        <v>0</v>
      </c>
    </row>
    <row r="38" spans="1:11" ht="14.25">
      <c r="A38" s="44" t="s">
        <v>370</v>
      </c>
      <c r="B38" s="45">
        <v>344</v>
      </c>
      <c r="C38" s="39">
        <v>0</v>
      </c>
      <c r="D38" s="39">
        <f t="shared" si="0"/>
        <v>344</v>
      </c>
      <c r="E38" s="39">
        <v>344</v>
      </c>
      <c r="F38" s="39">
        <f t="shared" si="1"/>
        <v>100</v>
      </c>
      <c r="G38" s="45">
        <v>0</v>
      </c>
      <c r="H38" s="39">
        <f t="shared" si="2"/>
        <v>344</v>
      </c>
      <c r="I38" s="43">
        <v>0</v>
      </c>
      <c r="J38" s="500">
        <f t="shared" si="3"/>
        <v>0</v>
      </c>
      <c r="K38" s="39">
        <v>0</v>
      </c>
    </row>
    <row r="39" spans="1:11" ht="14.25">
      <c r="A39" s="44" t="s">
        <v>258</v>
      </c>
      <c r="B39" s="45">
        <v>425</v>
      </c>
      <c r="C39" s="39">
        <v>0</v>
      </c>
      <c r="D39" s="39">
        <f t="shared" si="0"/>
        <v>425</v>
      </c>
      <c r="E39" s="39">
        <v>0</v>
      </c>
      <c r="F39" s="39">
        <f t="shared" si="1"/>
        <v>0</v>
      </c>
      <c r="G39" s="45">
        <v>165</v>
      </c>
      <c r="H39" s="39">
        <f t="shared" si="2"/>
        <v>590</v>
      </c>
      <c r="I39" s="43">
        <v>190</v>
      </c>
      <c r="J39" s="500">
        <f t="shared" si="3"/>
        <v>32.20338983050847</v>
      </c>
      <c r="K39" s="39">
        <v>0</v>
      </c>
    </row>
    <row r="40" spans="1:11" ht="14.25">
      <c r="A40" s="44" t="s">
        <v>259</v>
      </c>
      <c r="B40" s="39">
        <v>1615</v>
      </c>
      <c r="C40" s="39">
        <v>0</v>
      </c>
      <c r="D40" s="39">
        <f t="shared" si="0"/>
        <v>1615</v>
      </c>
      <c r="E40" s="39">
        <v>0</v>
      </c>
      <c r="F40" s="39">
        <f t="shared" si="1"/>
        <v>0</v>
      </c>
      <c r="G40" s="45">
        <v>4457</v>
      </c>
      <c r="H40" s="39">
        <f t="shared" si="2"/>
        <v>6072</v>
      </c>
      <c r="I40" s="43">
        <v>0</v>
      </c>
      <c r="J40" s="500">
        <f t="shared" si="3"/>
        <v>0</v>
      </c>
      <c r="K40" s="39">
        <v>-93</v>
      </c>
    </row>
    <row r="41" spans="1:11" ht="14.25">
      <c r="A41" s="44" t="s">
        <v>249</v>
      </c>
      <c r="B41" s="39">
        <v>3755</v>
      </c>
      <c r="C41" s="39">
        <v>0</v>
      </c>
      <c r="D41" s="39">
        <f t="shared" si="0"/>
        <v>3755</v>
      </c>
      <c r="E41" s="39">
        <v>939</v>
      </c>
      <c r="F41" s="39">
        <f t="shared" si="1"/>
        <v>25.00665778961385</v>
      </c>
      <c r="G41" s="45">
        <v>0</v>
      </c>
      <c r="H41" s="39">
        <f t="shared" si="2"/>
        <v>3755</v>
      </c>
      <c r="I41" s="43">
        <v>1878</v>
      </c>
      <c r="J41" s="500">
        <f t="shared" si="3"/>
        <v>50.0133155792277</v>
      </c>
      <c r="K41" s="39">
        <v>0</v>
      </c>
    </row>
    <row r="42" spans="1:11" ht="14.25">
      <c r="A42" s="44" t="s">
        <v>250</v>
      </c>
      <c r="B42" s="39">
        <v>3264</v>
      </c>
      <c r="C42" s="90">
        <v>0</v>
      </c>
      <c r="D42" s="43">
        <f t="shared" si="0"/>
        <v>3264</v>
      </c>
      <c r="E42" s="43">
        <v>1857</v>
      </c>
      <c r="F42" s="43">
        <f t="shared" si="1"/>
        <v>56.89338235294118</v>
      </c>
      <c r="G42" s="45">
        <v>4035</v>
      </c>
      <c r="H42" s="39">
        <f t="shared" si="2"/>
        <v>7299</v>
      </c>
      <c r="I42" s="43">
        <f>2673+493</f>
        <v>3166</v>
      </c>
      <c r="J42" s="500">
        <f t="shared" si="3"/>
        <v>43.375804904781475</v>
      </c>
      <c r="K42" s="39">
        <v>0</v>
      </c>
    </row>
    <row r="43" spans="1:11" s="365" customFormat="1" ht="15">
      <c r="A43" s="364" t="s">
        <v>179</v>
      </c>
      <c r="B43" s="396">
        <f>SUM(B28:B42)</f>
        <v>258888</v>
      </c>
      <c r="C43" s="276">
        <v>0</v>
      </c>
      <c r="D43" s="276">
        <f t="shared" si="0"/>
        <v>258888</v>
      </c>
      <c r="E43" s="276">
        <f>SUM(E28:E42)</f>
        <v>26301</v>
      </c>
      <c r="F43" s="276">
        <f t="shared" si="1"/>
        <v>10.159219430796329</v>
      </c>
      <c r="G43" s="459">
        <f>SUM(G28:G42)</f>
        <v>17043</v>
      </c>
      <c r="H43" s="276">
        <f t="shared" si="2"/>
        <v>275931</v>
      </c>
      <c r="I43" s="398">
        <f>SUM(I28:I42)</f>
        <v>71774</v>
      </c>
      <c r="J43" s="503">
        <f t="shared" si="3"/>
        <v>26.01157535760752</v>
      </c>
      <c r="K43" s="276">
        <f>SUM(K28:K42)</f>
        <v>455</v>
      </c>
    </row>
    <row r="44" spans="1:11" s="760" customFormat="1" ht="14.25">
      <c r="A44" s="757" t="s">
        <v>550</v>
      </c>
      <c r="B44" s="45">
        <v>14356</v>
      </c>
      <c r="C44" s="45">
        <v>0</v>
      </c>
      <c r="D44" s="45">
        <f t="shared" si="0"/>
        <v>14356</v>
      </c>
      <c r="E44" s="45">
        <v>0</v>
      </c>
      <c r="F44" s="45">
        <f t="shared" si="1"/>
        <v>0</v>
      </c>
      <c r="G44" s="45">
        <v>0</v>
      </c>
      <c r="H44" s="45">
        <f t="shared" si="2"/>
        <v>14356</v>
      </c>
      <c r="I44" s="758">
        <v>10607</v>
      </c>
      <c r="J44" s="759">
        <f t="shared" si="3"/>
        <v>73.8854834215659</v>
      </c>
      <c r="K44" s="45">
        <v>179</v>
      </c>
    </row>
    <row r="45" spans="1:11" s="760" customFormat="1" ht="14.25">
      <c r="A45" s="44" t="s">
        <v>251</v>
      </c>
      <c r="B45" s="45">
        <v>23073</v>
      </c>
      <c r="C45" s="45">
        <v>0</v>
      </c>
      <c r="D45" s="45">
        <f t="shared" si="0"/>
        <v>23073</v>
      </c>
      <c r="E45" s="45">
        <v>0</v>
      </c>
      <c r="F45" s="45">
        <f t="shared" si="1"/>
        <v>0</v>
      </c>
      <c r="G45" s="45">
        <v>0</v>
      </c>
      <c r="H45" s="45">
        <f t="shared" si="2"/>
        <v>23073</v>
      </c>
      <c r="I45" s="761">
        <v>7436</v>
      </c>
      <c r="J45" s="759">
        <f aca="true" t="shared" si="4" ref="J45:J65">SUM(I45/H45)*100</f>
        <v>32.2281454513934</v>
      </c>
      <c r="K45" s="45">
        <v>128240</v>
      </c>
    </row>
    <row r="46" spans="1:11" s="760" customFormat="1" ht="14.25">
      <c r="A46" s="44" t="s">
        <v>565</v>
      </c>
      <c r="B46" s="45">
        <v>2529</v>
      </c>
      <c r="C46" s="45">
        <v>0</v>
      </c>
      <c r="D46" s="45">
        <f t="shared" si="0"/>
        <v>2529</v>
      </c>
      <c r="E46" s="45">
        <v>0</v>
      </c>
      <c r="F46" s="45">
        <f t="shared" si="1"/>
        <v>0</v>
      </c>
      <c r="G46" s="45">
        <v>0</v>
      </c>
      <c r="H46" s="45">
        <f t="shared" si="2"/>
        <v>2529</v>
      </c>
      <c r="I46" s="761">
        <v>0</v>
      </c>
      <c r="J46" s="759">
        <f t="shared" si="4"/>
        <v>0</v>
      </c>
      <c r="K46" s="45">
        <v>0</v>
      </c>
    </row>
    <row r="47" spans="1:11" s="760" customFormat="1" ht="14.25">
      <c r="A47" s="44" t="s">
        <v>549</v>
      </c>
      <c r="B47" s="45">
        <v>209804</v>
      </c>
      <c r="C47" s="45"/>
      <c r="D47" s="45"/>
      <c r="E47" s="45"/>
      <c r="F47" s="45"/>
      <c r="G47" s="45"/>
      <c r="H47" s="45"/>
      <c r="I47" s="761"/>
      <c r="J47" s="759"/>
      <c r="K47" s="45"/>
    </row>
    <row r="48" spans="1:11" s="760" customFormat="1" ht="14.25">
      <c r="A48" s="44" t="s">
        <v>569</v>
      </c>
      <c r="B48" s="45">
        <v>14551</v>
      </c>
      <c r="C48" s="45"/>
      <c r="D48" s="45"/>
      <c r="E48" s="45"/>
      <c r="F48" s="45"/>
      <c r="G48" s="45"/>
      <c r="H48" s="45"/>
      <c r="I48" s="761"/>
      <c r="J48" s="759"/>
      <c r="K48" s="45"/>
    </row>
    <row r="49" spans="1:11" ht="14.25">
      <c r="A49" s="44" t="s">
        <v>252</v>
      </c>
      <c r="B49" s="39">
        <v>3174</v>
      </c>
      <c r="C49" s="39">
        <v>0</v>
      </c>
      <c r="D49" s="39">
        <f t="shared" si="0"/>
        <v>3174</v>
      </c>
      <c r="E49" s="39">
        <v>657</v>
      </c>
      <c r="F49" s="39">
        <f t="shared" si="1"/>
        <v>20.69943289224953</v>
      </c>
      <c r="G49" s="45">
        <v>16</v>
      </c>
      <c r="H49" s="39">
        <f t="shared" si="2"/>
        <v>3190</v>
      </c>
      <c r="I49" s="43">
        <v>1806</v>
      </c>
      <c r="J49" s="500">
        <f t="shared" si="4"/>
        <v>56.61442006269593</v>
      </c>
      <c r="K49" s="39">
        <v>200</v>
      </c>
    </row>
    <row r="50" spans="1:11" ht="14.25">
      <c r="A50" s="44" t="s">
        <v>519</v>
      </c>
      <c r="B50" s="39">
        <v>1400</v>
      </c>
      <c r="C50" s="39">
        <v>0</v>
      </c>
      <c r="D50" s="39">
        <f t="shared" si="0"/>
        <v>1400</v>
      </c>
      <c r="E50" s="39">
        <v>0</v>
      </c>
      <c r="F50" s="39">
        <f t="shared" si="1"/>
        <v>0</v>
      </c>
      <c r="G50" s="45">
        <v>0</v>
      </c>
      <c r="H50" s="39">
        <f t="shared" si="2"/>
        <v>1400</v>
      </c>
      <c r="I50" s="43">
        <v>700</v>
      </c>
      <c r="J50" s="500">
        <f t="shared" si="4"/>
        <v>50</v>
      </c>
      <c r="K50" s="39">
        <v>0</v>
      </c>
    </row>
    <row r="51" spans="1:11" ht="14.25">
      <c r="A51" s="44" t="s">
        <v>253</v>
      </c>
      <c r="B51" s="45">
        <v>874</v>
      </c>
      <c r="C51" s="90">
        <v>0</v>
      </c>
      <c r="D51" s="43">
        <f t="shared" si="0"/>
        <v>874</v>
      </c>
      <c r="E51" s="90">
        <v>0</v>
      </c>
      <c r="F51" s="90">
        <f t="shared" si="1"/>
        <v>0</v>
      </c>
      <c r="G51" s="45">
        <v>0</v>
      </c>
      <c r="H51" s="39">
        <f t="shared" si="2"/>
        <v>874</v>
      </c>
      <c r="I51" s="43">
        <v>341</v>
      </c>
      <c r="J51" s="500">
        <f t="shared" si="4"/>
        <v>39.016018306636155</v>
      </c>
      <c r="K51" s="39">
        <v>0</v>
      </c>
    </row>
    <row r="52" spans="1:11" s="365" customFormat="1" ht="15">
      <c r="A52" s="364" t="s">
        <v>254</v>
      </c>
      <c r="B52" s="397">
        <f>SUM(B44:B51)</f>
        <v>269761</v>
      </c>
      <c r="C52" s="276">
        <v>0</v>
      </c>
      <c r="D52" s="276">
        <f t="shared" si="0"/>
        <v>269761</v>
      </c>
      <c r="E52" s="276">
        <f>SUM(E44:E51)</f>
        <v>657</v>
      </c>
      <c r="F52" s="276">
        <f t="shared" si="1"/>
        <v>0.24354891922850228</v>
      </c>
      <c r="G52" s="459">
        <f>SUM(G44:G51)</f>
        <v>16</v>
      </c>
      <c r="H52" s="276">
        <f t="shared" si="2"/>
        <v>269777</v>
      </c>
      <c r="I52" s="398">
        <f>SUM(I44:I51)</f>
        <v>20890</v>
      </c>
      <c r="J52" s="503">
        <f t="shared" si="4"/>
        <v>7.74343253872643</v>
      </c>
      <c r="K52" s="276">
        <f>SUM(K44:K51)</f>
        <v>128619</v>
      </c>
    </row>
    <row r="53" spans="1:11" s="365" customFormat="1" ht="15">
      <c r="A53" s="364" t="s">
        <v>255</v>
      </c>
      <c r="B53" s="754">
        <v>38776</v>
      </c>
      <c r="C53" s="276">
        <v>3493</v>
      </c>
      <c r="D53" s="276">
        <f t="shared" si="0"/>
        <v>42269</v>
      </c>
      <c r="E53" s="276">
        <v>12287</v>
      </c>
      <c r="F53" s="276">
        <f t="shared" si="1"/>
        <v>29.06858454186283</v>
      </c>
      <c r="G53" s="459">
        <v>1039</v>
      </c>
      <c r="H53" s="276">
        <f t="shared" si="2"/>
        <v>43308</v>
      </c>
      <c r="I53" s="276">
        <v>17240</v>
      </c>
      <c r="J53" s="503">
        <f t="shared" si="4"/>
        <v>39.80788768818694</v>
      </c>
      <c r="K53" s="276">
        <v>4296</v>
      </c>
    </row>
    <row r="54" spans="1:2" ht="15">
      <c r="A54" s="87"/>
      <c r="B54" s="88"/>
    </row>
    <row r="55" spans="1:11" ht="14.25">
      <c r="A55" s="38" t="s">
        <v>261</v>
      </c>
      <c r="B55" s="39">
        <v>47729</v>
      </c>
      <c r="C55" s="39">
        <v>0</v>
      </c>
      <c r="D55" s="39">
        <f t="shared" si="0"/>
        <v>47729</v>
      </c>
      <c r="E55" s="39">
        <v>7859</v>
      </c>
      <c r="F55" s="39">
        <f t="shared" si="1"/>
        <v>16.465880282427875</v>
      </c>
      <c r="G55" s="45">
        <v>-153</v>
      </c>
      <c r="H55" s="39">
        <f t="shared" si="2"/>
        <v>47576</v>
      </c>
      <c r="I55" s="39">
        <v>21277</v>
      </c>
      <c r="J55" s="500">
        <f t="shared" si="4"/>
        <v>44.722128804439215</v>
      </c>
      <c r="K55" s="39">
        <v>0</v>
      </c>
    </row>
    <row r="56" spans="1:11" ht="14.25">
      <c r="A56" s="38" t="s">
        <v>420</v>
      </c>
      <c r="B56" s="39">
        <v>12614</v>
      </c>
      <c r="C56" s="39">
        <v>0</v>
      </c>
      <c r="D56" s="39">
        <f t="shared" si="0"/>
        <v>12614</v>
      </c>
      <c r="E56" s="39">
        <v>2175</v>
      </c>
      <c r="F56" s="39">
        <f t="shared" si="1"/>
        <v>17.2427461550658</v>
      </c>
      <c r="G56" s="45">
        <v>-41</v>
      </c>
      <c r="H56" s="39">
        <f t="shared" si="2"/>
        <v>12573</v>
      </c>
      <c r="I56" s="43">
        <v>5415</v>
      </c>
      <c r="J56" s="500">
        <f t="shared" si="4"/>
        <v>43.06848007635409</v>
      </c>
      <c r="K56" s="39">
        <v>0</v>
      </c>
    </row>
    <row r="57" spans="1:11" ht="14.25">
      <c r="A57" s="38" t="s">
        <v>177</v>
      </c>
      <c r="B57" s="90">
        <v>62215</v>
      </c>
      <c r="C57" s="90">
        <v>0</v>
      </c>
      <c r="D57" s="90">
        <f t="shared" si="0"/>
        <v>62215</v>
      </c>
      <c r="E57" s="90">
        <v>9640</v>
      </c>
      <c r="F57" s="90">
        <f t="shared" si="1"/>
        <v>15.4946556296713</v>
      </c>
      <c r="G57" s="458">
        <v>45124</v>
      </c>
      <c r="H57" s="90">
        <f aca="true" t="shared" si="5" ref="H57:H65">D57+G57</f>
        <v>107339</v>
      </c>
      <c r="I57" s="39">
        <v>23438</v>
      </c>
      <c r="J57" s="502">
        <f t="shared" si="4"/>
        <v>21.835493157193564</v>
      </c>
      <c r="K57" s="90">
        <v>-7654</v>
      </c>
    </row>
    <row r="58" spans="1:11" ht="14.25">
      <c r="A58" s="46" t="s">
        <v>89</v>
      </c>
      <c r="B58" s="39">
        <f>SUM(B55:B57)</f>
        <v>122558</v>
      </c>
      <c r="C58" s="39">
        <v>0</v>
      </c>
      <c r="D58" s="39">
        <f t="shared" si="0"/>
        <v>122558</v>
      </c>
      <c r="E58" s="39">
        <f>SUM(E55:E57)</f>
        <v>19674</v>
      </c>
      <c r="F58" s="39">
        <f t="shared" si="1"/>
        <v>16.05280765025539</v>
      </c>
      <c r="G58" s="45">
        <f>SUM(G55:G57)</f>
        <v>44930</v>
      </c>
      <c r="H58" s="39">
        <f t="shared" si="5"/>
        <v>167488</v>
      </c>
      <c r="I58" s="504">
        <f>SUM(I55:I57)</f>
        <v>50130</v>
      </c>
      <c r="J58" s="500">
        <f t="shared" si="4"/>
        <v>29.93050248376003</v>
      </c>
      <c r="K58" s="39">
        <f>SUM(K55:K57)</f>
        <v>-7654</v>
      </c>
    </row>
    <row r="59" spans="1:11" ht="14.25">
      <c r="A59" s="42" t="s">
        <v>299</v>
      </c>
      <c r="B59" s="45">
        <v>10000</v>
      </c>
      <c r="C59" s="39">
        <v>0</v>
      </c>
      <c r="D59" s="39">
        <f t="shared" si="0"/>
        <v>10000</v>
      </c>
      <c r="E59" s="39" t="e">
        <f>E60+#REF!</f>
        <v>#REF!</v>
      </c>
      <c r="F59" s="39" t="e">
        <f t="shared" si="1"/>
        <v>#REF!</v>
      </c>
      <c r="G59" s="45">
        <v>0</v>
      </c>
      <c r="H59" s="39">
        <f t="shared" si="5"/>
        <v>10000</v>
      </c>
      <c r="I59" s="43">
        <v>17185</v>
      </c>
      <c r="J59" s="500">
        <f t="shared" si="4"/>
        <v>171.85</v>
      </c>
      <c r="K59" s="39">
        <v>0</v>
      </c>
    </row>
    <row r="60" spans="1:11" ht="14.25">
      <c r="A60" s="42" t="s">
        <v>300</v>
      </c>
      <c r="B60" s="45">
        <v>10000</v>
      </c>
      <c r="C60" s="39">
        <v>0</v>
      </c>
      <c r="D60" s="39">
        <f t="shared" si="0"/>
        <v>10000</v>
      </c>
      <c r="E60" s="39">
        <v>661</v>
      </c>
      <c r="F60" s="39">
        <f t="shared" si="1"/>
        <v>6.61</v>
      </c>
      <c r="G60" s="45">
        <v>0</v>
      </c>
      <c r="H60" s="39">
        <f t="shared" si="5"/>
        <v>10000</v>
      </c>
      <c r="I60" s="43">
        <v>1351</v>
      </c>
      <c r="J60" s="500">
        <f t="shared" si="4"/>
        <v>13.51</v>
      </c>
      <c r="K60" s="39">
        <v>0</v>
      </c>
    </row>
    <row r="61" spans="1:11" ht="14.25">
      <c r="A61" s="38" t="s">
        <v>301</v>
      </c>
      <c r="B61" s="39">
        <v>4700</v>
      </c>
      <c r="C61" s="39">
        <v>0</v>
      </c>
      <c r="D61" s="39">
        <f t="shared" si="0"/>
        <v>4700</v>
      </c>
      <c r="E61" s="39">
        <v>1831</v>
      </c>
      <c r="F61" s="39">
        <f t="shared" si="1"/>
        <v>38.95744680851064</v>
      </c>
      <c r="G61" s="45">
        <v>0</v>
      </c>
      <c r="H61" s="39">
        <f t="shared" si="5"/>
        <v>4700</v>
      </c>
      <c r="I61" s="43">
        <v>1989</v>
      </c>
      <c r="J61" s="500">
        <f t="shared" si="4"/>
        <v>42.319148936170215</v>
      </c>
      <c r="K61" s="39">
        <v>3000</v>
      </c>
    </row>
    <row r="62" spans="1:11" ht="14.25">
      <c r="A62" s="42" t="s">
        <v>263</v>
      </c>
      <c r="B62" s="43">
        <v>4780</v>
      </c>
      <c r="C62" s="43">
        <v>0</v>
      </c>
      <c r="D62" s="43">
        <f t="shared" si="0"/>
        <v>4780</v>
      </c>
      <c r="E62" s="43">
        <v>40548</v>
      </c>
      <c r="F62" s="43">
        <f t="shared" si="1"/>
        <v>848.2845188284518</v>
      </c>
      <c r="G62" s="45">
        <v>0</v>
      </c>
      <c r="H62" s="39">
        <f t="shared" si="5"/>
        <v>4780</v>
      </c>
      <c r="I62" s="43">
        <v>45773</v>
      </c>
      <c r="J62" s="500">
        <f t="shared" si="4"/>
        <v>957.5941422594143</v>
      </c>
      <c r="K62" s="39">
        <v>4500</v>
      </c>
    </row>
    <row r="63" spans="1:11" s="365" customFormat="1" ht="15">
      <c r="A63" s="718" t="s">
        <v>302</v>
      </c>
      <c r="B63" s="396">
        <f>SUM(B59+B61+B62)</f>
        <v>19480</v>
      </c>
      <c r="C63" s="276">
        <v>0</v>
      </c>
      <c r="D63" s="276">
        <f t="shared" si="0"/>
        <v>19480</v>
      </c>
      <c r="E63" s="276" t="e">
        <f>E58+E59+E61+E62+#REF!</f>
        <v>#REF!</v>
      </c>
      <c r="F63" s="276" t="e">
        <f t="shared" si="1"/>
        <v>#REF!</v>
      </c>
      <c r="G63" s="459">
        <f>SUM(G58:G62)</f>
        <v>44930</v>
      </c>
      <c r="H63" s="276">
        <f t="shared" si="5"/>
        <v>64410</v>
      </c>
      <c r="I63" s="398">
        <v>121882</v>
      </c>
      <c r="J63" s="503">
        <f t="shared" si="4"/>
        <v>189.22838068622886</v>
      </c>
      <c r="K63" s="276" t="e">
        <f>K58+K59+K61+K62+#REF!</f>
        <v>#REF!</v>
      </c>
    </row>
    <row r="64" spans="1:11" s="365" customFormat="1" ht="15">
      <c r="A64" s="365" t="s">
        <v>1</v>
      </c>
      <c r="B64" s="396">
        <f>SUM(B58+B63)</f>
        <v>142038</v>
      </c>
      <c r="C64" s="276"/>
      <c r="D64" s="276"/>
      <c r="E64" s="276"/>
      <c r="F64" s="276"/>
      <c r="G64" s="459"/>
      <c r="H64" s="276"/>
      <c r="I64" s="398"/>
      <c r="J64" s="503"/>
      <c r="K64" s="276"/>
    </row>
    <row r="65" spans="1:11" s="365" customFormat="1" ht="15">
      <c r="A65" s="399" t="s">
        <v>256</v>
      </c>
      <c r="B65" s="396">
        <f>SUM(B27+B43+B52+B53+B64)</f>
        <v>989058</v>
      </c>
      <c r="C65" s="276">
        <f>C27+C43+C52+C53+C63</f>
        <v>3493</v>
      </c>
      <c r="D65" s="276">
        <f t="shared" si="0"/>
        <v>992551</v>
      </c>
      <c r="E65" s="276" t="e">
        <f>E27+E43+E52+E53+E63</f>
        <v>#REF!</v>
      </c>
      <c r="F65" s="276" t="e">
        <f t="shared" si="1"/>
        <v>#REF!</v>
      </c>
      <c r="G65" s="459">
        <f>G27+G43+G52+G53+G63</f>
        <v>566119</v>
      </c>
      <c r="H65" s="276">
        <f t="shared" si="5"/>
        <v>1558670</v>
      </c>
      <c r="I65" s="276">
        <f>I27+I43+I52+I53+I63</f>
        <v>507998</v>
      </c>
      <c r="J65" s="503">
        <f t="shared" si="4"/>
        <v>32.59176092437783</v>
      </c>
      <c r="K65" s="276" t="e">
        <f>K27+K43+K52+K53+K63</f>
        <v>#REF!</v>
      </c>
    </row>
  </sheetData>
  <sheetProtection selectLockedCells="1" selectUnlockedCells="1"/>
  <mergeCells count="3">
    <mergeCell ref="A1:K1"/>
    <mergeCell ref="A3:K3"/>
    <mergeCell ref="A5:K5"/>
  </mergeCells>
  <printOptions horizontalCentered="1"/>
  <pageMargins left="0.7875" right="0.39375" top="0.32013888888888886" bottom="0.4" header="0.3" footer="0.3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52.875" style="654" customWidth="1"/>
    <col min="2" max="2" width="12.75390625" style="85" customWidth="1"/>
    <col min="3" max="3" width="9.125" style="85" hidden="1" customWidth="1"/>
    <col min="4" max="4" width="12.25390625" style="654" hidden="1" customWidth="1"/>
    <col min="5" max="6" width="9.125" style="85" hidden="1" customWidth="1"/>
    <col min="7" max="7" width="10.625" style="465" hidden="1" customWidth="1"/>
    <col min="8" max="9" width="9.125" style="85" hidden="1" customWidth="1"/>
    <col min="10" max="10" width="9.125" style="655" hidden="1" customWidth="1"/>
    <col min="11" max="11" width="10.00390625" style="85" hidden="1" customWidth="1"/>
    <col min="12" max="16384" width="9.125" style="654" customWidth="1"/>
  </cols>
  <sheetData>
    <row r="1" spans="1:11" ht="15">
      <c r="A1" s="820" t="s">
        <v>699</v>
      </c>
      <c r="B1" s="820"/>
      <c r="C1" s="820"/>
      <c r="D1" s="823"/>
      <c r="E1" s="810"/>
      <c r="F1" s="810"/>
      <c r="G1" s="810"/>
      <c r="H1" s="810"/>
      <c r="I1" s="810"/>
      <c r="J1" s="810"/>
      <c r="K1" s="810"/>
    </row>
    <row r="3" spans="1:11" ht="15.75">
      <c r="A3" s="811" t="s">
        <v>520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</row>
    <row r="4" ht="15.75">
      <c r="A4" s="493"/>
    </row>
    <row r="5" spans="1:11" ht="15.75">
      <c r="A5" s="762"/>
      <c r="B5" s="755" t="s">
        <v>60</v>
      </c>
      <c r="C5" s="763"/>
      <c r="D5" s="763"/>
      <c r="E5" s="763"/>
      <c r="F5" s="763"/>
      <c r="G5" s="764"/>
      <c r="H5" s="764"/>
      <c r="I5" s="764"/>
      <c r="J5" s="764"/>
      <c r="K5" s="764"/>
    </row>
    <row r="6" spans="1:11" ht="31.5">
      <c r="A6" s="394" t="s">
        <v>211</v>
      </c>
      <c r="B6" s="277" t="s">
        <v>437</v>
      </c>
      <c r="C6" s="656" t="s">
        <v>358</v>
      </c>
      <c r="D6" s="657" t="s">
        <v>212</v>
      </c>
      <c r="E6" s="547" t="s">
        <v>448</v>
      </c>
      <c r="F6" s="547" t="s">
        <v>449</v>
      </c>
      <c r="G6" s="548" t="s">
        <v>358</v>
      </c>
      <c r="H6" s="273" t="s">
        <v>454</v>
      </c>
      <c r="I6" s="547" t="s">
        <v>459</v>
      </c>
      <c r="J6" s="549" t="s">
        <v>449</v>
      </c>
      <c r="K6" s="658" t="s">
        <v>358</v>
      </c>
    </row>
    <row r="7" spans="1:11" ht="15">
      <c r="A7" s="659" t="s">
        <v>314</v>
      </c>
      <c r="B7" s="126" t="s">
        <v>315</v>
      </c>
      <c r="C7" s="660" t="s">
        <v>316</v>
      </c>
      <c r="D7" s="661" t="s">
        <v>316</v>
      </c>
      <c r="E7" s="121" t="s">
        <v>317</v>
      </c>
      <c r="F7" s="121" t="s">
        <v>447</v>
      </c>
      <c r="G7" s="662" t="s">
        <v>317</v>
      </c>
      <c r="H7" s="121" t="s">
        <v>316</v>
      </c>
      <c r="I7" s="121" t="s">
        <v>317</v>
      </c>
      <c r="J7" s="663" t="s">
        <v>447</v>
      </c>
      <c r="K7" s="660" t="s">
        <v>317</v>
      </c>
    </row>
    <row r="8" spans="1:11" ht="15">
      <c r="A8" s="362" t="s">
        <v>417</v>
      </c>
      <c r="B8" s="363">
        <v>2500</v>
      </c>
      <c r="C8" s="85">
        <v>0</v>
      </c>
      <c r="D8" s="85">
        <f>B8+C8</f>
        <v>2500</v>
      </c>
      <c r="E8" s="85">
        <v>1062</v>
      </c>
      <c r="F8" s="85">
        <f>SUM(E8/D8)*100</f>
        <v>42.480000000000004</v>
      </c>
      <c r="G8" s="465">
        <v>0</v>
      </c>
      <c r="H8" s="85">
        <f aca="true" t="shared" si="0" ref="H8:H22">D8+G8</f>
        <v>2500</v>
      </c>
      <c r="I8" s="85">
        <v>1062</v>
      </c>
      <c r="J8" s="655">
        <f>SUM(I8/H8)*100</f>
        <v>42.480000000000004</v>
      </c>
      <c r="K8" s="85">
        <v>0</v>
      </c>
    </row>
    <row r="9" spans="1:11" ht="15">
      <c r="A9" s="664" t="s">
        <v>257</v>
      </c>
      <c r="B9" s="363">
        <v>815</v>
      </c>
      <c r="C9" s="264">
        <v>0</v>
      </c>
      <c r="D9" s="363">
        <f aca="true" t="shared" si="1" ref="D9:D22">B9+C9</f>
        <v>815</v>
      </c>
      <c r="E9" s="363">
        <v>18</v>
      </c>
      <c r="F9" s="363">
        <f aca="true" t="shared" si="2" ref="F9:F22">SUM(E9/D9)*100</f>
        <v>2.208588957055215</v>
      </c>
      <c r="G9" s="465">
        <v>0</v>
      </c>
      <c r="H9" s="85">
        <f t="shared" si="0"/>
        <v>815</v>
      </c>
      <c r="I9" s="363">
        <v>394</v>
      </c>
      <c r="J9" s="655">
        <f aca="true" t="shared" si="3" ref="J9:J22">SUM(I9/H9)*100</f>
        <v>48.34355828220859</v>
      </c>
      <c r="K9" s="85">
        <v>0</v>
      </c>
    </row>
    <row r="10" spans="1:11" ht="15">
      <c r="A10" s="664" t="s">
        <v>521</v>
      </c>
      <c r="B10" s="363">
        <v>7090</v>
      </c>
      <c r="C10" s="264"/>
      <c r="D10" s="363"/>
      <c r="E10" s="363"/>
      <c r="F10" s="363"/>
      <c r="H10" s="85">
        <v>0</v>
      </c>
      <c r="I10" s="363"/>
      <c r="K10" s="363">
        <v>4379</v>
      </c>
    </row>
    <row r="11" spans="1:11" s="494" customFormat="1" ht="15.75">
      <c r="A11" s="665" t="s">
        <v>174</v>
      </c>
      <c r="B11" s="395">
        <f>SUM(B8:B10)</f>
        <v>10405</v>
      </c>
      <c r="C11" s="263">
        <v>0</v>
      </c>
      <c r="D11" s="263">
        <f t="shared" si="1"/>
        <v>10405</v>
      </c>
      <c r="E11" s="407">
        <f>SUM(E8:E9)</f>
        <v>1080</v>
      </c>
      <c r="F11" s="407">
        <f t="shared" si="2"/>
        <v>10.379625180201826</v>
      </c>
      <c r="G11" s="418">
        <f>SUM(G8:G9)</f>
        <v>0</v>
      </c>
      <c r="H11" s="263">
        <f t="shared" si="0"/>
        <v>10405</v>
      </c>
      <c r="I11" s="495">
        <f>SUM(I8:I10)</f>
        <v>1456</v>
      </c>
      <c r="J11" s="499">
        <f t="shared" si="3"/>
        <v>13.993272465160981</v>
      </c>
      <c r="K11" s="495">
        <f>SUM(K10:K10)</f>
        <v>4379</v>
      </c>
    </row>
    <row r="12" spans="1:11" s="494" customFormat="1" ht="15.75">
      <c r="A12" s="665" t="s">
        <v>255</v>
      </c>
      <c r="B12" s="719">
        <v>14127</v>
      </c>
      <c r="C12" s="263">
        <v>20216</v>
      </c>
      <c r="D12" s="263">
        <f t="shared" si="1"/>
        <v>34343</v>
      </c>
      <c r="E12" s="263">
        <v>26974</v>
      </c>
      <c r="F12" s="263">
        <f t="shared" si="2"/>
        <v>78.54293451358355</v>
      </c>
      <c r="G12" s="462">
        <v>21245</v>
      </c>
      <c r="H12" s="495">
        <f t="shared" si="0"/>
        <v>55588</v>
      </c>
      <c r="I12" s="263">
        <v>44831</v>
      </c>
      <c r="J12" s="499">
        <f t="shared" si="3"/>
        <v>80.64870115852342</v>
      </c>
      <c r="K12" s="263">
        <v>14651</v>
      </c>
    </row>
    <row r="13" spans="1:4" ht="15.75">
      <c r="A13" s="666" t="s">
        <v>260</v>
      </c>
      <c r="D13" s="85"/>
    </row>
    <row r="14" spans="1:11" ht="15">
      <c r="A14" s="654" t="s">
        <v>261</v>
      </c>
      <c r="B14" s="85">
        <v>231875</v>
      </c>
      <c r="C14" s="85">
        <v>0</v>
      </c>
      <c r="D14" s="85">
        <f t="shared" si="1"/>
        <v>231875</v>
      </c>
      <c r="E14" s="85">
        <v>66540</v>
      </c>
      <c r="F14" s="85">
        <f t="shared" si="2"/>
        <v>28.696495956873314</v>
      </c>
      <c r="G14" s="465">
        <v>23037</v>
      </c>
      <c r="H14" s="85">
        <f t="shared" si="0"/>
        <v>254912</v>
      </c>
      <c r="I14" s="85">
        <v>104849</v>
      </c>
      <c r="J14" s="655">
        <f t="shared" si="3"/>
        <v>41.131449284458945</v>
      </c>
      <c r="K14" s="85">
        <v>683</v>
      </c>
    </row>
    <row r="15" spans="1:11" ht="15">
      <c r="A15" s="654" t="s">
        <v>421</v>
      </c>
      <c r="B15" s="85">
        <v>66695</v>
      </c>
      <c r="C15" s="85">
        <v>0</v>
      </c>
      <c r="D15" s="85">
        <f t="shared" si="1"/>
        <v>66695</v>
      </c>
      <c r="E15" s="85">
        <v>17550</v>
      </c>
      <c r="F15" s="85">
        <f t="shared" si="2"/>
        <v>26.31381662793313</v>
      </c>
      <c r="G15" s="465">
        <v>6152</v>
      </c>
      <c r="H15" s="85">
        <f t="shared" si="0"/>
        <v>72847</v>
      </c>
      <c r="I15" s="363">
        <v>27380</v>
      </c>
      <c r="J15" s="655">
        <f t="shared" si="3"/>
        <v>37.5856246653946</v>
      </c>
      <c r="K15" s="85">
        <v>184</v>
      </c>
    </row>
    <row r="16" spans="1:11" ht="15">
      <c r="A16" s="654" t="s">
        <v>177</v>
      </c>
      <c r="B16" s="264">
        <v>100631</v>
      </c>
      <c r="C16" s="85">
        <v>0</v>
      </c>
      <c r="D16" s="85">
        <f t="shared" si="1"/>
        <v>100631</v>
      </c>
      <c r="E16" s="85">
        <v>25316</v>
      </c>
      <c r="F16" s="85">
        <f t="shared" si="2"/>
        <v>25.157257703888465</v>
      </c>
      <c r="G16" s="465">
        <v>13042</v>
      </c>
      <c r="H16" s="85">
        <f t="shared" si="0"/>
        <v>113673</v>
      </c>
      <c r="I16" s="363">
        <v>47747</v>
      </c>
      <c r="J16" s="655">
        <f t="shared" si="3"/>
        <v>42.00381796908677</v>
      </c>
      <c r="K16" s="85">
        <v>3426</v>
      </c>
    </row>
    <row r="17" spans="1:11" ht="15">
      <c r="A17" s="491" t="s">
        <v>89</v>
      </c>
      <c r="B17" s="85">
        <f>SUM(B14:B16)</f>
        <v>399201</v>
      </c>
      <c r="C17" s="85">
        <v>0</v>
      </c>
      <c r="D17" s="85">
        <f t="shared" si="1"/>
        <v>399201</v>
      </c>
      <c r="E17" s="85">
        <f>SUM(E14:E16)</f>
        <v>109406</v>
      </c>
      <c r="F17" s="85">
        <f t="shared" si="2"/>
        <v>27.40624397233474</v>
      </c>
      <c r="G17" s="465">
        <f>SUM(G14:G16)</f>
        <v>42231</v>
      </c>
      <c r="H17" s="85">
        <f t="shared" si="0"/>
        <v>441432</v>
      </c>
      <c r="I17" s="85">
        <f>SUM(I14:I16)</f>
        <v>179976</v>
      </c>
      <c r="J17" s="655">
        <f t="shared" si="3"/>
        <v>40.77094546838471</v>
      </c>
      <c r="K17" s="85">
        <f>SUM(K14:K16)</f>
        <v>4293</v>
      </c>
    </row>
    <row r="18" spans="1:11" ht="15">
      <c r="A18" s="654" t="s">
        <v>262</v>
      </c>
      <c r="B18" s="85">
        <v>300</v>
      </c>
      <c r="C18" s="85">
        <v>0</v>
      </c>
      <c r="D18" s="85">
        <f t="shared" si="1"/>
        <v>300</v>
      </c>
      <c r="E18" s="85">
        <v>40</v>
      </c>
      <c r="F18" s="85">
        <f t="shared" si="2"/>
        <v>13.333333333333334</v>
      </c>
      <c r="G18" s="465">
        <v>0</v>
      </c>
      <c r="H18" s="85">
        <f t="shared" si="0"/>
        <v>300</v>
      </c>
      <c r="I18" s="363">
        <v>148</v>
      </c>
      <c r="J18" s="655">
        <f t="shared" si="3"/>
        <v>49.333333333333336</v>
      </c>
      <c r="K18" s="85">
        <v>0</v>
      </c>
    </row>
    <row r="19" spans="1:11" ht="15">
      <c r="A19" s="654" t="s">
        <v>263</v>
      </c>
      <c r="B19" s="85">
        <v>4635</v>
      </c>
      <c r="C19" s="264">
        <v>0</v>
      </c>
      <c r="D19" s="264">
        <f t="shared" si="1"/>
        <v>4635</v>
      </c>
      <c r="E19" s="264">
        <v>2013</v>
      </c>
      <c r="F19" s="264">
        <f t="shared" si="2"/>
        <v>43.43042071197411</v>
      </c>
      <c r="G19" s="465">
        <v>0</v>
      </c>
      <c r="H19" s="85">
        <f t="shared" si="0"/>
        <v>4635</v>
      </c>
      <c r="I19" s="85">
        <v>4420</v>
      </c>
      <c r="J19" s="492">
        <f t="shared" si="3"/>
        <v>95.361380798274</v>
      </c>
      <c r="K19" s="85">
        <v>0</v>
      </c>
    </row>
    <row r="20" spans="1:11" ht="15">
      <c r="A20" s="598" t="s">
        <v>264</v>
      </c>
      <c r="B20" s="667">
        <f>SUM(B18:B19)</f>
        <v>4935</v>
      </c>
      <c r="C20" s="262">
        <v>0</v>
      </c>
      <c r="D20" s="262">
        <f t="shared" si="1"/>
        <v>4935</v>
      </c>
      <c r="E20" s="262">
        <f>SUM(E18:E19)</f>
        <v>2053</v>
      </c>
      <c r="F20" s="262">
        <f t="shared" si="2"/>
        <v>41.600810536980745</v>
      </c>
      <c r="G20" s="467">
        <v>0</v>
      </c>
      <c r="H20" s="262">
        <f t="shared" si="0"/>
        <v>4935</v>
      </c>
      <c r="I20" s="262">
        <f>SUM(I18:I19)</f>
        <v>4568</v>
      </c>
      <c r="J20" s="599">
        <f t="shared" si="3"/>
        <v>92.56332320162107</v>
      </c>
      <c r="K20" s="262">
        <f>SUM(K18:K19)</f>
        <v>0</v>
      </c>
    </row>
    <row r="21" spans="1:11" s="494" customFormat="1" ht="15.75">
      <c r="A21" s="394" t="s">
        <v>265</v>
      </c>
      <c r="B21" s="395">
        <f>B17+B20</f>
        <v>404136</v>
      </c>
      <c r="C21" s="263">
        <v>0</v>
      </c>
      <c r="D21" s="263">
        <f>B21+C21</f>
        <v>404136</v>
      </c>
      <c r="E21" s="263">
        <f>E17+E20</f>
        <v>111459</v>
      </c>
      <c r="F21" s="263">
        <f t="shared" si="2"/>
        <v>27.5795771720411</v>
      </c>
      <c r="G21" s="462">
        <f>G17+G20</f>
        <v>42231</v>
      </c>
      <c r="H21" s="495">
        <f t="shared" si="0"/>
        <v>446367</v>
      </c>
      <c r="I21" s="495">
        <f>I17+I20</f>
        <v>184544</v>
      </c>
      <c r="J21" s="499">
        <f t="shared" si="3"/>
        <v>41.34355810353364</v>
      </c>
      <c r="K21" s="495">
        <f>K17+K20</f>
        <v>4293</v>
      </c>
    </row>
    <row r="22" spans="1:11" s="494" customFormat="1" ht="15.75">
      <c r="A22" s="394" t="s">
        <v>256</v>
      </c>
      <c r="B22" s="395">
        <f>SUM(B11+B12+B21)</f>
        <v>428668</v>
      </c>
      <c r="C22" s="263">
        <f>C11+C12+C21</f>
        <v>20216</v>
      </c>
      <c r="D22" s="263">
        <f t="shared" si="1"/>
        <v>448884</v>
      </c>
      <c r="E22" s="263" t="e">
        <f>E11+E12+#REF!+E21</f>
        <v>#REF!</v>
      </c>
      <c r="F22" s="263" t="e">
        <f t="shared" si="2"/>
        <v>#REF!</v>
      </c>
      <c r="G22" s="418" t="e">
        <f>G11+G12+#REF!+G21</f>
        <v>#REF!</v>
      </c>
      <c r="H22" s="263" t="e">
        <f t="shared" si="0"/>
        <v>#REF!</v>
      </c>
      <c r="I22" s="263" t="e">
        <f>I11+I12+#REF!+I21</f>
        <v>#REF!</v>
      </c>
      <c r="J22" s="499" t="e">
        <f t="shared" si="3"/>
        <v>#REF!</v>
      </c>
      <c r="K22" s="263" t="e">
        <f>K11+K12+#REF!+K21</f>
        <v>#REF!</v>
      </c>
    </row>
  </sheetData>
  <sheetProtection selectLockedCells="1" selectUnlockedCells="1"/>
  <mergeCells count="2">
    <mergeCell ref="A1:K1"/>
    <mergeCell ref="A3:K3"/>
  </mergeCells>
  <printOptions horizontalCentered="1"/>
  <pageMargins left="0.7875" right="0.39375" top="0.32013888888888886" bottom="0.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75" zoomScalePageLayoutView="0" workbookViewId="0" topLeftCell="C1">
      <selection activeCell="J3" sqref="J3"/>
    </sheetView>
  </sheetViews>
  <sheetFormatPr defaultColWidth="9.00390625" defaultRowHeight="12.75"/>
  <cols>
    <col min="1" max="1" width="20.25390625" style="47" customWidth="1"/>
    <col min="2" max="2" width="18.00390625" style="47" customWidth="1"/>
    <col min="3" max="3" width="10.125" style="47" bestFit="1" customWidth="1"/>
    <col min="4" max="4" width="7.75390625" style="47" bestFit="1" customWidth="1"/>
    <col min="5" max="5" width="9.875" style="47" customWidth="1"/>
    <col min="6" max="6" width="10.125" style="47" bestFit="1" customWidth="1"/>
    <col min="7" max="7" width="9.375" style="47" customWidth="1"/>
    <col min="8" max="8" width="9.00390625" style="47" customWidth="1"/>
    <col min="9" max="9" width="9.375" style="47" customWidth="1"/>
    <col min="10" max="10" width="9.125" style="47" bestFit="1" customWidth="1"/>
    <col min="11" max="14" width="9.375" style="47" customWidth="1"/>
    <col min="15" max="15" width="10.125" style="47" bestFit="1" customWidth="1"/>
    <col min="16" max="16" width="9.75390625" style="47" customWidth="1"/>
    <col min="17" max="16384" width="9.125" style="47" customWidth="1"/>
  </cols>
  <sheetData>
    <row r="1" spans="7:17" ht="12.75"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48"/>
    </row>
    <row r="2" spans="7:17" s="68" customFormat="1" ht="12.75">
      <c r="G2" s="380"/>
      <c r="H2" s="380"/>
      <c r="I2" s="380"/>
      <c r="J2" s="836" t="s">
        <v>700</v>
      </c>
      <c r="K2" s="836"/>
      <c r="L2" s="836"/>
      <c r="M2" s="836"/>
      <c r="N2" s="836"/>
      <c r="O2" s="836"/>
      <c r="P2" s="836"/>
      <c r="Q2" s="381"/>
    </row>
    <row r="4" spans="1:16" ht="15.75">
      <c r="A4" s="805" t="s">
        <v>523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</row>
    <row r="5" spans="1:16" ht="15.75">
      <c r="A5" s="49"/>
      <c r="B5" s="49"/>
      <c r="C5" s="842" t="s">
        <v>554</v>
      </c>
      <c r="D5" s="805"/>
      <c r="E5" s="805"/>
      <c r="F5" s="805"/>
      <c r="G5" s="805"/>
      <c r="H5" s="805"/>
      <c r="I5" s="805"/>
      <c r="J5" s="805"/>
      <c r="K5" s="805"/>
      <c r="L5" s="805"/>
      <c r="M5" s="49"/>
      <c r="N5" s="49"/>
      <c r="O5" s="49"/>
      <c r="P5" s="49"/>
    </row>
    <row r="6" spans="1:16" ht="15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2.75">
      <c r="A7" s="51"/>
      <c r="B7" s="51"/>
      <c r="C7" s="51"/>
      <c r="D7" s="51"/>
      <c r="E7" s="51"/>
      <c r="F7" s="51"/>
      <c r="G7" s="51"/>
      <c r="I7" s="51"/>
      <c r="J7" s="51"/>
      <c r="K7" s="837" t="s">
        <v>60</v>
      </c>
      <c r="L7" s="837"/>
      <c r="M7" s="837"/>
      <c r="N7" s="837"/>
      <c r="O7" s="837"/>
      <c r="P7" s="837"/>
    </row>
    <row r="8" spans="1:16" ht="12.75">
      <c r="A8" s="52"/>
      <c r="B8" s="53"/>
      <c r="C8" s="834" t="s">
        <v>285</v>
      </c>
      <c r="D8" s="834"/>
      <c r="E8" s="834"/>
      <c r="F8" s="834"/>
      <c r="G8" s="829" t="s">
        <v>285</v>
      </c>
      <c r="H8" s="829" t="s">
        <v>286</v>
      </c>
      <c r="I8" s="829" t="s">
        <v>287</v>
      </c>
      <c r="J8" s="829" t="s">
        <v>288</v>
      </c>
      <c r="K8" s="829" t="s">
        <v>289</v>
      </c>
      <c r="L8" s="829" t="s">
        <v>290</v>
      </c>
      <c r="M8" s="829" t="s">
        <v>291</v>
      </c>
      <c r="N8" s="829" t="s">
        <v>292</v>
      </c>
      <c r="O8" s="829" t="s">
        <v>293</v>
      </c>
      <c r="P8" s="829" t="s">
        <v>147</v>
      </c>
    </row>
    <row r="9" spans="1:16" ht="12.75">
      <c r="A9" s="54" t="s">
        <v>266</v>
      </c>
      <c r="B9" s="55"/>
      <c r="C9" s="56" t="s">
        <v>267</v>
      </c>
      <c r="D9" s="56" t="s">
        <v>268</v>
      </c>
      <c r="E9" s="57" t="s">
        <v>269</v>
      </c>
      <c r="F9" s="56" t="s">
        <v>270</v>
      </c>
      <c r="G9" s="829"/>
      <c r="H9" s="829"/>
      <c r="I9" s="829"/>
      <c r="J9" s="829"/>
      <c r="K9" s="829"/>
      <c r="L9" s="829"/>
      <c r="M9" s="829"/>
      <c r="N9" s="829"/>
      <c r="O9" s="829"/>
      <c r="P9" s="829"/>
    </row>
    <row r="10" spans="1:16" ht="12" customHeight="1">
      <c r="A10" s="602" t="s">
        <v>508</v>
      </c>
      <c r="B10" s="59"/>
      <c r="C10" s="60">
        <v>98001</v>
      </c>
      <c r="D10" s="60">
        <v>0</v>
      </c>
      <c r="E10" s="60">
        <v>55910</v>
      </c>
      <c r="F10" s="58">
        <f>SUM(C10-E10)</f>
        <v>42091</v>
      </c>
      <c r="G10" s="60">
        <v>0</v>
      </c>
      <c r="H10" s="60">
        <v>4347</v>
      </c>
      <c r="I10" s="60">
        <v>5807</v>
      </c>
      <c r="J10" s="60">
        <v>5807</v>
      </c>
      <c r="K10" s="60">
        <v>5807</v>
      </c>
      <c r="L10" s="60">
        <v>5807</v>
      </c>
      <c r="M10" s="60">
        <v>5807</v>
      </c>
      <c r="N10" s="60">
        <v>5807</v>
      </c>
      <c r="O10" s="60">
        <v>2902</v>
      </c>
      <c r="P10" s="58">
        <f>SUM(G10:O10)</f>
        <v>42091</v>
      </c>
    </row>
    <row r="11" spans="1:16" ht="12.75">
      <c r="A11" s="61" t="s">
        <v>271</v>
      </c>
      <c r="B11" s="62"/>
      <c r="C11" s="63">
        <f aca="true" t="shared" si="0" ref="C11:P11">SUM(C10:C10)</f>
        <v>98001</v>
      </c>
      <c r="D11" s="63">
        <f t="shared" si="0"/>
        <v>0</v>
      </c>
      <c r="E11" s="63">
        <f t="shared" si="0"/>
        <v>55910</v>
      </c>
      <c r="F11" s="63">
        <f t="shared" si="0"/>
        <v>42091</v>
      </c>
      <c r="G11" s="63">
        <f t="shared" si="0"/>
        <v>0</v>
      </c>
      <c r="H11" s="63">
        <f t="shared" si="0"/>
        <v>4347</v>
      </c>
      <c r="I11" s="63">
        <f t="shared" si="0"/>
        <v>5807</v>
      </c>
      <c r="J11" s="63">
        <f t="shared" si="0"/>
        <v>5807</v>
      </c>
      <c r="K11" s="63">
        <f t="shared" si="0"/>
        <v>5807</v>
      </c>
      <c r="L11" s="63">
        <f t="shared" si="0"/>
        <v>5807</v>
      </c>
      <c r="M11" s="63">
        <f t="shared" si="0"/>
        <v>5807</v>
      </c>
      <c r="N11" s="63">
        <f t="shared" si="0"/>
        <v>5807</v>
      </c>
      <c r="O11" s="63">
        <f t="shared" si="0"/>
        <v>2902</v>
      </c>
      <c r="P11" s="63">
        <f t="shared" si="0"/>
        <v>42091</v>
      </c>
    </row>
    <row r="12" spans="1:16" s="68" customFormat="1" ht="12.75">
      <c r="A12" s="64" t="s">
        <v>272</v>
      </c>
      <c r="B12" s="65"/>
      <c r="C12" s="66">
        <f>SUM(C11:C11)</f>
        <v>98001</v>
      </c>
      <c r="D12" s="67">
        <f>SUM(D11:D11)</f>
        <v>0</v>
      </c>
      <c r="E12" s="66">
        <f>SUM(E11:E11)</f>
        <v>55910</v>
      </c>
      <c r="F12" s="67">
        <f>SUM(C12-E12)</f>
        <v>42091</v>
      </c>
      <c r="G12" s="66">
        <f aca="true" t="shared" si="1" ref="G12:P12">SUM(G11:G11)</f>
        <v>0</v>
      </c>
      <c r="H12" s="66">
        <f t="shared" si="1"/>
        <v>4347</v>
      </c>
      <c r="I12" s="66">
        <f t="shared" si="1"/>
        <v>5807</v>
      </c>
      <c r="J12" s="66">
        <f t="shared" si="1"/>
        <v>5807</v>
      </c>
      <c r="K12" s="66">
        <f t="shared" si="1"/>
        <v>5807</v>
      </c>
      <c r="L12" s="66">
        <f t="shared" si="1"/>
        <v>5807</v>
      </c>
      <c r="M12" s="66">
        <f t="shared" si="1"/>
        <v>5807</v>
      </c>
      <c r="N12" s="66">
        <f t="shared" si="1"/>
        <v>5807</v>
      </c>
      <c r="O12" s="66">
        <f t="shared" si="1"/>
        <v>2902</v>
      </c>
      <c r="P12" s="66">
        <f t="shared" si="1"/>
        <v>42091</v>
      </c>
    </row>
    <row r="13" spans="1:16" s="68" customFormat="1" ht="25.5">
      <c r="A13" s="64" t="s">
        <v>294</v>
      </c>
      <c r="B13" s="65"/>
      <c r="C13" s="66"/>
      <c r="D13" s="67"/>
      <c r="E13" s="69">
        <v>10000</v>
      </c>
      <c r="F13" s="67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s="68" customFormat="1" ht="12.75">
      <c r="A14" s="70"/>
      <c r="B14" s="70"/>
      <c r="C14" s="71"/>
      <c r="D14" s="72"/>
      <c r="E14" s="73"/>
      <c r="F14" s="72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s="68" customFormat="1" ht="12.75" customHeight="1" hidden="1">
      <c r="A15" s="843" t="s">
        <v>465</v>
      </c>
      <c r="B15" s="843"/>
      <c r="C15" s="843"/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3"/>
    </row>
    <row r="16" spans="1:16" s="68" customFormat="1" ht="14.25" customHeight="1" hidden="1">
      <c r="A16" s="844" t="s">
        <v>464</v>
      </c>
      <c r="B16" s="845"/>
      <c r="C16" s="846">
        <v>788330</v>
      </c>
      <c r="D16" s="847"/>
      <c r="E16" s="848"/>
      <c r="F16" s="72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s="68" customFormat="1" ht="12.75" hidden="1">
      <c r="A17" s="843" t="s">
        <v>507</v>
      </c>
      <c r="B17" s="843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</row>
    <row r="18" spans="1:16" ht="12.75" customHeight="1" hidden="1">
      <c r="A18" s="849" t="s">
        <v>464</v>
      </c>
      <c r="B18" s="849"/>
      <c r="C18" s="850">
        <v>723138</v>
      </c>
      <c r="D18" s="850"/>
      <c r="E18" s="850"/>
      <c r="F18" s="72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18" customHeight="1">
      <c r="A19" s="600"/>
      <c r="B19" s="600"/>
      <c r="C19" s="601"/>
      <c r="D19" s="601"/>
      <c r="E19" s="601"/>
      <c r="F19" s="72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7" s="68" customFormat="1" ht="12.75">
      <c r="A20" s="839" t="s">
        <v>273</v>
      </c>
      <c r="B20" s="839"/>
      <c r="C20" s="839"/>
      <c r="D20" s="839"/>
      <c r="E20" s="839"/>
      <c r="F20" s="839"/>
      <c r="G20" s="839"/>
      <c r="H20" s="839"/>
      <c r="I20" s="839"/>
      <c r="J20" s="839"/>
      <c r="K20" s="839"/>
      <c r="L20" s="839"/>
      <c r="M20" s="839"/>
      <c r="N20" s="839"/>
      <c r="O20" s="839"/>
      <c r="P20" s="839"/>
      <c r="Q20" s="70"/>
    </row>
    <row r="21" spans="1:17" s="68" customFormat="1" ht="35.25" customHeight="1">
      <c r="A21" s="832" t="s">
        <v>274</v>
      </c>
      <c r="B21" s="833"/>
      <c r="C21" s="838">
        <v>783561</v>
      </c>
      <c r="D21" s="838"/>
      <c r="E21" s="838"/>
      <c r="F21" s="838"/>
      <c r="G21" s="66">
        <f>SUM(C21)*1.03</f>
        <v>807067.8300000001</v>
      </c>
      <c r="H21" s="66">
        <f aca="true" t="shared" si="2" ref="H21:P21">SUM(G21)*1.03</f>
        <v>831279.8649</v>
      </c>
      <c r="I21" s="66">
        <f t="shared" si="2"/>
        <v>856218.260847</v>
      </c>
      <c r="J21" s="66">
        <f t="shared" si="2"/>
        <v>881904.8086724101</v>
      </c>
      <c r="K21" s="66">
        <f t="shared" si="2"/>
        <v>908361.9529325825</v>
      </c>
      <c r="L21" s="66">
        <f t="shared" si="2"/>
        <v>935612.81152056</v>
      </c>
      <c r="M21" s="66">
        <f t="shared" si="2"/>
        <v>963681.1958661767</v>
      </c>
      <c r="N21" s="66">
        <f t="shared" si="2"/>
        <v>992591.631742162</v>
      </c>
      <c r="O21" s="66">
        <f t="shared" si="2"/>
        <v>1022369.380694427</v>
      </c>
      <c r="P21" s="66">
        <f t="shared" si="2"/>
        <v>1053040.4621152598</v>
      </c>
      <c r="Q21" s="71"/>
    </row>
    <row r="22" spans="1:17" s="68" customFormat="1" ht="27" customHeight="1">
      <c r="A22" s="840" t="s">
        <v>275</v>
      </c>
      <c r="B22" s="841"/>
      <c r="C22" s="831">
        <f>SUM(C21)/2</f>
        <v>391780.5</v>
      </c>
      <c r="D22" s="831"/>
      <c r="E22" s="831"/>
      <c r="F22" s="831"/>
      <c r="G22" s="67">
        <f>SUM(G21)/2</f>
        <v>403533.91500000004</v>
      </c>
      <c r="H22" s="67">
        <f aca="true" t="shared" si="3" ref="H22:P22">SUM(H21)/2</f>
        <v>415639.93245</v>
      </c>
      <c r="I22" s="67">
        <f t="shared" si="3"/>
        <v>428109.1304235</v>
      </c>
      <c r="J22" s="67">
        <f t="shared" si="3"/>
        <v>440952.40433620504</v>
      </c>
      <c r="K22" s="67">
        <f t="shared" si="3"/>
        <v>454180.97646629123</v>
      </c>
      <c r="L22" s="67">
        <f t="shared" si="3"/>
        <v>467806.40576028</v>
      </c>
      <c r="M22" s="67">
        <f t="shared" si="3"/>
        <v>481840.5979330884</v>
      </c>
      <c r="N22" s="67">
        <f t="shared" si="3"/>
        <v>496295.815871081</v>
      </c>
      <c r="O22" s="67">
        <f t="shared" si="3"/>
        <v>511184.6903472135</v>
      </c>
      <c r="P22" s="67">
        <f t="shared" si="3"/>
        <v>526520.2310576299</v>
      </c>
      <c r="Q22" s="74"/>
    </row>
    <row r="23" spans="1:17" s="68" customFormat="1" ht="27" customHeight="1">
      <c r="A23" s="75"/>
      <c r="B23" s="75"/>
      <c r="C23" s="74"/>
      <c r="D23" s="74"/>
      <c r="E23" s="74"/>
      <c r="F23" s="74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1:16" ht="12.75">
      <c r="A24" s="830" t="s">
        <v>276</v>
      </c>
      <c r="B24" s="830"/>
      <c r="C24" s="830"/>
      <c r="D24" s="830"/>
      <c r="E24" s="830"/>
      <c r="F24" s="830"/>
      <c r="G24" s="830"/>
      <c r="H24" s="830"/>
      <c r="I24" s="830"/>
      <c r="J24" s="830"/>
      <c r="K24" s="76"/>
      <c r="L24" s="76"/>
      <c r="M24" s="76"/>
      <c r="N24" s="76"/>
      <c r="O24" s="76"/>
      <c r="P24" s="76"/>
    </row>
    <row r="25" spans="1:15" ht="12.75">
      <c r="A25" s="187" t="s">
        <v>211</v>
      </c>
      <c r="B25" s="188"/>
      <c r="C25" s="188"/>
      <c r="D25" s="188"/>
      <c r="E25" s="188"/>
      <c r="F25" s="190"/>
      <c r="G25" s="191" t="s">
        <v>277</v>
      </c>
      <c r="H25" s="191" t="s">
        <v>278</v>
      </c>
      <c r="I25" s="191" t="s">
        <v>279</v>
      </c>
      <c r="J25" s="191" t="s">
        <v>373</v>
      </c>
      <c r="K25" s="192" t="s">
        <v>374</v>
      </c>
      <c r="L25" s="192" t="s">
        <v>375</v>
      </c>
      <c r="M25" s="199" t="s">
        <v>376</v>
      </c>
      <c r="N25" s="200" t="s">
        <v>377</v>
      </c>
      <c r="O25" s="200" t="s">
        <v>280</v>
      </c>
    </row>
    <row r="26" spans="1:16" s="195" customFormat="1" ht="12.75">
      <c r="A26" s="194" t="s">
        <v>295</v>
      </c>
      <c r="F26" s="196"/>
      <c r="G26" s="196">
        <v>1908</v>
      </c>
      <c r="H26" s="196">
        <v>1907</v>
      </c>
      <c r="I26" s="196">
        <v>1908</v>
      </c>
      <c r="J26" s="196">
        <v>1907</v>
      </c>
      <c r="K26" s="197">
        <v>1908</v>
      </c>
      <c r="L26" s="197">
        <v>1907</v>
      </c>
      <c r="M26" s="197">
        <v>1908</v>
      </c>
      <c r="N26" s="197">
        <v>1908</v>
      </c>
      <c r="O26" s="197">
        <f>SUM(F26:N26)</f>
        <v>15261</v>
      </c>
      <c r="P26" s="198"/>
    </row>
    <row r="27" spans="1:16" ht="12.75">
      <c r="A27" s="78" t="s">
        <v>281</v>
      </c>
      <c r="B27" s="79"/>
      <c r="C27" s="80"/>
      <c r="D27" s="80"/>
      <c r="E27" s="80"/>
      <c r="F27" s="81"/>
      <c r="G27" s="81" t="s">
        <v>282</v>
      </c>
      <c r="H27" s="81"/>
      <c r="I27" s="806" t="s">
        <v>555</v>
      </c>
      <c r="J27" s="807"/>
      <c r="K27" s="81"/>
      <c r="L27" s="193"/>
      <c r="M27" s="77"/>
      <c r="N27" s="77"/>
      <c r="O27" s="77"/>
      <c r="P27" s="77"/>
    </row>
    <row r="28" spans="1:16" ht="12.75">
      <c r="A28" s="52" t="s">
        <v>283</v>
      </c>
      <c r="B28" s="80"/>
      <c r="C28" s="80"/>
      <c r="D28" s="80"/>
      <c r="E28" s="80"/>
      <c r="F28" s="82"/>
      <c r="G28" s="82" t="s">
        <v>284</v>
      </c>
      <c r="H28" s="82"/>
      <c r="I28" s="808" t="s">
        <v>555</v>
      </c>
      <c r="J28" s="809"/>
      <c r="K28" s="82"/>
      <c r="L28" s="83"/>
      <c r="M28" s="84"/>
      <c r="N28" s="84"/>
      <c r="O28" s="84"/>
      <c r="P28" s="84"/>
    </row>
    <row r="29" spans="2:17" ht="12.75">
      <c r="B29" s="189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3:16" ht="12.75">
      <c r="M30" s="77"/>
      <c r="N30" s="77"/>
      <c r="O30" s="77"/>
      <c r="P30" s="77"/>
    </row>
  </sheetData>
  <sheetProtection/>
  <mergeCells count="30">
    <mergeCell ref="C21:F21"/>
    <mergeCell ref="A20:P20"/>
    <mergeCell ref="A22:B22"/>
    <mergeCell ref="C5:L5"/>
    <mergeCell ref="A15:P15"/>
    <mergeCell ref="A16:B16"/>
    <mergeCell ref="C16:E16"/>
    <mergeCell ref="A17:P17"/>
    <mergeCell ref="A18:B18"/>
    <mergeCell ref="C18:E18"/>
    <mergeCell ref="G1:P1"/>
    <mergeCell ref="G8:G9"/>
    <mergeCell ref="L8:L9"/>
    <mergeCell ref="P8:P9"/>
    <mergeCell ref="H8:H9"/>
    <mergeCell ref="I8:I9"/>
    <mergeCell ref="J2:P2"/>
    <mergeCell ref="J8:J9"/>
    <mergeCell ref="K7:P7"/>
    <mergeCell ref="K8:K9"/>
    <mergeCell ref="A4:P4"/>
    <mergeCell ref="I27:J27"/>
    <mergeCell ref="I28:J28"/>
    <mergeCell ref="M8:M9"/>
    <mergeCell ref="N8:N9"/>
    <mergeCell ref="O8:O9"/>
    <mergeCell ref="A24:J24"/>
    <mergeCell ref="C22:F22"/>
    <mergeCell ref="A21:B21"/>
    <mergeCell ref="C8:F8"/>
  </mergeCells>
  <printOptions horizontalCentered="1"/>
  <pageMargins left="0.16" right="0.17" top="0.7480314960629921" bottom="0.1968503937007874" header="0.31496062992125984" footer="0.1968503937007874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2"/>
  <sheetViews>
    <sheetView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40.75390625" style="127" bestFit="1" customWidth="1"/>
    <col min="2" max="2" width="12.125" style="127" customWidth="1"/>
    <col min="3" max="4" width="11.125" style="127" hidden="1" customWidth="1"/>
    <col min="5" max="6" width="11.125" style="372" hidden="1" customWidth="1"/>
    <col min="7" max="7" width="11.125" style="477" hidden="1" customWidth="1"/>
    <col min="8" max="11" width="11.125" style="372" hidden="1" customWidth="1"/>
    <col min="12" max="12" width="1.75390625" style="127" customWidth="1"/>
    <col min="13" max="13" width="40.75390625" style="306" bestFit="1" customWidth="1"/>
    <col min="14" max="14" width="12.25390625" style="127" customWidth="1"/>
    <col min="15" max="15" width="10.625" style="372" hidden="1" customWidth="1"/>
    <col min="16" max="16" width="12.125" style="127" hidden="1" customWidth="1"/>
    <col min="17" max="17" width="9.125" style="372" hidden="1" customWidth="1"/>
    <col min="18" max="18" width="9.125" style="279" hidden="1" customWidth="1"/>
    <col min="19" max="19" width="11.125" style="279" hidden="1" customWidth="1"/>
    <col min="20" max="20" width="10.875" style="279" hidden="1" customWidth="1"/>
    <col min="21" max="21" width="10.625" style="279" hidden="1" customWidth="1"/>
    <col min="22" max="22" width="9.125" style="512" hidden="1" customWidth="1"/>
    <col min="23" max="23" width="10.00390625" style="279" hidden="1" customWidth="1"/>
    <col min="24" max="16384" width="9.125" style="127" customWidth="1"/>
  </cols>
  <sheetData>
    <row r="1" spans="1:23" ht="17.25" customHeight="1">
      <c r="A1" s="851" t="s">
        <v>701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24"/>
      <c r="P1" s="824"/>
      <c r="Q1" s="824"/>
      <c r="R1" s="824"/>
      <c r="S1" s="824"/>
      <c r="T1" s="824"/>
      <c r="U1" s="824"/>
      <c r="V1" s="824"/>
      <c r="W1" s="824"/>
    </row>
    <row r="2" spans="1:17" ht="15">
      <c r="A2" s="165"/>
      <c r="B2" s="279"/>
      <c r="C2" s="279"/>
      <c r="D2" s="279"/>
      <c r="E2" s="279"/>
      <c r="F2" s="279"/>
      <c r="G2" s="468"/>
      <c r="H2" s="279"/>
      <c r="I2" s="279"/>
      <c r="J2" s="279"/>
      <c r="K2" s="279"/>
      <c r="L2" s="279"/>
      <c r="M2" s="166"/>
      <c r="N2" s="279"/>
      <c r="O2" s="279"/>
      <c r="P2" s="165"/>
      <c r="Q2" s="279"/>
    </row>
    <row r="3" spans="1:23" ht="30.75" customHeight="1">
      <c r="A3" s="852" t="s">
        <v>524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24"/>
      <c r="P3" s="824"/>
      <c r="Q3" s="824"/>
      <c r="R3" s="824"/>
      <c r="S3" s="824"/>
      <c r="T3" s="824"/>
      <c r="U3" s="824"/>
      <c r="V3" s="824"/>
      <c r="W3" s="824"/>
    </row>
    <row r="4" spans="1:17" ht="15">
      <c r="A4" s="165"/>
      <c r="B4" s="165"/>
      <c r="C4" s="165"/>
      <c r="D4" s="165"/>
      <c r="E4" s="279"/>
      <c r="F4" s="279"/>
      <c r="G4" s="468"/>
      <c r="H4" s="279"/>
      <c r="I4" s="279"/>
      <c r="J4" s="279"/>
      <c r="K4" s="279"/>
      <c r="L4" s="165"/>
      <c r="M4" s="166"/>
      <c r="N4" s="165"/>
      <c r="O4" s="279"/>
      <c r="P4" s="165"/>
      <c r="Q4" s="279"/>
    </row>
    <row r="5" spans="1:23" ht="16.5" customHeight="1">
      <c r="A5" s="165"/>
      <c r="B5" s="279"/>
      <c r="C5" s="279"/>
      <c r="D5" s="279"/>
      <c r="E5" s="279"/>
      <c r="F5" s="279"/>
      <c r="G5" s="468"/>
      <c r="H5" s="279"/>
      <c r="I5" s="279"/>
      <c r="J5" s="279"/>
      <c r="K5" s="279"/>
      <c r="L5" s="279"/>
      <c r="M5" s="853" t="s">
        <v>60</v>
      </c>
      <c r="N5" s="853"/>
      <c r="O5" s="816"/>
      <c r="P5" s="816"/>
      <c r="Q5" s="816"/>
      <c r="R5" s="816"/>
      <c r="S5" s="816"/>
      <c r="T5" s="816"/>
      <c r="U5" s="816"/>
      <c r="V5" s="816"/>
      <c r="W5" s="816"/>
    </row>
    <row r="6" spans="1:23" ht="15">
      <c r="A6" s="280" t="s">
        <v>314</v>
      </c>
      <c r="B6" s="281" t="s">
        <v>315</v>
      </c>
      <c r="C6" s="281" t="s">
        <v>316</v>
      </c>
      <c r="D6" s="281" t="s">
        <v>316</v>
      </c>
      <c r="E6" s="281" t="s">
        <v>317</v>
      </c>
      <c r="F6" s="386" t="s">
        <v>447</v>
      </c>
      <c r="G6" s="469" t="s">
        <v>317</v>
      </c>
      <c r="H6" s="386" t="s">
        <v>316</v>
      </c>
      <c r="I6" s="281" t="s">
        <v>317</v>
      </c>
      <c r="J6" s="386" t="s">
        <v>447</v>
      </c>
      <c r="K6" s="302" t="s">
        <v>317</v>
      </c>
      <c r="L6" s="302"/>
      <c r="M6" s="280" t="s">
        <v>314</v>
      </c>
      <c r="N6" s="281" t="s">
        <v>315</v>
      </c>
      <c r="O6" s="281" t="s">
        <v>316</v>
      </c>
      <c r="P6" s="280" t="s">
        <v>316</v>
      </c>
      <c r="Q6" s="281" t="s">
        <v>317</v>
      </c>
      <c r="R6" s="386" t="s">
        <v>447</v>
      </c>
      <c r="S6" s="423" t="s">
        <v>317</v>
      </c>
      <c r="T6" s="281" t="s">
        <v>316</v>
      </c>
      <c r="U6" s="281" t="s">
        <v>317</v>
      </c>
      <c r="V6" s="513" t="s">
        <v>447</v>
      </c>
      <c r="W6" s="555" t="s">
        <v>317</v>
      </c>
    </row>
    <row r="7" spans="1:23" s="278" customFormat="1" ht="30.75" customHeight="1">
      <c r="A7" s="282" t="s">
        <v>322</v>
      </c>
      <c r="B7" s="283" t="s">
        <v>437</v>
      </c>
      <c r="C7" s="283" t="s">
        <v>358</v>
      </c>
      <c r="D7" s="284" t="s">
        <v>212</v>
      </c>
      <c r="E7" s="389" t="s">
        <v>451</v>
      </c>
      <c r="F7" s="388" t="s">
        <v>213</v>
      </c>
      <c r="G7" s="470" t="s">
        <v>73</v>
      </c>
      <c r="H7" s="388" t="s">
        <v>454</v>
      </c>
      <c r="I7" s="389" t="s">
        <v>460</v>
      </c>
      <c r="J7" s="388" t="s">
        <v>213</v>
      </c>
      <c r="K7" s="550" t="s">
        <v>358</v>
      </c>
      <c r="L7" s="297"/>
      <c r="M7" s="282" t="s">
        <v>323</v>
      </c>
      <c r="N7" s="283" t="s">
        <v>437</v>
      </c>
      <c r="O7" s="283" t="s">
        <v>358</v>
      </c>
      <c r="P7" s="284" t="s">
        <v>212</v>
      </c>
      <c r="Q7" s="389" t="s">
        <v>451</v>
      </c>
      <c r="R7" s="400" t="s">
        <v>213</v>
      </c>
      <c r="S7" s="424" t="s">
        <v>73</v>
      </c>
      <c r="T7" s="400" t="s">
        <v>454</v>
      </c>
      <c r="U7" s="400" t="s">
        <v>460</v>
      </c>
      <c r="V7" s="514" t="s">
        <v>213</v>
      </c>
      <c r="W7" s="556" t="s">
        <v>358</v>
      </c>
    </row>
    <row r="8" spans="1:23" ht="15">
      <c r="A8" s="242" t="s">
        <v>77</v>
      </c>
      <c r="B8" s="285">
        <v>138290</v>
      </c>
      <c r="C8" s="285">
        <v>0</v>
      </c>
      <c r="D8" s="285">
        <f>B8+C8</f>
        <v>138290</v>
      </c>
      <c r="E8" s="285">
        <v>70443</v>
      </c>
      <c r="F8" s="387">
        <f>SUM(E8/D8)*100</f>
        <v>50.938607274567936</v>
      </c>
      <c r="G8" s="471">
        <v>73895</v>
      </c>
      <c r="H8" s="422">
        <f>D8+G8</f>
        <v>212185</v>
      </c>
      <c r="I8" s="298">
        <v>217590</v>
      </c>
      <c r="J8" s="422">
        <f>SUM(I8/H8)*100</f>
        <v>102.54730541744233</v>
      </c>
      <c r="K8" s="298">
        <v>174567</v>
      </c>
      <c r="L8" s="298"/>
      <c r="M8" s="242" t="s">
        <v>175</v>
      </c>
      <c r="N8" s="285">
        <v>488408</v>
      </c>
      <c r="O8" s="285">
        <v>0</v>
      </c>
      <c r="P8" s="285">
        <f>N8+O8</f>
        <v>488408</v>
      </c>
      <c r="Q8" s="285">
        <v>131840</v>
      </c>
      <c r="R8" s="387">
        <f>SUM(Q8/P8)*100</f>
        <v>26.99382483497404</v>
      </c>
      <c r="S8" s="279">
        <v>293581</v>
      </c>
      <c r="T8" s="285">
        <f>P8+S8</f>
        <v>781989</v>
      </c>
      <c r="U8" s="279">
        <v>279267</v>
      </c>
      <c r="V8" s="515">
        <f>SUM(U8/T8)*100</f>
        <v>35.712394931386505</v>
      </c>
      <c r="W8" s="292">
        <v>11620</v>
      </c>
    </row>
    <row r="9" spans="1:23" ht="15">
      <c r="A9" s="242" t="s">
        <v>82</v>
      </c>
      <c r="B9" s="285">
        <v>646051</v>
      </c>
      <c r="C9" s="285">
        <v>0</v>
      </c>
      <c r="D9" s="285">
        <f aca="true" t="shared" si="0" ref="D9:D40">B9+C9</f>
        <v>646051</v>
      </c>
      <c r="E9" s="285">
        <v>237008</v>
      </c>
      <c r="F9" s="387">
        <f aca="true" t="shared" si="1" ref="F9:F40">SUM(E9/D9)*100</f>
        <v>36.685648656220636</v>
      </c>
      <c r="G9" s="471">
        <v>0</v>
      </c>
      <c r="H9" s="292">
        <f aca="true" t="shared" si="2" ref="H9:H40">D9+G9</f>
        <v>646051</v>
      </c>
      <c r="I9" s="292">
        <v>344204</v>
      </c>
      <c r="J9" s="285">
        <f aca="true" t="shared" si="3" ref="J9:J40">SUM(I9/H9)*100</f>
        <v>53.27814677169449</v>
      </c>
      <c r="K9" s="292">
        <v>190</v>
      </c>
      <c r="L9" s="387"/>
      <c r="M9" s="304" t="s">
        <v>410</v>
      </c>
      <c r="N9" s="285">
        <v>128128</v>
      </c>
      <c r="O9" s="285">
        <v>0</v>
      </c>
      <c r="P9" s="285">
        <f aca="true" t="shared" si="4" ref="P9:P40">N9+O9</f>
        <v>128128</v>
      </c>
      <c r="Q9" s="285">
        <v>31532</v>
      </c>
      <c r="R9" s="387">
        <f aca="true" t="shared" si="5" ref="R9:R40">SUM(Q9/P9)*100</f>
        <v>24.609765234765234</v>
      </c>
      <c r="S9" s="279">
        <v>42034</v>
      </c>
      <c r="T9" s="292">
        <f aca="true" t="shared" si="6" ref="T9:T40">P9+S9</f>
        <v>170162</v>
      </c>
      <c r="U9" s="292">
        <v>60191</v>
      </c>
      <c r="V9" s="516">
        <f aca="true" t="shared" si="7" ref="V9:V40">SUM(U9/T9)*100</f>
        <v>35.37276242639367</v>
      </c>
      <c r="W9" s="292">
        <v>2997</v>
      </c>
    </row>
    <row r="10" spans="1:23" ht="15">
      <c r="A10" s="242" t="s">
        <v>107</v>
      </c>
      <c r="B10" s="285">
        <v>651723</v>
      </c>
      <c r="C10" s="285">
        <v>23197</v>
      </c>
      <c r="D10" s="285">
        <f t="shared" si="0"/>
        <v>674920</v>
      </c>
      <c r="E10" s="285">
        <v>78973</v>
      </c>
      <c r="F10" s="387">
        <f t="shared" si="1"/>
        <v>11.70109049961477</v>
      </c>
      <c r="G10" s="471">
        <v>48298</v>
      </c>
      <c r="H10" s="292">
        <f t="shared" si="2"/>
        <v>723218</v>
      </c>
      <c r="I10" s="292">
        <v>291150</v>
      </c>
      <c r="J10" s="285">
        <f t="shared" si="3"/>
        <v>40.25757102284512</v>
      </c>
      <c r="K10" s="292">
        <v>147976</v>
      </c>
      <c r="L10" s="387"/>
      <c r="M10" s="242" t="s">
        <v>324</v>
      </c>
      <c r="N10" s="285">
        <v>419649</v>
      </c>
      <c r="O10" s="285">
        <v>0</v>
      </c>
      <c r="P10" s="285">
        <f t="shared" si="4"/>
        <v>419649</v>
      </c>
      <c r="Q10" s="285">
        <v>167346</v>
      </c>
      <c r="R10" s="387">
        <f t="shared" si="5"/>
        <v>39.87761200431789</v>
      </c>
      <c r="S10" s="279">
        <v>277640</v>
      </c>
      <c r="T10" s="292">
        <f t="shared" si="6"/>
        <v>697289</v>
      </c>
      <c r="U10" s="292">
        <v>303905</v>
      </c>
      <c r="V10" s="516">
        <f t="shared" si="7"/>
        <v>43.58379380715887</v>
      </c>
      <c r="W10" s="292">
        <v>142930</v>
      </c>
    </row>
    <row r="11" spans="1:23" ht="15">
      <c r="A11" s="286" t="s">
        <v>93</v>
      </c>
      <c r="B11" s="287">
        <v>42000</v>
      </c>
      <c r="C11" s="287">
        <v>0</v>
      </c>
      <c r="D11" s="285">
        <f t="shared" si="0"/>
        <v>42000</v>
      </c>
      <c r="E11" s="285">
        <v>1223</v>
      </c>
      <c r="F11" s="387">
        <f t="shared" si="1"/>
        <v>2.9119047619047618</v>
      </c>
      <c r="G11" s="471">
        <v>0</v>
      </c>
      <c r="H11" s="292">
        <f t="shared" si="2"/>
        <v>42000</v>
      </c>
      <c r="I11" s="292">
        <v>21529</v>
      </c>
      <c r="J11" s="285">
        <f t="shared" si="3"/>
        <v>51.25952380952381</v>
      </c>
      <c r="K11" s="292">
        <v>0</v>
      </c>
      <c r="L11" s="387"/>
      <c r="M11" s="242" t="s">
        <v>325</v>
      </c>
      <c r="N11" s="285">
        <v>269761</v>
      </c>
      <c r="O11" s="285">
        <v>0</v>
      </c>
      <c r="P11" s="285">
        <f t="shared" si="4"/>
        <v>269761</v>
      </c>
      <c r="Q11" s="285">
        <v>5859</v>
      </c>
      <c r="R11" s="387">
        <f t="shared" si="5"/>
        <v>2.1719225536678763</v>
      </c>
      <c r="S11" s="279">
        <v>20657</v>
      </c>
      <c r="T11" s="292">
        <f t="shared" si="6"/>
        <v>290418</v>
      </c>
      <c r="U11" s="292">
        <v>41771</v>
      </c>
      <c r="V11" s="516">
        <f t="shared" si="7"/>
        <v>14.383061655957963</v>
      </c>
      <c r="W11" s="292">
        <v>128758</v>
      </c>
    </row>
    <row r="12" spans="1:23" ht="15">
      <c r="A12" s="242" t="s">
        <v>413</v>
      </c>
      <c r="B12" s="287">
        <v>40000</v>
      </c>
      <c r="C12" s="287">
        <v>0</v>
      </c>
      <c r="D12" s="285">
        <f t="shared" si="0"/>
        <v>40000</v>
      </c>
      <c r="E12" s="285">
        <v>11732</v>
      </c>
      <c r="F12" s="387">
        <f t="shared" si="1"/>
        <v>29.330000000000002</v>
      </c>
      <c r="G12" s="471">
        <v>0</v>
      </c>
      <c r="H12" s="292">
        <f t="shared" si="2"/>
        <v>40000</v>
      </c>
      <c r="I12" s="292">
        <v>17893</v>
      </c>
      <c r="J12" s="285">
        <f t="shared" si="3"/>
        <v>44.732499999999995</v>
      </c>
      <c r="K12" s="292"/>
      <c r="L12" s="387"/>
      <c r="M12" s="242" t="s">
        <v>179</v>
      </c>
      <c r="N12" s="285">
        <v>258888</v>
      </c>
      <c r="O12" s="285">
        <v>0</v>
      </c>
      <c r="P12" s="285">
        <f t="shared" si="4"/>
        <v>258888</v>
      </c>
      <c r="Q12" s="285">
        <v>32384</v>
      </c>
      <c r="R12" s="387">
        <f t="shared" si="5"/>
        <v>12.508884150675195</v>
      </c>
      <c r="S12" s="279">
        <v>24048</v>
      </c>
      <c r="T12" s="292">
        <f t="shared" si="6"/>
        <v>282936</v>
      </c>
      <c r="U12" s="292">
        <v>77977</v>
      </c>
      <c r="V12" s="516">
        <f t="shared" si="7"/>
        <v>27.559942884609946</v>
      </c>
      <c r="W12" s="292">
        <v>1094</v>
      </c>
    </row>
    <row r="13" spans="1:23" ht="15">
      <c r="A13" s="242" t="s">
        <v>326</v>
      </c>
      <c r="B13" s="285">
        <v>73309</v>
      </c>
      <c r="C13" s="285">
        <v>406</v>
      </c>
      <c r="D13" s="285">
        <f t="shared" si="0"/>
        <v>73715</v>
      </c>
      <c r="E13" s="285">
        <v>128261</v>
      </c>
      <c r="F13" s="387">
        <f t="shared" si="1"/>
        <v>173.99579461439328</v>
      </c>
      <c r="G13" s="471">
        <v>402589</v>
      </c>
      <c r="H13" s="292">
        <f t="shared" si="2"/>
        <v>476304</v>
      </c>
      <c r="I13" s="292">
        <v>252562</v>
      </c>
      <c r="J13" s="285">
        <f t="shared" si="3"/>
        <v>53.025378749706064</v>
      </c>
      <c r="K13" s="292">
        <v>32499</v>
      </c>
      <c r="L13" s="387"/>
      <c r="M13" s="242" t="s">
        <v>327</v>
      </c>
      <c r="N13" s="285">
        <v>52903</v>
      </c>
      <c r="O13" s="285">
        <v>23709</v>
      </c>
      <c r="P13" s="285">
        <f t="shared" si="4"/>
        <v>76612</v>
      </c>
      <c r="Q13" s="285">
        <v>39261</v>
      </c>
      <c r="R13" s="387">
        <f t="shared" si="5"/>
        <v>51.24654101185193</v>
      </c>
      <c r="S13" s="279">
        <v>22284</v>
      </c>
      <c r="T13" s="292">
        <f t="shared" si="6"/>
        <v>98896</v>
      </c>
      <c r="U13" s="292">
        <v>62071</v>
      </c>
      <c r="V13" s="516">
        <f t="shared" si="7"/>
        <v>62.76391360621258</v>
      </c>
      <c r="W13" s="292">
        <v>18947</v>
      </c>
    </row>
    <row r="14" spans="1:23" ht="15">
      <c r="A14" s="242"/>
      <c r="B14" s="285"/>
      <c r="C14" s="285"/>
      <c r="D14" s="285">
        <v>0</v>
      </c>
      <c r="E14" s="285">
        <v>7796</v>
      </c>
      <c r="F14" s="387">
        <v>0</v>
      </c>
      <c r="G14" s="471">
        <v>8549</v>
      </c>
      <c r="H14" s="285">
        <f t="shared" si="2"/>
        <v>8549</v>
      </c>
      <c r="I14" s="298">
        <v>7790</v>
      </c>
      <c r="J14" s="285">
        <f t="shared" si="3"/>
        <v>91.12176862790969</v>
      </c>
      <c r="K14" s="298">
        <v>0</v>
      </c>
      <c r="L14" s="298"/>
      <c r="M14" s="242" t="s">
        <v>185</v>
      </c>
      <c r="N14" s="285">
        <v>27458</v>
      </c>
      <c r="O14" s="285">
        <v>362</v>
      </c>
      <c r="P14" s="285">
        <f t="shared" si="4"/>
        <v>27820</v>
      </c>
      <c r="Q14" s="285">
        <v>0</v>
      </c>
      <c r="R14" s="387">
        <f t="shared" si="5"/>
        <v>0</v>
      </c>
      <c r="S14" s="279">
        <v>34505</v>
      </c>
      <c r="T14" s="292">
        <f t="shared" si="6"/>
        <v>62325</v>
      </c>
      <c r="U14" s="292">
        <v>0</v>
      </c>
      <c r="V14" s="516">
        <f t="shared" si="7"/>
        <v>0</v>
      </c>
      <c r="W14" s="292">
        <v>-4017</v>
      </c>
    </row>
    <row r="15" spans="1:23" ht="15">
      <c r="A15" s="242"/>
      <c r="B15" s="285"/>
      <c r="C15" s="285"/>
      <c r="D15" s="288"/>
      <c r="E15" s="285"/>
      <c r="F15" s="288"/>
      <c r="G15" s="471"/>
      <c r="H15" s="288"/>
      <c r="I15" s="298"/>
      <c r="J15" s="292"/>
      <c r="K15" s="298"/>
      <c r="L15" s="298"/>
      <c r="M15" s="242"/>
      <c r="N15" s="285"/>
      <c r="O15" s="288"/>
      <c r="P15" s="288"/>
      <c r="Q15" s="288"/>
      <c r="R15" s="288"/>
      <c r="T15" s="285"/>
      <c r="V15" s="516"/>
      <c r="W15" s="292"/>
    </row>
    <row r="16" spans="1:23" s="403" customFormat="1" ht="15.75">
      <c r="A16" s="402" t="s">
        <v>322</v>
      </c>
      <c r="B16" s="290">
        <f>SUM(B8:B15)</f>
        <v>1591373</v>
      </c>
      <c r="C16" s="290">
        <f>SUM(C8:C15)</f>
        <v>23603</v>
      </c>
      <c r="D16" s="290">
        <f t="shared" si="0"/>
        <v>1614976</v>
      </c>
      <c r="E16" s="290">
        <f>SUM(E8:E15)</f>
        <v>535436</v>
      </c>
      <c r="F16" s="290">
        <f t="shared" si="1"/>
        <v>33.1544245858762</v>
      </c>
      <c r="G16" s="472">
        <f>SUM(G8:G15)</f>
        <v>533331</v>
      </c>
      <c r="H16" s="290">
        <f t="shared" si="2"/>
        <v>2148307</v>
      </c>
      <c r="I16" s="425">
        <f>SUM(I8:I15)</f>
        <v>1152718</v>
      </c>
      <c r="J16" s="510">
        <f t="shared" si="3"/>
        <v>53.65704249904692</v>
      </c>
      <c r="K16" s="425">
        <f>SUM(K8:K15)</f>
        <v>355232</v>
      </c>
      <c r="L16" s="605"/>
      <c r="M16" s="402" t="s">
        <v>323</v>
      </c>
      <c r="N16" s="290">
        <f>SUM(N8:N14)</f>
        <v>1645195</v>
      </c>
      <c r="O16" s="290">
        <f>SUM(O8:O15)</f>
        <v>24071</v>
      </c>
      <c r="P16" s="290">
        <f t="shared" si="4"/>
        <v>1669266</v>
      </c>
      <c r="Q16" s="290">
        <f>SUM(Q8:Q15)</f>
        <v>408222</v>
      </c>
      <c r="R16" s="290">
        <f t="shared" si="5"/>
        <v>24.45517970173717</v>
      </c>
      <c r="S16" s="290">
        <f>SUM(S8:S15)</f>
        <v>714749</v>
      </c>
      <c r="T16" s="290">
        <f t="shared" si="6"/>
        <v>2384015</v>
      </c>
      <c r="U16" s="511">
        <f>SUM(U8:U15)</f>
        <v>825182</v>
      </c>
      <c r="V16" s="518">
        <f t="shared" si="7"/>
        <v>34.61312114227469</v>
      </c>
      <c r="W16" s="511">
        <f>SUM(W8:W15)</f>
        <v>302329</v>
      </c>
    </row>
    <row r="17" spans="1:23" ht="15">
      <c r="A17" s="243"/>
      <c r="B17" s="285"/>
      <c r="C17" s="285"/>
      <c r="D17" s="285"/>
      <c r="E17" s="285"/>
      <c r="F17" s="387"/>
      <c r="G17" s="471"/>
      <c r="H17" s="285"/>
      <c r="I17" s="298"/>
      <c r="J17" s="422"/>
      <c r="K17" s="298"/>
      <c r="L17" s="298"/>
      <c r="M17" s="243"/>
      <c r="N17" s="285"/>
      <c r="O17" s="285"/>
      <c r="P17" s="285"/>
      <c r="Q17" s="285"/>
      <c r="R17" s="387"/>
      <c r="T17" s="285"/>
      <c r="V17" s="515"/>
      <c r="W17" s="292"/>
    </row>
    <row r="18" spans="1:23" ht="15.75">
      <c r="A18" s="291" t="s">
        <v>328</v>
      </c>
      <c r="B18" s="285"/>
      <c r="C18" s="285"/>
      <c r="D18" s="285"/>
      <c r="E18" s="285"/>
      <c r="F18" s="387"/>
      <c r="G18" s="471"/>
      <c r="H18" s="285"/>
      <c r="I18" s="298"/>
      <c r="J18" s="285"/>
      <c r="K18" s="298"/>
      <c r="L18" s="298"/>
      <c r="M18" s="291" t="s">
        <v>192</v>
      </c>
      <c r="N18" s="285"/>
      <c r="O18" s="285"/>
      <c r="P18" s="285"/>
      <c r="Q18" s="285"/>
      <c r="R18" s="387"/>
      <c r="T18" s="285"/>
      <c r="V18" s="516"/>
      <c r="W18" s="292"/>
    </row>
    <row r="19" spans="1:23" ht="15.75">
      <c r="A19" s="244" t="s">
        <v>650</v>
      </c>
      <c r="B19" s="285">
        <v>55910</v>
      </c>
      <c r="C19" s="285"/>
      <c r="D19" s="285"/>
      <c r="E19" s="285"/>
      <c r="F19" s="387"/>
      <c r="G19" s="471"/>
      <c r="H19" s="285"/>
      <c r="I19" s="298"/>
      <c r="J19" s="285"/>
      <c r="K19" s="298"/>
      <c r="L19" s="298"/>
      <c r="M19" s="291"/>
      <c r="N19" s="285"/>
      <c r="O19" s="285"/>
      <c r="P19" s="285"/>
      <c r="Q19" s="285"/>
      <c r="R19" s="387"/>
      <c r="T19" s="285"/>
      <c r="V19" s="516"/>
      <c r="W19" s="292"/>
    </row>
    <row r="20" spans="1:23" ht="15">
      <c r="A20" s="242" t="s">
        <v>329</v>
      </c>
      <c r="B20" s="285">
        <v>86561</v>
      </c>
      <c r="C20" s="285">
        <v>0</v>
      </c>
      <c r="D20" s="285">
        <f t="shared" si="0"/>
        <v>86561</v>
      </c>
      <c r="E20" s="285">
        <v>10225</v>
      </c>
      <c r="F20" s="387">
        <f t="shared" si="1"/>
        <v>11.812479061009</v>
      </c>
      <c r="G20" s="471">
        <v>-30969</v>
      </c>
      <c r="H20" s="292">
        <f t="shared" si="2"/>
        <v>55592</v>
      </c>
      <c r="I20" s="292">
        <v>1800</v>
      </c>
      <c r="J20" s="285">
        <f t="shared" si="3"/>
        <v>3.2378759533745862</v>
      </c>
      <c r="K20" s="292">
        <v>235</v>
      </c>
      <c r="L20" s="387"/>
      <c r="M20" s="242" t="s">
        <v>398</v>
      </c>
      <c r="N20" s="285">
        <v>522321</v>
      </c>
      <c r="O20" s="285">
        <v>390050</v>
      </c>
      <c r="P20" s="285">
        <f t="shared" si="4"/>
        <v>912371</v>
      </c>
      <c r="Q20" s="285">
        <v>232044</v>
      </c>
      <c r="R20" s="387">
        <f t="shared" si="5"/>
        <v>25.43307492237259</v>
      </c>
      <c r="S20" s="279">
        <v>2425423</v>
      </c>
      <c r="T20" s="285">
        <f t="shared" si="6"/>
        <v>3337794</v>
      </c>
      <c r="U20" s="279">
        <v>608818</v>
      </c>
      <c r="V20" s="516">
        <f t="shared" si="7"/>
        <v>18.240131056620033</v>
      </c>
      <c r="W20" s="292">
        <v>113408</v>
      </c>
    </row>
    <row r="21" spans="1:23" ht="15">
      <c r="A21" s="242" t="s">
        <v>141</v>
      </c>
      <c r="B21" s="285">
        <v>3100</v>
      </c>
      <c r="C21" s="285">
        <v>0</v>
      </c>
      <c r="D21" s="285">
        <f t="shared" si="0"/>
        <v>3100</v>
      </c>
      <c r="E21" s="285">
        <v>2934</v>
      </c>
      <c r="F21" s="387">
        <f t="shared" si="1"/>
        <v>94.64516129032258</v>
      </c>
      <c r="G21" s="471">
        <v>0</v>
      </c>
      <c r="H21" s="292">
        <f t="shared" si="2"/>
        <v>3100</v>
      </c>
      <c r="I21" s="292">
        <v>3735</v>
      </c>
      <c r="J21" s="285">
        <f t="shared" si="3"/>
        <v>120.48387096774194</v>
      </c>
      <c r="K21" s="292">
        <v>1946</v>
      </c>
      <c r="L21" s="387"/>
      <c r="M21" s="242" t="s">
        <v>399</v>
      </c>
      <c r="N21" s="285">
        <v>0</v>
      </c>
      <c r="O21" s="285">
        <v>0</v>
      </c>
      <c r="P21" s="285">
        <f t="shared" si="4"/>
        <v>0</v>
      </c>
      <c r="Q21" s="285">
        <v>433</v>
      </c>
      <c r="R21" s="387" t="e">
        <f t="shared" si="5"/>
        <v>#DIV/0!</v>
      </c>
      <c r="S21" s="279">
        <v>5588</v>
      </c>
      <c r="T21" s="292">
        <f t="shared" si="6"/>
        <v>5588</v>
      </c>
      <c r="U21" s="292">
        <v>1395</v>
      </c>
      <c r="V21" s="516">
        <f t="shared" si="7"/>
        <v>24.96420901932713</v>
      </c>
      <c r="W21" s="292">
        <v>1405</v>
      </c>
    </row>
    <row r="22" spans="1:23" ht="15">
      <c r="A22" s="242" t="s">
        <v>414</v>
      </c>
      <c r="B22" s="285">
        <v>10949</v>
      </c>
      <c r="C22" s="285">
        <v>0</v>
      </c>
      <c r="D22" s="285">
        <f t="shared" si="0"/>
        <v>10949</v>
      </c>
      <c r="E22" s="285">
        <v>5827</v>
      </c>
      <c r="F22" s="387">
        <f t="shared" si="1"/>
        <v>53.21947209790848</v>
      </c>
      <c r="G22" s="471">
        <v>0</v>
      </c>
      <c r="H22" s="292">
        <f t="shared" si="2"/>
        <v>10949</v>
      </c>
      <c r="I22" s="292">
        <v>6473</v>
      </c>
      <c r="J22" s="285">
        <f t="shared" si="3"/>
        <v>59.11955429719609</v>
      </c>
      <c r="K22" s="292">
        <v>0</v>
      </c>
      <c r="L22" s="387"/>
      <c r="M22" s="246" t="s">
        <v>426</v>
      </c>
      <c r="N22" s="285">
        <v>2700</v>
      </c>
      <c r="O22" s="285">
        <v>24</v>
      </c>
      <c r="P22" s="285">
        <f t="shared" si="4"/>
        <v>2724</v>
      </c>
      <c r="Q22" s="285">
        <v>8691</v>
      </c>
      <c r="R22" s="387">
        <f t="shared" si="5"/>
        <v>319.05286343612335</v>
      </c>
      <c r="S22" s="279">
        <v>18012</v>
      </c>
      <c r="T22" s="292">
        <f t="shared" si="6"/>
        <v>20736</v>
      </c>
      <c r="U22" s="292">
        <v>6045</v>
      </c>
      <c r="V22" s="516">
        <f t="shared" si="7"/>
        <v>29.152199074074076</v>
      </c>
      <c r="W22" s="292">
        <v>553</v>
      </c>
    </row>
    <row r="23" spans="1:23" ht="15">
      <c r="A23" s="242" t="s">
        <v>346</v>
      </c>
      <c r="B23" s="285">
        <v>500</v>
      </c>
      <c r="C23" s="285">
        <v>0</v>
      </c>
      <c r="D23" s="285">
        <f t="shared" si="0"/>
        <v>500</v>
      </c>
      <c r="E23" s="285">
        <v>148</v>
      </c>
      <c r="F23" s="387">
        <f t="shared" si="1"/>
        <v>29.599999999999998</v>
      </c>
      <c r="G23" s="471">
        <v>0</v>
      </c>
      <c r="H23" s="292">
        <f t="shared" si="2"/>
        <v>500</v>
      </c>
      <c r="I23" s="292">
        <v>3266</v>
      </c>
      <c r="J23" s="285">
        <f t="shared" si="3"/>
        <v>653.2</v>
      </c>
      <c r="K23" s="292">
        <v>0</v>
      </c>
      <c r="L23" s="387"/>
      <c r="M23" s="246" t="s">
        <v>418</v>
      </c>
      <c r="N23" s="285">
        <v>1446077</v>
      </c>
      <c r="O23" s="285">
        <v>368</v>
      </c>
      <c r="P23" s="285">
        <f t="shared" si="4"/>
        <v>1446445</v>
      </c>
      <c r="Q23" s="285">
        <v>0</v>
      </c>
      <c r="R23" s="387">
        <f t="shared" si="5"/>
        <v>0</v>
      </c>
      <c r="S23" s="279">
        <v>1022429</v>
      </c>
      <c r="T23" s="292">
        <f t="shared" si="6"/>
        <v>2468874</v>
      </c>
      <c r="U23" s="292">
        <v>0</v>
      </c>
      <c r="V23" s="516">
        <f t="shared" si="7"/>
        <v>0</v>
      </c>
      <c r="W23" s="292">
        <v>78870</v>
      </c>
    </row>
    <row r="24" spans="1:23" ht="15">
      <c r="A24" s="242" t="s">
        <v>444</v>
      </c>
      <c r="B24" s="285">
        <v>462607</v>
      </c>
      <c r="C24" s="285">
        <v>264409</v>
      </c>
      <c r="D24" s="285">
        <f t="shared" si="0"/>
        <v>727016</v>
      </c>
      <c r="E24" s="285">
        <v>196697</v>
      </c>
      <c r="F24" s="387">
        <f t="shared" si="1"/>
        <v>27.055388051982348</v>
      </c>
      <c r="G24" s="471">
        <v>1960162</v>
      </c>
      <c r="H24" s="292">
        <f t="shared" si="2"/>
        <v>2687178</v>
      </c>
      <c r="I24" s="292">
        <v>492303</v>
      </c>
      <c r="J24" s="285">
        <f t="shared" si="3"/>
        <v>18.320446207880533</v>
      </c>
      <c r="K24" s="292">
        <v>41255</v>
      </c>
      <c r="L24" s="387"/>
      <c r="M24" s="246" t="s">
        <v>559</v>
      </c>
      <c r="N24" s="285">
        <v>10000</v>
      </c>
      <c r="O24" s="285">
        <v>0</v>
      </c>
      <c r="P24" s="285">
        <f t="shared" si="4"/>
        <v>10000</v>
      </c>
      <c r="Q24" s="285">
        <v>3919</v>
      </c>
      <c r="R24" s="387">
        <f t="shared" si="5"/>
        <v>39.190000000000005</v>
      </c>
      <c r="S24" s="279">
        <v>0</v>
      </c>
      <c r="T24" s="292">
        <f t="shared" si="6"/>
        <v>10000</v>
      </c>
      <c r="U24" s="292">
        <v>17185</v>
      </c>
      <c r="V24" s="516">
        <f t="shared" si="7"/>
        <v>171.85</v>
      </c>
      <c r="W24" s="292">
        <v>0</v>
      </c>
    </row>
    <row r="25" spans="1:23" ht="15">
      <c r="A25" s="242"/>
      <c r="B25" s="285"/>
      <c r="C25" s="285"/>
      <c r="D25" s="285"/>
      <c r="E25" s="285"/>
      <c r="F25" s="387"/>
      <c r="G25" s="471"/>
      <c r="H25" s="285"/>
      <c r="I25" s="298"/>
      <c r="J25" s="285"/>
      <c r="K25" s="298"/>
      <c r="L25" s="298"/>
      <c r="M25" s="242"/>
      <c r="N25" s="285"/>
      <c r="O25" s="285"/>
      <c r="P25" s="285">
        <v>0</v>
      </c>
      <c r="Q25" s="285"/>
      <c r="R25" s="387"/>
      <c r="S25" s="279">
        <v>45000</v>
      </c>
      <c r="T25" s="292">
        <f t="shared" si="6"/>
        <v>45000</v>
      </c>
      <c r="U25" s="292">
        <v>0</v>
      </c>
      <c r="V25" s="516">
        <f t="shared" si="7"/>
        <v>0</v>
      </c>
      <c r="W25" s="292">
        <v>104</v>
      </c>
    </row>
    <row r="26" spans="1:23" ht="15">
      <c r="A26" s="247"/>
      <c r="B26" s="288"/>
      <c r="C26" s="288"/>
      <c r="D26" s="288"/>
      <c r="E26" s="288"/>
      <c r="F26" s="288"/>
      <c r="G26" s="473"/>
      <c r="H26" s="285"/>
      <c r="I26" s="298"/>
      <c r="J26" s="285"/>
      <c r="K26" s="298"/>
      <c r="L26" s="299"/>
      <c r="M26" s="247"/>
      <c r="N26" s="288"/>
      <c r="O26" s="288"/>
      <c r="P26" s="288"/>
      <c r="Q26" s="288"/>
      <c r="R26" s="288"/>
      <c r="T26" s="285"/>
      <c r="V26" s="516"/>
      <c r="W26" s="292"/>
    </row>
    <row r="27" spans="1:23" s="403" customFormat="1" ht="15.75">
      <c r="A27" s="405" t="s">
        <v>330</v>
      </c>
      <c r="B27" s="293">
        <f>SUM(B19:B26)</f>
        <v>619627</v>
      </c>
      <c r="C27" s="290">
        <f>SUM(C19:C26)</f>
        <v>264409</v>
      </c>
      <c r="D27" s="290">
        <f>B27+C27</f>
        <v>884036</v>
      </c>
      <c r="E27" s="293">
        <f>SUM(E19:E26)</f>
        <v>215831</v>
      </c>
      <c r="F27" s="290">
        <f t="shared" si="1"/>
        <v>24.414277246627965</v>
      </c>
      <c r="G27" s="474">
        <f>SUM(G19:G26)</f>
        <v>1929193</v>
      </c>
      <c r="H27" s="290">
        <f t="shared" si="2"/>
        <v>2813229</v>
      </c>
      <c r="I27" s="425">
        <f>SUM(I19:I26)</f>
        <v>507577</v>
      </c>
      <c r="J27" s="551">
        <f t="shared" si="3"/>
        <v>18.042505604769467</v>
      </c>
      <c r="K27" s="301">
        <f>SUM(K19:K26)</f>
        <v>43436</v>
      </c>
      <c r="L27" s="300"/>
      <c r="M27" s="405" t="s">
        <v>331</v>
      </c>
      <c r="N27" s="293">
        <f>SUM(N20:N26)</f>
        <v>1981098</v>
      </c>
      <c r="O27" s="290">
        <f>SUM(O20:O26)</f>
        <v>390442</v>
      </c>
      <c r="P27" s="290">
        <f t="shared" si="4"/>
        <v>2371540</v>
      </c>
      <c r="Q27" s="290">
        <f>SUM(Q20:Q26)</f>
        <v>245087</v>
      </c>
      <c r="R27" s="290">
        <f t="shared" si="5"/>
        <v>10.334508378521972</v>
      </c>
      <c r="S27" s="425">
        <f>SUM(S20:S26)</f>
        <v>3516452</v>
      </c>
      <c r="T27" s="290">
        <f t="shared" si="6"/>
        <v>5887992</v>
      </c>
      <c r="U27" s="511">
        <f>SUM(U20:U26)</f>
        <v>633443</v>
      </c>
      <c r="V27" s="518">
        <f t="shared" si="7"/>
        <v>10.758217742143671</v>
      </c>
      <c r="W27" s="511">
        <f>SUM(W20:W26)</f>
        <v>194340</v>
      </c>
    </row>
    <row r="28" spans="1:23" s="403" customFormat="1" ht="15.75">
      <c r="A28" s="406" t="s">
        <v>332</v>
      </c>
      <c r="B28" s="290">
        <f>SUM(B16+B27)</f>
        <v>2211000</v>
      </c>
      <c r="C28" s="293">
        <f>C16+C27</f>
        <v>288012</v>
      </c>
      <c r="D28" s="290">
        <f t="shared" si="0"/>
        <v>2499012</v>
      </c>
      <c r="E28" s="290">
        <f>E16+E27</f>
        <v>751267</v>
      </c>
      <c r="F28" s="290">
        <f t="shared" si="1"/>
        <v>30.06256072399812</v>
      </c>
      <c r="G28" s="475">
        <f>G16+G27</f>
        <v>2462524</v>
      </c>
      <c r="H28" s="290">
        <f t="shared" si="2"/>
        <v>4961536</v>
      </c>
      <c r="I28" s="301">
        <f>I16+I27</f>
        <v>1660295</v>
      </c>
      <c r="J28" s="510">
        <f t="shared" si="3"/>
        <v>33.463326679479906</v>
      </c>
      <c r="K28" s="425">
        <f>K16+K27</f>
        <v>398668</v>
      </c>
      <c r="L28" s="301"/>
      <c r="M28" s="406" t="s">
        <v>333</v>
      </c>
      <c r="N28" s="290">
        <f>SUM(N16+N27)</f>
        <v>3626293</v>
      </c>
      <c r="O28" s="290">
        <f>O16+O27</f>
        <v>414513</v>
      </c>
      <c r="P28" s="290">
        <f t="shared" si="4"/>
        <v>4040806</v>
      </c>
      <c r="Q28" s="290">
        <f>Q16+Q27</f>
        <v>653309</v>
      </c>
      <c r="R28" s="290">
        <f t="shared" si="5"/>
        <v>16.16778929748174</v>
      </c>
      <c r="S28" s="425">
        <f>S16+S27</f>
        <v>4231201</v>
      </c>
      <c r="T28" s="290">
        <f t="shared" si="6"/>
        <v>8272007</v>
      </c>
      <c r="U28" s="511">
        <f>U16+U27</f>
        <v>1458625</v>
      </c>
      <c r="V28" s="518">
        <f t="shared" si="7"/>
        <v>17.633266026007956</v>
      </c>
      <c r="W28" s="511">
        <f>W16+W27</f>
        <v>496669</v>
      </c>
    </row>
    <row r="29" spans="1:23" ht="15.75">
      <c r="A29" s="289"/>
      <c r="B29" s="295"/>
      <c r="C29" s="295"/>
      <c r="D29" s="285"/>
      <c r="E29" s="285"/>
      <c r="F29" s="387"/>
      <c r="G29" s="471"/>
      <c r="H29" s="285"/>
      <c r="I29" s="298"/>
      <c r="J29" s="422"/>
      <c r="K29" s="298"/>
      <c r="L29" s="298"/>
      <c r="M29" s="294"/>
      <c r="N29" s="295"/>
      <c r="O29" s="285"/>
      <c r="P29" s="285"/>
      <c r="Q29" s="285"/>
      <c r="R29" s="387"/>
      <c r="T29" s="285"/>
      <c r="V29" s="515"/>
      <c r="W29" s="292"/>
    </row>
    <row r="30" spans="1:23" ht="15.75">
      <c r="A30" s="291" t="s">
        <v>334</v>
      </c>
      <c r="B30" s="296"/>
      <c r="C30" s="296"/>
      <c r="D30" s="285"/>
      <c r="E30" s="285"/>
      <c r="F30" s="387"/>
      <c r="G30" s="471"/>
      <c r="H30" s="285"/>
      <c r="I30" s="298"/>
      <c r="J30" s="285"/>
      <c r="K30" s="298"/>
      <c r="L30" s="298"/>
      <c r="M30" s="305" t="s">
        <v>335</v>
      </c>
      <c r="N30" s="296"/>
      <c r="O30" s="285"/>
      <c r="P30" s="285"/>
      <c r="Q30" s="285"/>
      <c r="R30" s="387"/>
      <c r="T30" s="285"/>
      <c r="V30" s="516"/>
      <c r="W30" s="292"/>
    </row>
    <row r="31" spans="1:23" ht="15.75">
      <c r="A31" s="291" t="s">
        <v>77</v>
      </c>
      <c r="B31" s="296"/>
      <c r="C31" s="296"/>
      <c r="D31" s="285"/>
      <c r="E31" s="285"/>
      <c r="F31" s="387"/>
      <c r="G31" s="471"/>
      <c r="H31" s="292"/>
      <c r="I31" s="298"/>
      <c r="J31" s="285"/>
      <c r="K31" s="298"/>
      <c r="L31" s="298"/>
      <c r="M31" s="305"/>
      <c r="N31" s="296"/>
      <c r="O31" s="285"/>
      <c r="P31" s="285"/>
      <c r="Q31" s="285"/>
      <c r="R31" s="387"/>
      <c r="T31" s="285"/>
      <c r="V31" s="516"/>
      <c r="W31" s="292"/>
    </row>
    <row r="32" spans="1:23" ht="15.75">
      <c r="A32" s="247" t="s">
        <v>649</v>
      </c>
      <c r="B32" s="669">
        <v>82954</v>
      </c>
      <c r="C32" s="669"/>
      <c r="D32" s="288"/>
      <c r="E32" s="288"/>
      <c r="F32" s="670"/>
      <c r="G32" s="473"/>
      <c r="H32" s="509"/>
      <c r="I32" s="299"/>
      <c r="J32" s="288"/>
      <c r="K32" s="299"/>
      <c r="L32" s="299"/>
      <c r="M32" s="671"/>
      <c r="N32" s="669"/>
      <c r="O32" s="285"/>
      <c r="P32" s="285"/>
      <c r="Q32" s="285"/>
      <c r="R32" s="387"/>
      <c r="T32" s="285"/>
      <c r="V32" s="516"/>
      <c r="W32" s="292"/>
    </row>
    <row r="33" spans="1:23" ht="15.75">
      <c r="A33" s="406" t="s">
        <v>525</v>
      </c>
      <c r="B33" s="672">
        <f>SUM(B32)</f>
        <v>82954</v>
      </c>
      <c r="C33" s="672"/>
      <c r="D33" s="592"/>
      <c r="E33" s="592"/>
      <c r="F33" s="673"/>
      <c r="G33" s="674"/>
      <c r="H33" s="646"/>
      <c r="I33" s="675"/>
      <c r="J33" s="592"/>
      <c r="K33" s="675"/>
      <c r="L33" s="675"/>
      <c r="M33" s="406" t="s">
        <v>527</v>
      </c>
      <c r="N33" s="672">
        <f>SUM(N32)</f>
        <v>0</v>
      </c>
      <c r="O33" s="285"/>
      <c r="P33" s="285"/>
      <c r="Q33" s="285"/>
      <c r="R33" s="387"/>
      <c r="T33" s="285"/>
      <c r="V33" s="516"/>
      <c r="W33" s="292"/>
    </row>
    <row r="34" spans="1:23" ht="15.75">
      <c r="A34" s="242"/>
      <c r="B34" s="296"/>
      <c r="C34" s="296"/>
      <c r="D34" s="285"/>
      <c r="E34" s="285"/>
      <c r="F34" s="387"/>
      <c r="G34" s="471"/>
      <c r="H34" s="292"/>
      <c r="I34" s="298"/>
      <c r="J34" s="285"/>
      <c r="K34" s="298"/>
      <c r="L34" s="298"/>
      <c r="M34" s="305"/>
      <c r="N34" s="296"/>
      <c r="O34" s="285"/>
      <c r="P34" s="285"/>
      <c r="Q34" s="285"/>
      <c r="R34" s="387"/>
      <c r="T34" s="285"/>
      <c r="V34" s="516"/>
      <c r="W34" s="292"/>
    </row>
    <row r="35" spans="1:23" ht="15.75">
      <c r="A35" s="291" t="s">
        <v>328</v>
      </c>
      <c r="B35" s="296"/>
      <c r="C35" s="296"/>
      <c r="D35" s="285"/>
      <c r="E35" s="285"/>
      <c r="F35" s="387"/>
      <c r="G35" s="471"/>
      <c r="H35" s="292"/>
      <c r="I35" s="298"/>
      <c r="J35" s="285"/>
      <c r="K35" s="298"/>
      <c r="L35" s="298"/>
      <c r="M35" s="305"/>
      <c r="N35" s="296"/>
      <c r="O35" s="285"/>
      <c r="P35" s="285"/>
      <c r="Q35" s="285"/>
      <c r="R35" s="387"/>
      <c r="T35" s="285"/>
      <c r="V35" s="516"/>
      <c r="W35" s="292"/>
    </row>
    <row r="36" spans="1:23" ht="15">
      <c r="A36" s="242" t="s">
        <v>649</v>
      </c>
      <c r="B36" s="285">
        <v>1254214</v>
      </c>
      <c r="C36" s="285">
        <v>28116</v>
      </c>
      <c r="D36" s="285">
        <f t="shared" si="0"/>
        <v>1282330</v>
      </c>
      <c r="E36" s="285">
        <v>0</v>
      </c>
      <c r="F36" s="387">
        <f t="shared" si="1"/>
        <v>0</v>
      </c>
      <c r="G36" s="471">
        <v>1733008</v>
      </c>
      <c r="H36" s="292">
        <f t="shared" si="2"/>
        <v>3015338</v>
      </c>
      <c r="I36" s="292">
        <v>437589</v>
      </c>
      <c r="J36" s="285">
        <f t="shared" si="3"/>
        <v>14.512104447328955</v>
      </c>
      <c r="K36" s="285"/>
      <c r="L36" s="387"/>
      <c r="M36" s="242" t="s">
        <v>336</v>
      </c>
      <c r="N36" s="285">
        <v>55910</v>
      </c>
      <c r="O36" s="285">
        <v>0</v>
      </c>
      <c r="P36" s="285">
        <f t="shared" si="4"/>
        <v>55910</v>
      </c>
      <c r="Q36" s="285">
        <v>89325</v>
      </c>
      <c r="R36" s="387">
        <f t="shared" si="5"/>
        <v>159.76569486675015</v>
      </c>
      <c r="S36" s="279">
        <v>3631</v>
      </c>
      <c r="T36" s="285">
        <f t="shared" si="6"/>
        <v>59541</v>
      </c>
      <c r="U36" s="279">
        <v>197447</v>
      </c>
      <c r="V36" s="516">
        <f t="shared" si="7"/>
        <v>331.6151895332628</v>
      </c>
      <c r="W36" s="292">
        <v>0</v>
      </c>
    </row>
    <row r="37" spans="1:23" ht="15">
      <c r="A37" s="247" t="s">
        <v>443</v>
      </c>
      <c r="B37" s="288">
        <v>134035</v>
      </c>
      <c r="C37" s="288">
        <v>16055</v>
      </c>
      <c r="D37" s="288">
        <f t="shared" si="0"/>
        <v>150090</v>
      </c>
      <c r="E37" s="288">
        <v>0</v>
      </c>
      <c r="F37" s="288">
        <f t="shared" si="1"/>
        <v>0</v>
      </c>
      <c r="G37" s="473">
        <v>39668</v>
      </c>
      <c r="H37" s="288">
        <f t="shared" si="2"/>
        <v>189758</v>
      </c>
      <c r="I37" s="509">
        <v>0</v>
      </c>
      <c r="J37" s="288">
        <f t="shared" si="3"/>
        <v>0</v>
      </c>
      <c r="K37" s="299">
        <v>98001</v>
      </c>
      <c r="L37" s="299"/>
      <c r="M37" s="247"/>
      <c r="N37" s="288"/>
      <c r="O37" s="288"/>
      <c r="P37" s="288"/>
      <c r="Q37" s="288"/>
      <c r="R37" s="288"/>
      <c r="T37" s="285"/>
      <c r="V37" s="516"/>
      <c r="W37" s="292"/>
    </row>
    <row r="38" spans="1:23" ht="15.75">
      <c r="A38" s="668" t="s">
        <v>526</v>
      </c>
      <c r="B38" s="288">
        <f>SUM(B36:B37)</f>
        <v>1388249</v>
      </c>
      <c r="C38" s="285"/>
      <c r="D38" s="285"/>
      <c r="E38" s="285"/>
      <c r="F38" s="288"/>
      <c r="G38" s="471"/>
      <c r="H38" s="285"/>
      <c r="I38" s="299"/>
      <c r="J38" s="292"/>
      <c r="K38" s="298"/>
      <c r="L38" s="298"/>
      <c r="M38" s="668" t="s">
        <v>528</v>
      </c>
      <c r="N38" s="285">
        <f>SUM(N36:N37)</f>
        <v>55910</v>
      </c>
      <c r="O38" s="288"/>
      <c r="P38" s="288"/>
      <c r="Q38" s="288"/>
      <c r="R38" s="288"/>
      <c r="T38" s="285"/>
      <c r="V38" s="516"/>
      <c r="W38" s="292"/>
    </row>
    <row r="39" spans="1:23" s="403" customFormat="1" ht="15.75">
      <c r="A39" s="248" t="s">
        <v>337</v>
      </c>
      <c r="B39" s="290">
        <f>SUM(B33+B38)</f>
        <v>1471203</v>
      </c>
      <c r="C39" s="290">
        <f>SUM(C36:C37)</f>
        <v>44171</v>
      </c>
      <c r="D39" s="290">
        <f t="shared" si="0"/>
        <v>1515374</v>
      </c>
      <c r="E39" s="290">
        <f>SUM(E36:E37)</f>
        <v>0</v>
      </c>
      <c r="F39" s="290">
        <f t="shared" si="1"/>
        <v>0</v>
      </c>
      <c r="G39" s="475">
        <f>SUM(G36:G37)</f>
        <v>1772676</v>
      </c>
      <c r="H39" s="290">
        <f t="shared" si="2"/>
        <v>3288050</v>
      </c>
      <c r="I39" s="301">
        <f>SUM(I36:I37)</f>
        <v>437589</v>
      </c>
      <c r="J39" s="551">
        <f t="shared" si="3"/>
        <v>13.308465503870076</v>
      </c>
      <c r="K39" s="301">
        <f>SUM(K36:K37)</f>
        <v>98001</v>
      </c>
      <c r="L39" s="301"/>
      <c r="M39" s="290" t="s">
        <v>338</v>
      </c>
      <c r="N39" s="290">
        <f>SUM(N33+N38)</f>
        <v>55910</v>
      </c>
      <c r="O39" s="290">
        <v>0</v>
      </c>
      <c r="P39" s="290">
        <f t="shared" si="4"/>
        <v>55910</v>
      </c>
      <c r="Q39" s="290">
        <f>SUM(Q36:Q37)</f>
        <v>89325</v>
      </c>
      <c r="R39" s="290">
        <f t="shared" si="5"/>
        <v>159.76569486675015</v>
      </c>
      <c r="S39" s="425">
        <f>SUM(S36:S37)</f>
        <v>3631</v>
      </c>
      <c r="T39" s="290">
        <f t="shared" si="6"/>
        <v>59541</v>
      </c>
      <c r="U39" s="511">
        <f>SUM(U36:U37)</f>
        <v>197447</v>
      </c>
      <c r="V39" s="519">
        <f t="shared" si="7"/>
        <v>331.6151895332628</v>
      </c>
      <c r="W39" s="511">
        <f>SUM(W36:W37)</f>
        <v>0</v>
      </c>
    </row>
    <row r="40" spans="1:23" s="140" customFormat="1" ht="15.75">
      <c r="A40" s="248" t="s">
        <v>339</v>
      </c>
      <c r="B40" s="290">
        <f>SUM(B28+B39)</f>
        <v>3682203</v>
      </c>
      <c r="C40" s="290">
        <f>C28+C39</f>
        <v>332183</v>
      </c>
      <c r="D40" s="290">
        <f t="shared" si="0"/>
        <v>4014386</v>
      </c>
      <c r="E40" s="290">
        <f>E28+E39</f>
        <v>751267</v>
      </c>
      <c r="F40" s="290">
        <f t="shared" si="1"/>
        <v>18.71436877270895</v>
      </c>
      <c r="G40" s="475">
        <f>G28+G39</f>
        <v>4235200</v>
      </c>
      <c r="H40" s="293">
        <f t="shared" si="2"/>
        <v>8249586</v>
      </c>
      <c r="I40" s="300">
        <f>I28+I39</f>
        <v>2097884</v>
      </c>
      <c r="J40" s="290">
        <f t="shared" si="3"/>
        <v>25.43017310201991</v>
      </c>
      <c r="K40" s="425">
        <f>K28+K39</f>
        <v>496669</v>
      </c>
      <c r="L40" s="301"/>
      <c r="M40" s="248" t="s">
        <v>340</v>
      </c>
      <c r="N40" s="290">
        <f>SUM(N28+N39)</f>
        <v>3682203</v>
      </c>
      <c r="O40" s="290">
        <f>O28+O39</f>
        <v>414513</v>
      </c>
      <c r="P40" s="290">
        <f t="shared" si="4"/>
        <v>4096716</v>
      </c>
      <c r="Q40" s="293">
        <f>Q28+Q39</f>
        <v>742634</v>
      </c>
      <c r="R40" s="290">
        <f t="shared" si="5"/>
        <v>18.127544110941542</v>
      </c>
      <c r="S40" s="426">
        <f>S28+S39</f>
        <v>4234832</v>
      </c>
      <c r="T40" s="293">
        <f t="shared" si="6"/>
        <v>8331548</v>
      </c>
      <c r="U40" s="511">
        <f>U28+U39</f>
        <v>1656072</v>
      </c>
      <c r="V40" s="519">
        <f t="shared" si="7"/>
        <v>19.877122474718984</v>
      </c>
      <c r="W40" s="511">
        <f>W28+W39</f>
        <v>496669</v>
      </c>
    </row>
    <row r="41" spans="1:17" ht="15">
      <c r="A41" s="165"/>
      <c r="B41" s="165"/>
      <c r="C41" s="165"/>
      <c r="D41" s="165"/>
      <c r="E41" s="279"/>
      <c r="F41" s="279"/>
      <c r="G41" s="468"/>
      <c r="H41" s="279"/>
      <c r="I41" s="279"/>
      <c r="J41" s="279"/>
      <c r="K41" s="279"/>
      <c r="L41" s="165"/>
      <c r="M41" s="166"/>
      <c r="N41" s="165"/>
      <c r="O41" s="279"/>
      <c r="P41" s="165"/>
      <c r="Q41" s="279"/>
    </row>
    <row r="42" spans="1:17" ht="15">
      <c r="A42" s="165"/>
      <c r="B42" s="165"/>
      <c r="C42" s="165"/>
      <c r="D42" s="165"/>
      <c r="E42" s="279"/>
      <c r="F42" s="279"/>
      <c r="G42" s="468"/>
      <c r="H42" s="279"/>
      <c r="I42" s="279"/>
      <c r="J42" s="279"/>
      <c r="K42" s="279"/>
      <c r="L42" s="165"/>
      <c r="M42" s="166"/>
      <c r="N42" s="165"/>
      <c r="O42" s="279"/>
      <c r="P42" s="165"/>
      <c r="Q42" s="279"/>
    </row>
    <row r="43" spans="5:23" s="128" customFormat="1" ht="15.75">
      <c r="E43" s="371"/>
      <c r="F43" s="371"/>
      <c r="G43" s="476"/>
      <c r="H43" s="371"/>
      <c r="I43" s="371"/>
      <c r="J43" s="371"/>
      <c r="K43" s="371"/>
      <c r="M43" s="131"/>
      <c r="O43" s="371"/>
      <c r="Q43" s="371"/>
      <c r="R43" s="401"/>
      <c r="S43" s="401"/>
      <c r="T43" s="401"/>
      <c r="U43" s="401"/>
      <c r="V43" s="517"/>
      <c r="W43" s="401"/>
    </row>
    <row r="47" spans="5:23" s="128" customFormat="1" ht="15.75">
      <c r="E47" s="371"/>
      <c r="F47" s="371"/>
      <c r="G47" s="476"/>
      <c r="H47" s="371"/>
      <c r="I47" s="371"/>
      <c r="J47" s="371"/>
      <c r="K47" s="371"/>
      <c r="M47" s="131"/>
      <c r="O47" s="371"/>
      <c r="Q47" s="371"/>
      <c r="R47" s="401"/>
      <c r="S47" s="401"/>
      <c r="T47" s="401"/>
      <c r="U47" s="401"/>
      <c r="V47" s="517"/>
      <c r="W47" s="401"/>
    </row>
    <row r="48" spans="5:23" s="128" customFormat="1" ht="15.75">
      <c r="E48" s="371"/>
      <c r="F48" s="371"/>
      <c r="G48" s="476"/>
      <c r="H48" s="371"/>
      <c r="I48" s="371"/>
      <c r="J48" s="371"/>
      <c r="K48" s="371"/>
      <c r="M48" s="131"/>
      <c r="O48" s="371"/>
      <c r="Q48" s="371"/>
      <c r="R48" s="401"/>
      <c r="S48" s="401"/>
      <c r="T48" s="401"/>
      <c r="U48" s="401"/>
      <c r="V48" s="517"/>
      <c r="W48" s="401"/>
    </row>
    <row r="52" spans="5:23" s="128" customFormat="1" ht="15.75">
      <c r="E52" s="371"/>
      <c r="F52" s="371"/>
      <c r="G52" s="476"/>
      <c r="H52" s="371"/>
      <c r="I52" s="371"/>
      <c r="J52" s="371"/>
      <c r="K52" s="371"/>
      <c r="M52" s="131"/>
      <c r="O52" s="371"/>
      <c r="Q52" s="371"/>
      <c r="R52" s="401"/>
      <c r="S52" s="401"/>
      <c r="T52" s="401"/>
      <c r="U52" s="401"/>
      <c r="V52" s="517"/>
      <c r="W52" s="401"/>
    </row>
  </sheetData>
  <sheetProtection/>
  <mergeCells count="3">
    <mergeCell ref="A1:W1"/>
    <mergeCell ref="A3:W3"/>
    <mergeCell ref="M5:W5"/>
  </mergeCells>
  <printOptions horizontalCentered="1" verticalCentered="1"/>
  <pageMargins left="0.64" right="0.56" top="0.51" bottom="0.49" header="0.5118110236220472" footer="0.69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75" zoomScalePageLayoutView="0" workbookViewId="0" topLeftCell="A1">
      <selection activeCell="C2" sqref="C2"/>
    </sheetView>
  </sheetViews>
  <sheetFormatPr defaultColWidth="9.00390625" defaultRowHeight="12.75"/>
  <cols>
    <col min="1" max="1" width="4.75390625" style="307" customWidth="1"/>
    <col min="2" max="2" width="5.625" style="308" customWidth="1"/>
    <col min="3" max="3" width="18.375" style="309" customWidth="1"/>
    <col min="4" max="4" width="9.125" style="309" customWidth="1"/>
    <col min="5" max="5" width="30.25390625" style="309" customWidth="1"/>
    <col min="6" max="6" width="15.375" style="309" customWidth="1"/>
    <col min="7" max="7" width="9.125" style="322" hidden="1" customWidth="1"/>
    <col min="8" max="8" width="11.25390625" style="309" hidden="1" customWidth="1"/>
    <col min="9" max="9" width="10.125" style="279" hidden="1" customWidth="1"/>
    <col min="10" max="10" width="9.125" style="135" hidden="1" customWidth="1"/>
    <col min="11" max="11" width="11.875" style="322" hidden="1" customWidth="1"/>
    <col min="12" max="12" width="12.00390625" style="322" hidden="1" customWidth="1"/>
    <col min="13" max="13" width="10.75390625" style="279" hidden="1" customWidth="1"/>
    <col min="14" max="14" width="9.125" style="525" hidden="1" customWidth="1"/>
    <col min="15" max="15" width="10.375" style="279" hidden="1" customWidth="1"/>
    <col min="16" max="16384" width="9.125" style="134" customWidth="1"/>
  </cols>
  <sheetData>
    <row r="1" spans="2:15" ht="15" customHeight="1">
      <c r="B1" s="308" t="s">
        <v>112</v>
      </c>
      <c r="C1" s="854" t="s">
        <v>702</v>
      </c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</row>
    <row r="2" ht="10.5" customHeight="1"/>
    <row r="3" spans="1:15" s="249" customFormat="1" ht="29.25" customHeight="1">
      <c r="A3" s="858" t="s">
        <v>529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</row>
    <row r="6" spans="3:15" ht="15">
      <c r="C6" s="310"/>
      <c r="E6" s="855" t="s">
        <v>60</v>
      </c>
      <c r="F6" s="855"/>
      <c r="G6" s="855"/>
      <c r="H6" s="855"/>
      <c r="I6" s="855"/>
      <c r="J6" s="855"/>
      <c r="K6" s="855"/>
      <c r="L6" s="855"/>
      <c r="M6" s="855"/>
      <c r="N6" s="855"/>
      <c r="O6" s="855"/>
    </row>
    <row r="7" spans="1:15" ht="15">
      <c r="A7" s="857" t="s">
        <v>314</v>
      </c>
      <c r="B7" s="857"/>
      <c r="C7" s="857"/>
      <c r="D7" s="857"/>
      <c r="E7" s="857"/>
      <c r="F7" s="588" t="s">
        <v>315</v>
      </c>
      <c r="G7" s="427" t="s">
        <v>316</v>
      </c>
      <c r="H7" s="341" t="s">
        <v>316</v>
      </c>
      <c r="I7" s="302" t="s">
        <v>317</v>
      </c>
      <c r="J7" s="203" t="s">
        <v>447</v>
      </c>
      <c r="K7" s="427" t="s">
        <v>317</v>
      </c>
      <c r="L7" s="427" t="s">
        <v>316</v>
      </c>
      <c r="M7" s="302" t="s">
        <v>317</v>
      </c>
      <c r="N7" s="520" t="s">
        <v>447</v>
      </c>
      <c r="O7" s="302" t="s">
        <v>317</v>
      </c>
    </row>
    <row r="8" spans="1:14" ht="15.75">
      <c r="A8" s="311"/>
      <c r="B8" s="312" t="s">
        <v>341</v>
      </c>
      <c r="C8" s="311"/>
      <c r="D8" s="311"/>
      <c r="E8" s="311"/>
      <c r="F8" s="313"/>
      <c r="I8" s="298"/>
      <c r="J8" s="150"/>
      <c r="K8" s="336"/>
      <c r="L8" s="336"/>
      <c r="M8" s="298"/>
      <c r="N8" s="521"/>
    </row>
    <row r="9" spans="1:15" s="140" customFormat="1" ht="30" customHeight="1">
      <c r="A9" s="314" t="s">
        <v>342</v>
      </c>
      <c r="B9" s="315" t="s">
        <v>343</v>
      </c>
      <c r="C9" s="316"/>
      <c r="D9" s="317"/>
      <c r="E9" s="317"/>
      <c r="F9" s="318" t="s">
        <v>437</v>
      </c>
      <c r="G9" s="373" t="s">
        <v>358</v>
      </c>
      <c r="H9" s="360" t="s">
        <v>212</v>
      </c>
      <c r="I9" s="411" t="s">
        <v>448</v>
      </c>
      <c r="J9" s="273" t="s">
        <v>449</v>
      </c>
      <c r="K9" s="428" t="s">
        <v>73</v>
      </c>
      <c r="L9" s="428" t="s">
        <v>454</v>
      </c>
      <c r="M9" s="411" t="s">
        <v>459</v>
      </c>
      <c r="N9" s="522" t="s">
        <v>449</v>
      </c>
      <c r="O9" s="557" t="s">
        <v>358</v>
      </c>
    </row>
    <row r="10" spans="1:15" s="140" customFormat="1" ht="30" customHeight="1" hidden="1">
      <c r="A10" s="314"/>
      <c r="B10" s="315"/>
      <c r="C10" s="316"/>
      <c r="D10" s="317"/>
      <c r="E10" s="317"/>
      <c r="F10" s="319" t="s">
        <v>429</v>
      </c>
      <c r="G10" s="343"/>
      <c r="H10" s="317"/>
      <c r="I10" s="115" t="s">
        <v>317</v>
      </c>
      <c r="J10" s="115" t="s">
        <v>447</v>
      </c>
      <c r="K10" s="343"/>
      <c r="L10" s="343"/>
      <c r="M10" s="401"/>
      <c r="N10" s="523"/>
      <c r="O10" s="401"/>
    </row>
    <row r="11" spans="2:15" ht="12.75" customHeight="1">
      <c r="B11" s="320" t="s">
        <v>203</v>
      </c>
      <c r="C11" s="321" t="s">
        <v>146</v>
      </c>
      <c r="F11" s="322">
        <f>SUM('címrendes bevétel'!M112)</f>
        <v>138290</v>
      </c>
      <c r="G11" s="322">
        <v>0</v>
      </c>
      <c r="H11" s="322">
        <f>F11+G11</f>
        <v>138290</v>
      </c>
      <c r="I11" s="279">
        <v>70443</v>
      </c>
      <c r="J11" s="390">
        <f>SUM(I11/H11)*100</f>
        <v>50.938607274567936</v>
      </c>
      <c r="K11" s="322">
        <v>73895</v>
      </c>
      <c r="L11" s="322">
        <f>H11+K11</f>
        <v>212185</v>
      </c>
      <c r="M11" s="298">
        <v>217590</v>
      </c>
      <c r="N11" s="521">
        <f>SUM(M11/L11)*100</f>
        <v>102.54730541744233</v>
      </c>
      <c r="O11" s="279">
        <v>174567</v>
      </c>
    </row>
    <row r="12" spans="2:15" ht="15">
      <c r="B12" s="320" t="s">
        <v>200</v>
      </c>
      <c r="C12" s="321" t="s">
        <v>344</v>
      </c>
      <c r="F12" s="322">
        <f>SUM('címrendes bevétel'!M113)</f>
        <v>739000</v>
      </c>
      <c r="G12" s="354">
        <v>0</v>
      </c>
      <c r="H12" s="354">
        <f>F12+G12</f>
        <v>739000</v>
      </c>
      <c r="I12" s="299">
        <v>255790</v>
      </c>
      <c r="J12" s="404">
        <f aca="true" t="shared" si="0" ref="J12:J63">SUM(I12/H12)*100</f>
        <v>34.61299052774019</v>
      </c>
      <c r="K12" s="322">
        <v>0</v>
      </c>
      <c r="L12" s="322">
        <f aca="true" t="shared" si="1" ref="L12:L63">H12+K12</f>
        <v>739000</v>
      </c>
      <c r="M12" s="299">
        <v>390099</v>
      </c>
      <c r="N12" s="521">
        <f aca="true" t="shared" si="2" ref="N12:N63">SUM(M12/L12)*100</f>
        <v>52.78741542625169</v>
      </c>
      <c r="O12" s="279">
        <v>190</v>
      </c>
    </row>
    <row r="13" spans="1:15" s="140" customFormat="1" ht="15.75">
      <c r="A13" s="323" t="s">
        <v>76</v>
      </c>
      <c r="B13" s="324" t="s">
        <v>411</v>
      </c>
      <c r="C13" s="325"/>
      <c r="D13" s="326"/>
      <c r="E13" s="326"/>
      <c r="F13" s="327">
        <f>SUM(F11:F12)</f>
        <v>877290</v>
      </c>
      <c r="G13" s="327">
        <v>0</v>
      </c>
      <c r="H13" s="327">
        <f>F13+G13</f>
        <v>877290</v>
      </c>
      <c r="I13" s="412">
        <f>SUM(I11:I12)</f>
        <v>326233</v>
      </c>
      <c r="J13" s="301">
        <f t="shared" si="0"/>
        <v>37.186449178720835</v>
      </c>
      <c r="K13" s="327">
        <f>SUM(K11:K12)</f>
        <v>73895</v>
      </c>
      <c r="L13" s="327">
        <f t="shared" si="1"/>
        <v>951185</v>
      </c>
      <c r="M13" s="401">
        <f>SUM(M11:M12)</f>
        <v>607689</v>
      </c>
      <c r="N13" s="524">
        <f t="shared" si="2"/>
        <v>63.88757181831084</v>
      </c>
      <c r="O13" s="412">
        <f>SUM(O11:O12)</f>
        <v>174757</v>
      </c>
    </row>
    <row r="14" spans="1:15" s="140" customFormat="1" ht="15.75">
      <c r="A14" s="323" t="s">
        <v>106</v>
      </c>
      <c r="B14" s="324" t="s">
        <v>107</v>
      </c>
      <c r="C14" s="325"/>
      <c r="D14" s="326"/>
      <c r="E14" s="326"/>
      <c r="F14" s="327">
        <f>SUM('címrendes bevétel'!M115)</f>
        <v>707633</v>
      </c>
      <c r="G14" s="327">
        <v>105527</v>
      </c>
      <c r="H14" s="327">
        <f>F14+G14</f>
        <v>813160</v>
      </c>
      <c r="I14" s="412">
        <v>160935</v>
      </c>
      <c r="J14" s="301">
        <f t="shared" si="0"/>
        <v>19.791307983668652</v>
      </c>
      <c r="K14" s="343">
        <v>47930</v>
      </c>
      <c r="L14" s="343">
        <f t="shared" si="1"/>
        <v>861090</v>
      </c>
      <c r="M14" s="412">
        <v>373112</v>
      </c>
      <c r="N14" s="524">
        <f t="shared" si="2"/>
        <v>43.33019777259056</v>
      </c>
      <c r="O14" s="412">
        <v>147976</v>
      </c>
    </row>
    <row r="15" spans="1:15" s="140" customFormat="1" ht="15.75">
      <c r="A15" s="328" t="s">
        <v>345</v>
      </c>
      <c r="B15" s="329" t="s">
        <v>123</v>
      </c>
      <c r="C15" s="330"/>
      <c r="D15" s="331"/>
      <c r="E15" s="331"/>
      <c r="F15" s="327">
        <f>SUM('címrendes bevétel'!M116)</f>
        <v>86561</v>
      </c>
      <c r="G15" s="327">
        <v>0</v>
      </c>
      <c r="H15" s="327">
        <f>F15+G15</f>
        <v>86561</v>
      </c>
      <c r="I15" s="412">
        <v>10225</v>
      </c>
      <c r="J15" s="301">
        <f t="shared" si="0"/>
        <v>11.812479061009</v>
      </c>
      <c r="K15" s="327">
        <v>-30969</v>
      </c>
      <c r="L15" s="327">
        <f t="shared" si="1"/>
        <v>55592</v>
      </c>
      <c r="M15" s="412">
        <v>1800</v>
      </c>
      <c r="N15" s="524">
        <f t="shared" si="2"/>
        <v>3.2378759533745862</v>
      </c>
      <c r="O15" s="412">
        <v>235</v>
      </c>
    </row>
    <row r="16" spans="1:15" s="140" customFormat="1" ht="15.75">
      <c r="A16" s="314" t="s">
        <v>129</v>
      </c>
      <c r="B16" s="332" t="s">
        <v>155</v>
      </c>
      <c r="C16" s="333"/>
      <c r="D16" s="317"/>
      <c r="E16" s="317"/>
      <c r="F16" s="334"/>
      <c r="G16" s="343"/>
      <c r="H16" s="322"/>
      <c r="I16" s="401"/>
      <c r="J16" s="390"/>
      <c r="K16" s="343"/>
      <c r="L16" s="322"/>
      <c r="M16" s="401"/>
      <c r="N16" s="521"/>
      <c r="O16" s="401"/>
    </row>
    <row r="17" spans="2:15" ht="15">
      <c r="B17" s="320" t="s">
        <v>74</v>
      </c>
      <c r="C17" s="335" t="s">
        <v>131</v>
      </c>
      <c r="F17" s="336">
        <f>SUM('címrendes bevétel'!M118)</f>
        <v>73309</v>
      </c>
      <c r="G17" s="322">
        <v>406</v>
      </c>
      <c r="H17" s="322">
        <f>F17+G17</f>
        <v>73715</v>
      </c>
      <c r="I17" s="279">
        <v>128261</v>
      </c>
      <c r="J17" s="390">
        <f t="shared" si="0"/>
        <v>173.99579461439328</v>
      </c>
      <c r="K17" s="322">
        <v>402589</v>
      </c>
      <c r="L17" s="322">
        <f t="shared" si="1"/>
        <v>476304</v>
      </c>
      <c r="M17" s="298">
        <v>252562</v>
      </c>
      <c r="N17" s="521">
        <f t="shared" si="2"/>
        <v>53.025378749706064</v>
      </c>
      <c r="O17" s="279">
        <v>32499</v>
      </c>
    </row>
    <row r="18" spans="2:15" ht="15">
      <c r="B18" s="337" t="s">
        <v>79</v>
      </c>
      <c r="C18" s="338" t="s">
        <v>132</v>
      </c>
      <c r="F18" s="336">
        <f>SUM('címrendes bevétel'!M119)</f>
        <v>462607</v>
      </c>
      <c r="G18" s="354">
        <v>264409</v>
      </c>
      <c r="H18" s="354">
        <f>F18+G18</f>
        <v>727016</v>
      </c>
      <c r="I18" s="299">
        <v>196697</v>
      </c>
      <c r="J18" s="404">
        <f t="shared" si="0"/>
        <v>27.055388051982348</v>
      </c>
      <c r="K18" s="322">
        <v>1960162</v>
      </c>
      <c r="L18" s="322">
        <f t="shared" si="1"/>
        <v>2687178</v>
      </c>
      <c r="M18" s="299">
        <v>492303</v>
      </c>
      <c r="N18" s="521">
        <f t="shared" si="2"/>
        <v>18.320446207880533</v>
      </c>
      <c r="O18" s="279">
        <v>41255</v>
      </c>
    </row>
    <row r="19" spans="1:15" s="140" customFormat="1" ht="15.75">
      <c r="A19" s="323" t="s">
        <v>129</v>
      </c>
      <c r="B19" s="324" t="s">
        <v>412</v>
      </c>
      <c r="C19" s="325"/>
      <c r="D19" s="326"/>
      <c r="E19" s="326"/>
      <c r="F19" s="327">
        <f>SUM(F17:F18)</f>
        <v>535916</v>
      </c>
      <c r="G19" s="327">
        <f>SUM(G17:G18)</f>
        <v>264815</v>
      </c>
      <c r="H19" s="327">
        <f>F19+G19</f>
        <v>800731</v>
      </c>
      <c r="I19" s="412">
        <f>SUM(I17:I18)</f>
        <v>324958</v>
      </c>
      <c r="J19" s="301">
        <f t="shared" si="0"/>
        <v>40.582667587491926</v>
      </c>
      <c r="K19" s="327">
        <f>SUM(K17:K18)</f>
        <v>2362751</v>
      </c>
      <c r="L19" s="327">
        <f t="shared" si="1"/>
        <v>3163482</v>
      </c>
      <c r="M19" s="412">
        <f>SUM(M17:M18)</f>
        <v>744865</v>
      </c>
      <c r="N19" s="524">
        <f t="shared" si="2"/>
        <v>23.545732202680465</v>
      </c>
      <c r="O19" s="412">
        <f>SUM(O17:O18)</f>
        <v>73754</v>
      </c>
    </row>
    <row r="20" spans="1:14" ht="15.75">
      <c r="A20" s="314" t="s">
        <v>134</v>
      </c>
      <c r="B20" s="332" t="s">
        <v>135</v>
      </c>
      <c r="C20" s="333"/>
      <c r="D20" s="317"/>
      <c r="E20" s="317"/>
      <c r="F20" s="334"/>
      <c r="H20" s="322"/>
      <c r="J20" s="390"/>
      <c r="N20" s="521"/>
    </row>
    <row r="21" spans="2:15" ht="15">
      <c r="B21" s="320" t="s">
        <v>74</v>
      </c>
      <c r="C21" s="321" t="s">
        <v>157</v>
      </c>
      <c r="F21" s="336">
        <f>SUM('címrendes bevétel'!M122)</f>
        <v>0</v>
      </c>
      <c r="G21" s="322">
        <v>0</v>
      </c>
      <c r="H21" s="322">
        <f>F21+G21</f>
        <v>0</v>
      </c>
      <c r="I21" s="279">
        <v>7796</v>
      </c>
      <c r="J21" s="390">
        <v>0</v>
      </c>
      <c r="K21" s="322">
        <v>8549</v>
      </c>
      <c r="L21" s="322">
        <f t="shared" si="1"/>
        <v>8549</v>
      </c>
      <c r="M21" s="298">
        <v>7790</v>
      </c>
      <c r="N21" s="521">
        <f t="shared" si="2"/>
        <v>91.12176862790969</v>
      </c>
      <c r="O21" s="279">
        <v>0</v>
      </c>
    </row>
    <row r="22" spans="1:15" ht="15.75">
      <c r="A22" s="339"/>
      <c r="B22" s="337" t="s">
        <v>79</v>
      </c>
      <c r="C22" s="340" t="s">
        <v>137</v>
      </c>
      <c r="E22" s="241"/>
      <c r="F22" s="336">
        <f>SUM('címrendes bevétel'!M123)</f>
        <v>500</v>
      </c>
      <c r="G22" s="354">
        <v>0</v>
      </c>
      <c r="H22" s="354">
        <f>F22+G22</f>
        <v>500</v>
      </c>
      <c r="I22" s="299">
        <v>148</v>
      </c>
      <c r="J22" s="404">
        <f t="shared" si="0"/>
        <v>29.599999999999998</v>
      </c>
      <c r="K22" s="322">
        <v>0</v>
      </c>
      <c r="L22" s="322">
        <f t="shared" si="1"/>
        <v>500</v>
      </c>
      <c r="M22" s="299">
        <v>3266</v>
      </c>
      <c r="N22" s="521">
        <f t="shared" si="2"/>
        <v>653.2</v>
      </c>
      <c r="O22" s="279">
        <v>0</v>
      </c>
    </row>
    <row r="23" spans="1:15" s="140" customFormat="1" ht="15.75">
      <c r="A23" s="323" t="s">
        <v>134</v>
      </c>
      <c r="B23" s="324" t="s">
        <v>138</v>
      </c>
      <c r="C23" s="325"/>
      <c r="D23" s="326"/>
      <c r="E23" s="326"/>
      <c r="F23" s="327">
        <f>SUM(F21:F22)</f>
        <v>500</v>
      </c>
      <c r="G23" s="327">
        <v>0</v>
      </c>
      <c r="H23" s="327">
        <f>F23+G23</f>
        <v>500</v>
      </c>
      <c r="I23" s="412">
        <f>SUM(I21:I22)</f>
        <v>7944</v>
      </c>
      <c r="J23" s="301">
        <f t="shared" si="0"/>
        <v>1588.8</v>
      </c>
      <c r="K23" s="327">
        <f>SUM(K21:K22)</f>
        <v>8549</v>
      </c>
      <c r="L23" s="327">
        <f t="shared" si="1"/>
        <v>9049</v>
      </c>
      <c r="M23" s="401">
        <f>SUM(M21:M22)</f>
        <v>11056</v>
      </c>
      <c r="N23" s="524">
        <f t="shared" si="2"/>
        <v>122.17924632556083</v>
      </c>
      <c r="O23" s="412">
        <f>SUM(O21:O22)</f>
        <v>0</v>
      </c>
    </row>
    <row r="24" spans="1:15" s="140" customFormat="1" ht="15.75">
      <c r="A24" s="323" t="s">
        <v>139</v>
      </c>
      <c r="B24" s="324" t="s">
        <v>416</v>
      </c>
      <c r="C24" s="325"/>
      <c r="D24" s="326"/>
      <c r="E24" s="326"/>
      <c r="F24" s="327">
        <f>SUM('címrendes bevétel'!M128)</f>
        <v>3100</v>
      </c>
      <c r="G24" s="327">
        <v>0</v>
      </c>
      <c r="H24" s="327">
        <f>F24+G24</f>
        <v>3100</v>
      </c>
      <c r="I24" s="412">
        <v>2934</v>
      </c>
      <c r="J24" s="301">
        <f t="shared" si="0"/>
        <v>94.64516129032258</v>
      </c>
      <c r="K24" s="343">
        <v>0</v>
      </c>
      <c r="L24" s="343">
        <f t="shared" si="1"/>
        <v>3100</v>
      </c>
      <c r="M24" s="412">
        <v>3735</v>
      </c>
      <c r="N24" s="524">
        <f t="shared" si="2"/>
        <v>120.48387096774194</v>
      </c>
      <c r="O24" s="401">
        <v>1946</v>
      </c>
    </row>
    <row r="25" spans="1:15" s="140" customFormat="1" ht="15.75">
      <c r="A25" s="323" t="s">
        <v>112</v>
      </c>
      <c r="B25" s="324" t="s">
        <v>347</v>
      </c>
      <c r="C25" s="325"/>
      <c r="D25" s="326"/>
      <c r="E25" s="326"/>
      <c r="F25" s="327">
        <f>SUM(F13+F14+F15+F19+F23+F24)</f>
        <v>2211000</v>
      </c>
      <c r="G25" s="327">
        <f>G13+G14+G15+G19+G23+G24</f>
        <v>370342</v>
      </c>
      <c r="H25" s="327">
        <f>F25+G25</f>
        <v>2581342</v>
      </c>
      <c r="I25" s="413">
        <f>I13+I14+I15+I19+I23+I24</f>
        <v>833229</v>
      </c>
      <c r="J25" s="301">
        <f t="shared" si="0"/>
        <v>32.27890763796506</v>
      </c>
      <c r="K25" s="327">
        <f>K13+K14+K15+K19+K23+K24</f>
        <v>2462156</v>
      </c>
      <c r="L25" s="327">
        <f t="shared" si="1"/>
        <v>5043498</v>
      </c>
      <c r="M25" s="412">
        <f>M13+M14+M15+M19+M23+M24</f>
        <v>1742257</v>
      </c>
      <c r="N25" s="524">
        <f t="shared" si="2"/>
        <v>34.54461566159043</v>
      </c>
      <c r="O25" s="412">
        <f>O13+O14+O15+O19+O23+O24</f>
        <v>398668</v>
      </c>
    </row>
    <row r="26" spans="2:14" ht="15">
      <c r="B26" s="332"/>
      <c r="C26" s="333"/>
      <c r="F26" s="322"/>
      <c r="H26" s="322"/>
      <c r="J26" s="390"/>
      <c r="N26" s="521"/>
    </row>
    <row r="27" spans="2:14" ht="15">
      <c r="B27" s="342" t="s">
        <v>348</v>
      </c>
      <c r="C27" s="333"/>
      <c r="F27" s="322"/>
      <c r="H27" s="322"/>
      <c r="J27" s="390"/>
      <c r="N27" s="521"/>
    </row>
    <row r="28" spans="1:15" s="140" customFormat="1" ht="15.75">
      <c r="A28" s="314" t="s">
        <v>74</v>
      </c>
      <c r="B28" s="332" t="s">
        <v>174</v>
      </c>
      <c r="C28" s="333"/>
      <c r="D28" s="317"/>
      <c r="E28" s="317"/>
      <c r="F28" s="343"/>
      <c r="G28" s="343"/>
      <c r="H28" s="322"/>
      <c r="I28" s="401"/>
      <c r="J28" s="390"/>
      <c r="K28" s="343"/>
      <c r="L28" s="322"/>
      <c r="M28" s="401"/>
      <c r="N28" s="521"/>
      <c r="O28" s="401"/>
    </row>
    <row r="29" spans="2:15" ht="15">
      <c r="B29" s="321" t="s">
        <v>109</v>
      </c>
      <c r="C29" s="340" t="s">
        <v>261</v>
      </c>
      <c r="F29" s="322">
        <f>SUM('címrendes kiadás'!M40)</f>
        <v>488408</v>
      </c>
      <c r="G29" s="322">
        <v>0</v>
      </c>
      <c r="H29" s="322">
        <f aca="true" t="shared" si="3" ref="H29:H38">F29+G29</f>
        <v>488408</v>
      </c>
      <c r="I29" s="279">
        <v>131840</v>
      </c>
      <c r="J29" s="390">
        <f t="shared" si="0"/>
        <v>26.99382483497404</v>
      </c>
      <c r="K29" s="322">
        <v>293581</v>
      </c>
      <c r="L29" s="322">
        <f t="shared" si="1"/>
        <v>781989</v>
      </c>
      <c r="M29" s="298">
        <v>279267</v>
      </c>
      <c r="N29" s="521">
        <f t="shared" si="2"/>
        <v>35.712394931386505</v>
      </c>
      <c r="O29" s="279">
        <v>11620</v>
      </c>
    </row>
    <row r="30" spans="2:15" ht="15">
      <c r="B30" s="321" t="s">
        <v>113</v>
      </c>
      <c r="C30" s="344" t="s">
        <v>407</v>
      </c>
      <c r="F30" s="322">
        <f>SUM('címrendes kiadás'!M41)</f>
        <v>128128</v>
      </c>
      <c r="G30" s="322">
        <v>0</v>
      </c>
      <c r="H30" s="322">
        <f t="shared" si="3"/>
        <v>128128</v>
      </c>
      <c r="I30" s="279">
        <v>31532</v>
      </c>
      <c r="J30" s="390">
        <f t="shared" si="0"/>
        <v>24.609765234765234</v>
      </c>
      <c r="K30" s="322">
        <v>42034</v>
      </c>
      <c r="L30" s="322">
        <f t="shared" si="1"/>
        <v>170162</v>
      </c>
      <c r="M30" s="298">
        <v>60191</v>
      </c>
      <c r="N30" s="521">
        <f t="shared" si="2"/>
        <v>35.37276242639367</v>
      </c>
      <c r="O30" s="279">
        <v>2997</v>
      </c>
    </row>
    <row r="31" spans="2:15" ht="15">
      <c r="B31" s="321" t="s">
        <v>176</v>
      </c>
      <c r="C31" s="340" t="s">
        <v>177</v>
      </c>
      <c r="F31" s="322">
        <f>SUM('címrendes kiadás'!M42)</f>
        <v>419649</v>
      </c>
      <c r="G31" s="322">
        <v>0</v>
      </c>
      <c r="H31" s="322">
        <f t="shared" si="3"/>
        <v>419649</v>
      </c>
      <c r="I31" s="279">
        <v>167346</v>
      </c>
      <c r="J31" s="390">
        <f t="shared" si="0"/>
        <v>39.87761200431789</v>
      </c>
      <c r="K31" s="322">
        <v>277640</v>
      </c>
      <c r="L31" s="322">
        <f t="shared" si="1"/>
        <v>697289</v>
      </c>
      <c r="M31" s="298">
        <v>303905</v>
      </c>
      <c r="N31" s="521">
        <f t="shared" si="2"/>
        <v>43.58379380715887</v>
      </c>
      <c r="O31" s="279">
        <v>142930</v>
      </c>
    </row>
    <row r="32" spans="2:15" ht="15">
      <c r="B32" s="321" t="s">
        <v>186</v>
      </c>
      <c r="C32" s="340" t="s">
        <v>403</v>
      </c>
      <c r="F32" s="322">
        <v>0</v>
      </c>
      <c r="G32" s="322">
        <v>0</v>
      </c>
      <c r="H32" s="322">
        <f t="shared" si="3"/>
        <v>0</v>
      </c>
      <c r="I32" s="279">
        <v>0</v>
      </c>
      <c r="J32" s="390">
        <v>0</v>
      </c>
      <c r="K32" s="322">
        <v>0</v>
      </c>
      <c r="L32" s="322">
        <f t="shared" si="1"/>
        <v>0</v>
      </c>
      <c r="M32" s="298">
        <v>0</v>
      </c>
      <c r="N32" s="521">
        <v>0</v>
      </c>
      <c r="O32" s="279">
        <v>0</v>
      </c>
    </row>
    <row r="33" spans="2:15" ht="15">
      <c r="B33" s="321" t="s">
        <v>119</v>
      </c>
      <c r="C33" s="345" t="s">
        <v>178</v>
      </c>
      <c r="F33" s="322">
        <f>SUM('címrendes kiadás'!M43)</f>
        <v>269761</v>
      </c>
      <c r="G33" s="322">
        <v>0</v>
      </c>
      <c r="H33" s="322">
        <f t="shared" si="3"/>
        <v>269761</v>
      </c>
      <c r="I33" s="279">
        <v>5859</v>
      </c>
      <c r="J33" s="390">
        <f t="shared" si="0"/>
        <v>2.1719225536678763</v>
      </c>
      <c r="K33" s="322">
        <v>20657</v>
      </c>
      <c r="L33" s="322">
        <f t="shared" si="1"/>
        <v>290418</v>
      </c>
      <c r="M33" s="298">
        <v>41771</v>
      </c>
      <c r="N33" s="521">
        <f t="shared" si="2"/>
        <v>14.383061655957963</v>
      </c>
      <c r="O33" s="279">
        <v>128758</v>
      </c>
    </row>
    <row r="34" spans="2:15" ht="15">
      <c r="B34" s="321" t="s">
        <v>120</v>
      </c>
      <c r="C34" s="340" t="s">
        <v>349</v>
      </c>
      <c r="F34" s="322">
        <f>SUM('címrendes kiadás'!M44)</f>
        <v>258888</v>
      </c>
      <c r="G34" s="322">
        <v>0</v>
      </c>
      <c r="H34" s="322">
        <f t="shared" si="3"/>
        <v>258888</v>
      </c>
      <c r="I34" s="279">
        <v>32384</v>
      </c>
      <c r="J34" s="390">
        <f t="shared" si="0"/>
        <v>12.508884150675195</v>
      </c>
      <c r="K34" s="322">
        <v>24048</v>
      </c>
      <c r="L34" s="322">
        <f t="shared" si="1"/>
        <v>282936</v>
      </c>
      <c r="M34" s="298">
        <v>77977</v>
      </c>
      <c r="N34" s="521">
        <f t="shared" si="2"/>
        <v>27.559942884609946</v>
      </c>
      <c r="O34" s="279">
        <v>1094</v>
      </c>
    </row>
    <row r="35" spans="2:15" ht="15">
      <c r="B35" s="321" t="s">
        <v>180</v>
      </c>
      <c r="C35" s="340" t="s">
        <v>181</v>
      </c>
      <c r="F35" s="322">
        <f>SUM('címrendes kiadás'!M45)</f>
        <v>52903</v>
      </c>
      <c r="G35" s="322">
        <v>23709</v>
      </c>
      <c r="H35" s="322">
        <f t="shared" si="3"/>
        <v>76612</v>
      </c>
      <c r="I35" s="279">
        <v>39261</v>
      </c>
      <c r="J35" s="390">
        <f t="shared" si="0"/>
        <v>51.24654101185193</v>
      </c>
      <c r="K35" s="322">
        <v>22284</v>
      </c>
      <c r="L35" s="322">
        <f t="shared" si="1"/>
        <v>98896</v>
      </c>
      <c r="M35" s="298">
        <v>62071</v>
      </c>
      <c r="N35" s="521">
        <f t="shared" si="2"/>
        <v>62.76391360621258</v>
      </c>
      <c r="O35" s="279">
        <v>18947</v>
      </c>
    </row>
    <row r="36" spans="2:15" ht="15">
      <c r="B36" s="321" t="s">
        <v>182</v>
      </c>
      <c r="C36" s="340" t="s">
        <v>183</v>
      </c>
      <c r="F36" s="322">
        <f>SUM('címrendes kiadás'!M46)</f>
        <v>10000</v>
      </c>
      <c r="G36" s="322">
        <v>0</v>
      </c>
      <c r="H36" s="322">
        <f t="shared" si="3"/>
        <v>10000</v>
      </c>
      <c r="I36" s="279">
        <v>3999</v>
      </c>
      <c r="J36" s="390">
        <f t="shared" si="0"/>
        <v>39.989999999999995</v>
      </c>
      <c r="K36" s="322">
        <v>0</v>
      </c>
      <c r="L36" s="322">
        <f t="shared" si="1"/>
        <v>10000</v>
      </c>
      <c r="M36" s="298">
        <v>17185</v>
      </c>
      <c r="N36" s="521">
        <f t="shared" si="2"/>
        <v>171.85</v>
      </c>
      <c r="O36" s="279">
        <v>0</v>
      </c>
    </row>
    <row r="37" spans="2:15" ht="15.75" customHeight="1">
      <c r="B37" s="321" t="s">
        <v>184</v>
      </c>
      <c r="C37" s="309" t="s">
        <v>188</v>
      </c>
      <c r="F37" s="322">
        <f>SUM('címrendes kiadás'!M47)</f>
        <v>27458</v>
      </c>
      <c r="G37" s="354">
        <v>362</v>
      </c>
      <c r="H37" s="354">
        <f t="shared" si="3"/>
        <v>27820</v>
      </c>
      <c r="I37" s="299">
        <v>0</v>
      </c>
      <c r="J37" s="404">
        <f t="shared" si="0"/>
        <v>0</v>
      </c>
      <c r="K37" s="322">
        <v>34505</v>
      </c>
      <c r="L37" s="322">
        <f t="shared" si="1"/>
        <v>62325</v>
      </c>
      <c r="M37" s="279">
        <v>0</v>
      </c>
      <c r="N37" s="521">
        <f t="shared" si="2"/>
        <v>0</v>
      </c>
      <c r="O37" s="279">
        <v>-4017</v>
      </c>
    </row>
    <row r="38" spans="1:15" s="140" customFormat="1" ht="15.75">
      <c r="A38" s="323" t="s">
        <v>74</v>
      </c>
      <c r="B38" s="324" t="s">
        <v>187</v>
      </c>
      <c r="C38" s="346"/>
      <c r="D38" s="326"/>
      <c r="E38" s="326"/>
      <c r="F38" s="327">
        <f>SUM(F29:F37)</f>
        <v>1655195</v>
      </c>
      <c r="G38" s="327">
        <f>SUM(G29:G37)</f>
        <v>24071</v>
      </c>
      <c r="H38" s="327">
        <f t="shared" si="3"/>
        <v>1679266</v>
      </c>
      <c r="I38" s="412">
        <f>SUM(I29:I37)</f>
        <v>412221</v>
      </c>
      <c r="J38" s="301">
        <f t="shared" si="0"/>
        <v>24.547689288058</v>
      </c>
      <c r="K38" s="327">
        <f>SUM(K29:K37)</f>
        <v>714749</v>
      </c>
      <c r="L38" s="327">
        <f t="shared" si="1"/>
        <v>2394015</v>
      </c>
      <c r="M38" s="412">
        <f>SUM(M29:M37)</f>
        <v>842367</v>
      </c>
      <c r="N38" s="524">
        <f t="shared" si="2"/>
        <v>35.186371012712954</v>
      </c>
      <c r="O38" s="412">
        <f>SUM(O29:O37)</f>
        <v>302329</v>
      </c>
    </row>
    <row r="39" spans="1:14" ht="15.75">
      <c r="A39" s="314" t="s">
        <v>79</v>
      </c>
      <c r="B39" s="332" t="s">
        <v>190</v>
      </c>
      <c r="C39" s="340"/>
      <c r="F39" s="322"/>
      <c r="H39" s="322"/>
      <c r="J39" s="390"/>
      <c r="N39" s="521"/>
    </row>
    <row r="40" spans="2:15" ht="15">
      <c r="B40" s="321" t="s">
        <v>191</v>
      </c>
      <c r="C40" s="340" t="s">
        <v>398</v>
      </c>
      <c r="F40" s="322">
        <f>SUM('címrendes kiadás'!M79)</f>
        <v>522321</v>
      </c>
      <c r="G40" s="322">
        <v>390050</v>
      </c>
      <c r="H40" s="322">
        <f aca="true" t="shared" si="4" ref="H40:H47">F40+G40</f>
        <v>912371</v>
      </c>
      <c r="I40" s="279">
        <v>232044</v>
      </c>
      <c r="J40" s="390">
        <f t="shared" si="0"/>
        <v>25.43307492237259</v>
      </c>
      <c r="K40" s="322">
        <v>2425423</v>
      </c>
      <c r="L40" s="322">
        <f t="shared" si="1"/>
        <v>3337794</v>
      </c>
      <c r="M40" s="298">
        <v>608818</v>
      </c>
      <c r="N40" s="521">
        <f t="shared" si="2"/>
        <v>18.240131056620033</v>
      </c>
      <c r="O40" s="279">
        <v>113408</v>
      </c>
    </row>
    <row r="41" spans="2:15" ht="15">
      <c r="B41" s="321" t="s">
        <v>81</v>
      </c>
      <c r="C41" s="340" t="s">
        <v>399</v>
      </c>
      <c r="F41" s="322">
        <f>SUM('címrendes kiadás'!M80)</f>
        <v>0</v>
      </c>
      <c r="G41" s="322">
        <v>0</v>
      </c>
      <c r="H41" s="322">
        <f t="shared" si="4"/>
        <v>0</v>
      </c>
      <c r="I41" s="279">
        <v>433</v>
      </c>
      <c r="J41" s="390" t="e">
        <f t="shared" si="0"/>
        <v>#DIV/0!</v>
      </c>
      <c r="K41" s="322">
        <v>5588</v>
      </c>
      <c r="L41" s="322">
        <f t="shared" si="1"/>
        <v>5588</v>
      </c>
      <c r="M41" s="298">
        <v>1395</v>
      </c>
      <c r="N41" s="521">
        <f t="shared" si="2"/>
        <v>24.96420901932713</v>
      </c>
      <c r="O41" s="279">
        <v>1405</v>
      </c>
    </row>
    <row r="42" spans="2:15" ht="15">
      <c r="B42" s="321" t="s">
        <v>90</v>
      </c>
      <c r="C42" s="340" t="s">
        <v>350</v>
      </c>
      <c r="F42" s="322">
        <f>SUM('címrendes kiadás'!M81)</f>
        <v>2700</v>
      </c>
      <c r="G42" s="322">
        <v>0</v>
      </c>
      <c r="H42" s="322">
        <f t="shared" si="4"/>
        <v>2700</v>
      </c>
      <c r="I42" s="279">
        <v>8667</v>
      </c>
      <c r="J42" s="390">
        <f t="shared" si="0"/>
        <v>321</v>
      </c>
      <c r="K42" s="322">
        <v>15766</v>
      </c>
      <c r="L42" s="322">
        <f t="shared" si="1"/>
        <v>18466</v>
      </c>
      <c r="M42" s="298">
        <v>6024</v>
      </c>
      <c r="N42" s="521">
        <f t="shared" si="2"/>
        <v>32.622116321888875</v>
      </c>
      <c r="O42" s="279">
        <v>260</v>
      </c>
    </row>
    <row r="43" spans="2:15" ht="15">
      <c r="B43" s="321" t="s">
        <v>94</v>
      </c>
      <c r="C43" s="340" t="s">
        <v>351</v>
      </c>
      <c r="F43" s="322">
        <f>SUM('címrendes kiadás'!M82)</f>
        <v>0</v>
      </c>
      <c r="G43" s="322">
        <v>24</v>
      </c>
      <c r="H43" s="322">
        <f t="shared" si="4"/>
        <v>24</v>
      </c>
      <c r="I43" s="279">
        <v>24</v>
      </c>
      <c r="J43" s="390">
        <f t="shared" si="0"/>
        <v>100</v>
      </c>
      <c r="K43" s="322">
        <v>2246</v>
      </c>
      <c r="L43" s="322">
        <f t="shared" si="1"/>
        <v>2270</v>
      </c>
      <c r="M43" s="298">
        <v>21</v>
      </c>
      <c r="N43" s="521">
        <f t="shared" si="2"/>
        <v>0.9251101321585903</v>
      </c>
      <c r="O43" s="279">
        <v>293</v>
      </c>
    </row>
    <row r="44" spans="2:15" ht="15">
      <c r="B44" s="321" t="s">
        <v>195</v>
      </c>
      <c r="C44" s="340" t="s">
        <v>196</v>
      </c>
      <c r="F44" s="322">
        <f>SUM('címrendes kiadás'!M83)</f>
        <v>0</v>
      </c>
      <c r="G44" s="322">
        <v>0</v>
      </c>
      <c r="H44" s="322">
        <f t="shared" si="4"/>
        <v>0</v>
      </c>
      <c r="I44" s="279">
        <v>0</v>
      </c>
      <c r="J44" s="390">
        <v>0</v>
      </c>
      <c r="K44" s="322">
        <v>45000</v>
      </c>
      <c r="L44" s="322">
        <f t="shared" si="1"/>
        <v>45000</v>
      </c>
      <c r="M44" s="298">
        <v>0</v>
      </c>
      <c r="N44" s="521">
        <f t="shared" si="2"/>
        <v>0</v>
      </c>
      <c r="O44" s="279">
        <v>104</v>
      </c>
    </row>
    <row r="45" spans="2:15" ht="15">
      <c r="B45" s="308" t="s">
        <v>197</v>
      </c>
      <c r="C45" s="340" t="s">
        <v>198</v>
      </c>
      <c r="F45" s="322">
        <f>SUM('címrendes kiadás'!M84)</f>
        <v>1446077</v>
      </c>
      <c r="G45" s="354">
        <v>368</v>
      </c>
      <c r="H45" s="354">
        <f t="shared" si="4"/>
        <v>1446445</v>
      </c>
      <c r="I45" s="299">
        <v>0</v>
      </c>
      <c r="J45" s="404">
        <f t="shared" si="0"/>
        <v>0</v>
      </c>
      <c r="K45" s="322">
        <v>1022429</v>
      </c>
      <c r="L45" s="322">
        <f t="shared" si="1"/>
        <v>2468874</v>
      </c>
      <c r="M45" s="299">
        <v>0</v>
      </c>
      <c r="N45" s="521">
        <f t="shared" si="2"/>
        <v>0</v>
      </c>
      <c r="O45" s="279">
        <v>78870</v>
      </c>
    </row>
    <row r="46" spans="1:15" s="140" customFormat="1" ht="15.75">
      <c r="A46" s="323" t="s">
        <v>79</v>
      </c>
      <c r="B46" s="324" t="s">
        <v>352</v>
      </c>
      <c r="C46" s="346"/>
      <c r="D46" s="326"/>
      <c r="E46" s="326"/>
      <c r="F46" s="327">
        <f>SUM(F40:F45)</f>
        <v>1971098</v>
      </c>
      <c r="G46" s="327">
        <f>SUM(G40:G45)</f>
        <v>390442</v>
      </c>
      <c r="H46" s="327">
        <f t="shared" si="4"/>
        <v>2361540</v>
      </c>
      <c r="I46" s="412">
        <f>SUM(I40:I45)</f>
        <v>241168</v>
      </c>
      <c r="J46" s="301">
        <f t="shared" si="0"/>
        <v>10.212319079922423</v>
      </c>
      <c r="K46" s="327">
        <f>SUM(K40:K45)</f>
        <v>3516452</v>
      </c>
      <c r="L46" s="327">
        <f t="shared" si="1"/>
        <v>5877992</v>
      </c>
      <c r="M46" s="401">
        <f>SUM(M40:M45)</f>
        <v>616258</v>
      </c>
      <c r="N46" s="524">
        <f t="shared" si="2"/>
        <v>10.48415853577208</v>
      </c>
      <c r="O46" s="412">
        <f>SUM(O40:O45)</f>
        <v>194340</v>
      </c>
    </row>
    <row r="47" spans="1:15" s="140" customFormat="1" ht="15.75">
      <c r="A47" s="323"/>
      <c r="B47" s="324" t="s">
        <v>353</v>
      </c>
      <c r="C47" s="346"/>
      <c r="D47" s="326"/>
      <c r="E47" s="326"/>
      <c r="F47" s="327">
        <f>SUM(F38+F46)</f>
        <v>3626293</v>
      </c>
      <c r="G47" s="327">
        <f>G38+G46</f>
        <v>414513</v>
      </c>
      <c r="H47" s="327">
        <f t="shared" si="4"/>
        <v>4040806</v>
      </c>
      <c r="I47" s="412">
        <f>I38+I46</f>
        <v>653389</v>
      </c>
      <c r="J47" s="301">
        <f t="shared" si="0"/>
        <v>16.169769100521034</v>
      </c>
      <c r="K47" s="327">
        <f>K38+K46</f>
        <v>4231201</v>
      </c>
      <c r="L47" s="327">
        <f t="shared" si="1"/>
        <v>8272007</v>
      </c>
      <c r="M47" s="412">
        <f>M38+M46</f>
        <v>1458625</v>
      </c>
      <c r="N47" s="524">
        <f t="shared" si="2"/>
        <v>17.633266026007956</v>
      </c>
      <c r="O47" s="412">
        <f>O38+O46</f>
        <v>496669</v>
      </c>
    </row>
    <row r="48" spans="3:14" ht="15">
      <c r="C48" s="347"/>
      <c r="F48" s="322"/>
      <c r="H48" s="322"/>
      <c r="J48" s="390"/>
      <c r="N48" s="521"/>
    </row>
    <row r="49" spans="1:15" s="140" customFormat="1" ht="15.75">
      <c r="A49" s="339"/>
      <c r="B49" s="332" t="s">
        <v>334</v>
      </c>
      <c r="C49" s="315"/>
      <c r="D49" s="241"/>
      <c r="E49" s="241"/>
      <c r="F49" s="241"/>
      <c r="G49" s="343"/>
      <c r="H49" s="322"/>
      <c r="I49" s="401"/>
      <c r="J49" s="390"/>
      <c r="K49" s="343"/>
      <c r="L49" s="322"/>
      <c r="M49" s="401"/>
      <c r="N49" s="521"/>
      <c r="O49" s="401"/>
    </row>
    <row r="50" spans="1:15" s="140" customFormat="1" ht="15.75">
      <c r="A50" s="339" t="s">
        <v>162</v>
      </c>
      <c r="B50" s="332" t="s">
        <v>354</v>
      </c>
      <c r="C50" s="315"/>
      <c r="D50" s="241"/>
      <c r="E50" s="241"/>
      <c r="F50" s="241"/>
      <c r="G50" s="343"/>
      <c r="H50" s="322"/>
      <c r="I50" s="401"/>
      <c r="J50" s="390"/>
      <c r="K50" s="343"/>
      <c r="L50" s="322"/>
      <c r="M50" s="401"/>
      <c r="N50" s="521"/>
      <c r="O50" s="401"/>
    </row>
    <row r="51" spans="1:15" ht="15">
      <c r="A51" s="348"/>
      <c r="B51" s="321" t="s">
        <v>74</v>
      </c>
      <c r="C51" s="349" t="s">
        <v>164</v>
      </c>
      <c r="D51" s="178"/>
      <c r="E51" s="178"/>
      <c r="F51" s="336">
        <f>SUM('címrendes bevétel'!M135)</f>
        <v>0</v>
      </c>
      <c r="G51" s="322">
        <v>0</v>
      </c>
      <c r="H51" s="322">
        <f>F51+G51</f>
        <v>0</v>
      </c>
      <c r="I51" s="279">
        <v>0</v>
      </c>
      <c r="J51" s="390">
        <v>0</v>
      </c>
      <c r="K51" s="322">
        <v>0</v>
      </c>
      <c r="L51" s="322">
        <f t="shared" si="1"/>
        <v>0</v>
      </c>
      <c r="M51" s="298">
        <v>0</v>
      </c>
      <c r="N51" s="521">
        <v>0</v>
      </c>
      <c r="O51" s="279">
        <v>0</v>
      </c>
    </row>
    <row r="52" spans="1:15" ht="15">
      <c r="A52" s="350"/>
      <c r="B52" s="351" t="s">
        <v>79</v>
      </c>
      <c r="C52" s="352" t="s">
        <v>165</v>
      </c>
      <c r="D52" s="353"/>
      <c r="E52" s="353"/>
      <c r="F52" s="354">
        <f>SUM('címrendes bevétel'!M136+'címrendes bevétel'!M137)</f>
        <v>134035</v>
      </c>
      <c r="G52" s="354">
        <v>16055</v>
      </c>
      <c r="H52" s="354">
        <f>F52+G52</f>
        <v>150090</v>
      </c>
      <c r="I52" s="299">
        <v>0</v>
      </c>
      <c r="J52" s="404">
        <f t="shared" si="0"/>
        <v>0</v>
      </c>
      <c r="K52" s="322">
        <v>39668</v>
      </c>
      <c r="L52" s="322">
        <f t="shared" si="1"/>
        <v>189758</v>
      </c>
      <c r="M52" s="299">
        <v>0</v>
      </c>
      <c r="N52" s="521">
        <f t="shared" si="2"/>
        <v>0</v>
      </c>
      <c r="O52" s="279">
        <v>98001</v>
      </c>
    </row>
    <row r="53" spans="1:15" s="140" customFormat="1" ht="15.75">
      <c r="A53" s="339"/>
      <c r="B53" s="332" t="s">
        <v>167</v>
      </c>
      <c r="C53" s="315"/>
      <c r="D53" s="241"/>
      <c r="E53" s="241"/>
      <c r="F53" s="355">
        <f>SUM(F51:F52)</f>
        <v>134035</v>
      </c>
      <c r="G53" s="327">
        <f>SUM(G51:G52)</f>
        <v>16055</v>
      </c>
      <c r="H53" s="327">
        <f>F53+G53</f>
        <v>150090</v>
      </c>
      <c r="I53" s="412">
        <f>SUM(I51:I52)</f>
        <v>0</v>
      </c>
      <c r="J53" s="301">
        <f t="shared" si="0"/>
        <v>0</v>
      </c>
      <c r="K53" s="327">
        <f>SUM(K51:K52)</f>
        <v>39668</v>
      </c>
      <c r="L53" s="327">
        <f t="shared" si="1"/>
        <v>189758</v>
      </c>
      <c r="M53" s="401">
        <f>SUM(M51:M52)</f>
        <v>0</v>
      </c>
      <c r="N53" s="524">
        <f t="shared" si="2"/>
        <v>0</v>
      </c>
      <c r="O53" s="412">
        <f>SUM(O51:O52)</f>
        <v>98001</v>
      </c>
    </row>
    <row r="54" spans="1:15" s="140" customFormat="1" ht="15.75">
      <c r="A54" s="323" t="s">
        <v>168</v>
      </c>
      <c r="B54" s="324" t="s">
        <v>169</v>
      </c>
      <c r="C54" s="325"/>
      <c r="D54" s="326"/>
      <c r="E54" s="326"/>
      <c r="F54" s="327">
        <f>SUM('címrendes bevétel'!M140+'címrendes bevétel'!M145+'címrendes bevétel'!M149+'címrendes bevétel'!M153)</f>
        <v>1337168</v>
      </c>
      <c r="G54" s="327">
        <v>28116</v>
      </c>
      <c r="H54" s="327">
        <f>F54+G54</f>
        <v>1365284</v>
      </c>
      <c r="I54" s="412">
        <v>0</v>
      </c>
      <c r="J54" s="301">
        <f t="shared" si="0"/>
        <v>0</v>
      </c>
      <c r="K54" s="343">
        <v>1733008</v>
      </c>
      <c r="L54" s="343">
        <f t="shared" si="1"/>
        <v>3098292</v>
      </c>
      <c r="M54" s="412">
        <v>437589</v>
      </c>
      <c r="N54" s="524">
        <f t="shared" si="2"/>
        <v>14.12355581720509</v>
      </c>
      <c r="O54" s="401">
        <v>0</v>
      </c>
    </row>
    <row r="55" spans="1:15" s="140" customFormat="1" ht="15.75">
      <c r="A55" s="323"/>
      <c r="B55" s="324" t="s">
        <v>172</v>
      </c>
      <c r="C55" s="356"/>
      <c r="D55" s="326"/>
      <c r="E55" s="326"/>
      <c r="F55" s="327">
        <f>SUM(F53+F54)</f>
        <v>1471203</v>
      </c>
      <c r="G55" s="327">
        <f>G53+G54</f>
        <v>44171</v>
      </c>
      <c r="H55" s="327">
        <f>F55+G55</f>
        <v>1515374</v>
      </c>
      <c r="I55" s="412">
        <v>0</v>
      </c>
      <c r="J55" s="301">
        <f t="shared" si="0"/>
        <v>0</v>
      </c>
      <c r="K55" s="327">
        <f>SUM(K53:K54)</f>
        <v>1772676</v>
      </c>
      <c r="L55" s="327">
        <f t="shared" si="1"/>
        <v>3288050</v>
      </c>
      <c r="M55" s="412">
        <f>SUM(M54)</f>
        <v>437589</v>
      </c>
      <c r="N55" s="524">
        <f t="shared" si="2"/>
        <v>13.308465503870076</v>
      </c>
      <c r="O55" s="412">
        <f>O53+O54</f>
        <v>98001</v>
      </c>
    </row>
    <row r="56" spans="3:14" ht="15">
      <c r="C56" s="347"/>
      <c r="F56" s="322"/>
      <c r="H56" s="322"/>
      <c r="J56" s="390"/>
      <c r="N56" s="521"/>
    </row>
    <row r="57" spans="1:15" s="140" customFormat="1" ht="15.75">
      <c r="A57" s="339" t="s">
        <v>126</v>
      </c>
      <c r="B57" s="332" t="s">
        <v>355</v>
      </c>
      <c r="C57" s="315"/>
      <c r="D57" s="241"/>
      <c r="E57" s="241"/>
      <c r="F57" s="241"/>
      <c r="G57" s="343"/>
      <c r="H57" s="322"/>
      <c r="I57" s="401"/>
      <c r="J57" s="390"/>
      <c r="K57" s="343"/>
      <c r="L57" s="322"/>
      <c r="M57" s="401"/>
      <c r="N57" s="521"/>
      <c r="O57" s="401"/>
    </row>
    <row r="58" spans="1:15" ht="15">
      <c r="A58" s="348"/>
      <c r="B58" s="357" t="s">
        <v>205</v>
      </c>
      <c r="C58" s="178" t="s">
        <v>356</v>
      </c>
      <c r="D58" s="178"/>
      <c r="E58" s="178"/>
      <c r="F58" s="336">
        <f>SUM('címrendes kiadás'!M102)</f>
        <v>55910</v>
      </c>
      <c r="G58" s="322">
        <v>0</v>
      </c>
      <c r="H58" s="322">
        <f>F58+G58</f>
        <v>55910</v>
      </c>
      <c r="I58" s="279">
        <v>26825</v>
      </c>
      <c r="J58" s="390">
        <f t="shared" si="0"/>
        <v>47.97889465211948</v>
      </c>
      <c r="K58" s="322">
        <v>3631</v>
      </c>
      <c r="L58" s="322">
        <f t="shared" si="1"/>
        <v>59541</v>
      </c>
      <c r="M58" s="298">
        <v>104947</v>
      </c>
      <c r="N58" s="521">
        <f t="shared" si="2"/>
        <v>176.26005609579954</v>
      </c>
      <c r="O58" s="279">
        <v>0</v>
      </c>
    </row>
    <row r="59" spans="1:15" ht="15">
      <c r="A59" s="350"/>
      <c r="B59" s="358" t="s">
        <v>210</v>
      </c>
      <c r="C59" s="353" t="s">
        <v>208</v>
      </c>
      <c r="D59" s="353"/>
      <c r="E59" s="353"/>
      <c r="F59" s="354">
        <f>SUM('címrendes kiadás'!M105)</f>
        <v>0</v>
      </c>
      <c r="G59" s="354">
        <v>0</v>
      </c>
      <c r="H59" s="354">
        <f>F59+G59</f>
        <v>0</v>
      </c>
      <c r="I59" s="299">
        <v>62500</v>
      </c>
      <c r="J59" s="404" t="e">
        <f t="shared" si="0"/>
        <v>#DIV/0!</v>
      </c>
      <c r="K59" s="322">
        <v>0</v>
      </c>
      <c r="L59" s="322">
        <f t="shared" si="1"/>
        <v>0</v>
      </c>
      <c r="M59" s="299">
        <v>92500</v>
      </c>
      <c r="N59" s="521" t="e">
        <f t="shared" si="2"/>
        <v>#DIV/0!</v>
      </c>
      <c r="O59" s="279">
        <v>0</v>
      </c>
    </row>
    <row r="60" spans="1:15" s="140" customFormat="1" ht="15.75">
      <c r="A60" s="328"/>
      <c r="B60" s="329" t="s">
        <v>357</v>
      </c>
      <c r="C60" s="331"/>
      <c r="D60" s="331"/>
      <c r="E60" s="331"/>
      <c r="F60" s="359">
        <f>SUM(F58:F59)</f>
        <v>55910</v>
      </c>
      <c r="G60" s="327">
        <f>SUM(G58:G59)</f>
        <v>0</v>
      </c>
      <c r="H60" s="327">
        <f>F60+G60</f>
        <v>55910</v>
      </c>
      <c r="I60" s="412">
        <f>SUM(I58:I59)</f>
        <v>89325</v>
      </c>
      <c r="J60" s="301">
        <f t="shared" si="0"/>
        <v>159.76569486675015</v>
      </c>
      <c r="K60" s="327">
        <f>SUM(K58:K59)</f>
        <v>3631</v>
      </c>
      <c r="L60" s="327">
        <f t="shared" si="1"/>
        <v>59541</v>
      </c>
      <c r="M60" s="412">
        <f>SUM(M58:M59)</f>
        <v>197447</v>
      </c>
      <c r="N60" s="524">
        <f t="shared" si="2"/>
        <v>331.6151895332628</v>
      </c>
      <c r="O60" s="412">
        <f>SUM(O58:O59)</f>
        <v>0</v>
      </c>
    </row>
    <row r="61" spans="1:15" s="140" customFormat="1" ht="15.75">
      <c r="A61" s="328"/>
      <c r="B61" s="329"/>
      <c r="C61" s="331"/>
      <c r="D61" s="331"/>
      <c r="E61" s="331"/>
      <c r="F61" s="359"/>
      <c r="G61" s="327"/>
      <c r="H61" s="361"/>
      <c r="I61" s="412"/>
      <c r="J61" s="303"/>
      <c r="K61" s="343"/>
      <c r="L61" s="322"/>
      <c r="M61" s="401"/>
      <c r="N61" s="521"/>
      <c r="O61" s="401"/>
    </row>
    <row r="62" spans="1:15" s="140" customFormat="1" ht="15.75">
      <c r="A62" s="328"/>
      <c r="B62" s="329" t="s">
        <v>173</v>
      </c>
      <c r="C62" s="331"/>
      <c r="D62" s="331"/>
      <c r="E62" s="331"/>
      <c r="F62" s="359">
        <f>SUM(F55+F25)</f>
        <v>3682203</v>
      </c>
      <c r="G62" s="327">
        <f>G25+G55</f>
        <v>414513</v>
      </c>
      <c r="H62" s="327">
        <f>F62+G62</f>
        <v>4096716</v>
      </c>
      <c r="I62" s="412">
        <f>I25+I55</f>
        <v>833229</v>
      </c>
      <c r="J62" s="301">
        <f t="shared" si="0"/>
        <v>20.33894953909424</v>
      </c>
      <c r="K62" s="327">
        <f>K25+K55</f>
        <v>4234832</v>
      </c>
      <c r="L62" s="327">
        <f t="shared" si="1"/>
        <v>8331548</v>
      </c>
      <c r="M62" s="412">
        <f>M25+M55</f>
        <v>2179846</v>
      </c>
      <c r="N62" s="524">
        <f t="shared" si="2"/>
        <v>26.16375732336896</v>
      </c>
      <c r="O62" s="412">
        <f>O25+O55</f>
        <v>496669</v>
      </c>
    </row>
    <row r="63" spans="1:15" s="140" customFormat="1" ht="15.75">
      <c r="A63" s="323"/>
      <c r="B63" s="324" t="s">
        <v>340</v>
      </c>
      <c r="C63" s="326"/>
      <c r="D63" s="326"/>
      <c r="E63" s="326"/>
      <c r="F63" s="327">
        <f>SUM(F60+F47)</f>
        <v>3682203</v>
      </c>
      <c r="G63" s="327">
        <f>G47+G60</f>
        <v>414513</v>
      </c>
      <c r="H63" s="327">
        <f>F63+G63</f>
        <v>4096716</v>
      </c>
      <c r="I63" s="412">
        <f>I47+I60</f>
        <v>742714</v>
      </c>
      <c r="J63" s="301">
        <f t="shared" si="0"/>
        <v>18.12949689458581</v>
      </c>
      <c r="K63" s="327">
        <f>K47+K60</f>
        <v>4234832</v>
      </c>
      <c r="L63" s="327">
        <f t="shared" si="1"/>
        <v>8331548</v>
      </c>
      <c r="M63" s="412">
        <f>M47+M60</f>
        <v>1656072</v>
      </c>
      <c r="N63" s="524">
        <f t="shared" si="2"/>
        <v>19.877122474718984</v>
      </c>
      <c r="O63" s="412">
        <f>O47+O60</f>
        <v>496669</v>
      </c>
    </row>
    <row r="64" spans="1:6" ht="30" customHeight="1">
      <c r="A64" s="856" t="s">
        <v>561</v>
      </c>
      <c r="B64" s="856"/>
      <c r="C64" s="856"/>
      <c r="D64" s="856"/>
      <c r="E64" s="856"/>
      <c r="F64" s="856"/>
    </row>
  </sheetData>
  <sheetProtection/>
  <mergeCells count="5">
    <mergeCell ref="C1:O1"/>
    <mergeCell ref="E6:O6"/>
    <mergeCell ref="A64:F64"/>
    <mergeCell ref="A7:E7"/>
    <mergeCell ref="A3:O3"/>
  </mergeCells>
  <printOptions/>
  <pageMargins left="0.75" right="0.75" top="0.5" bottom="0.5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Szarvas Város Önkormányzata</dc:creator>
  <cp:keywords/>
  <dc:description/>
  <cp:lastModifiedBy>Polgármesteri Hivtal Szarvas</cp:lastModifiedBy>
  <cp:lastPrinted>2014-02-20T12:02:23Z</cp:lastPrinted>
  <dcterms:created xsi:type="dcterms:W3CDTF">2009-11-09T12:52:48Z</dcterms:created>
  <dcterms:modified xsi:type="dcterms:W3CDTF">2014-02-20T15:00:05Z</dcterms:modified>
  <cp:category/>
  <cp:version/>
  <cp:contentType/>
  <cp:contentStatus/>
  <cp:revision>3</cp:revision>
</cp:coreProperties>
</file>