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sofi\Documents\Kajárpéc\jegyzőkönyvek\2019\2019.04.24\"/>
    </mc:Choice>
  </mc:AlternateContent>
  <bookViews>
    <workbookView xWindow="32760" yWindow="32760" windowWidth="20490" windowHeight="7245" tabRatio="968" activeTab="6"/>
  </bookViews>
  <sheets>
    <sheet name="Z_TARTALOMJEGYZÉK" sheetId="209" r:id="rId1"/>
    <sheet name="Z_ALAPADATOK" sheetId="94" r:id="rId2"/>
    <sheet name="Z_ÖSSZEFÜGGÉSEK" sheetId="75" r:id="rId3"/>
    <sheet name="Z_1.1.sz.mell." sheetId="1" r:id="rId4"/>
    <sheet name="Z_1.2.sz.mell." sheetId="142" r:id="rId5"/>
    <sheet name="Z_1.3.sz.mell." sheetId="143" r:id="rId6"/>
    <sheet name="Z_2.1.sz.mell" sheetId="73" r:id="rId7"/>
    <sheet name="Z_2.2.sz.mell" sheetId="61" r:id="rId8"/>
    <sheet name="Z_ELLENŐRZÉS" sheetId="76" r:id="rId9"/>
    <sheet name="Z_3.sz.mell." sheetId="63" r:id="rId10"/>
    <sheet name="Z_4.sz.mell." sheetId="64" r:id="rId11"/>
    <sheet name="Z_5.sz.mell." sheetId="132" r:id="rId12"/>
    <sheet name="Z_6.1.sz.mell" sheetId="3" r:id="rId13"/>
    <sheet name="Z_6.1.1.sz.mell" sheetId="133" r:id="rId14"/>
    <sheet name="Z_6.1.2.sz.mell" sheetId="134" r:id="rId15"/>
    <sheet name="Z_6.2.sz.mell" sheetId="79" r:id="rId16"/>
    <sheet name="Z_6.2.1.sz.mell" sheetId="138" r:id="rId17"/>
    <sheet name="Z_6.2.2.sz.mell" sheetId="137" r:id="rId18"/>
    <sheet name="Z_7.sz.mell" sheetId="211" r:id="rId19"/>
    <sheet name="Z_8.sz.mell" sheetId="210" r:id="rId20"/>
    <sheet name="Z_1.tájékoztató_t." sheetId="197" r:id="rId21"/>
    <sheet name="Z_6.tájékoztató_t." sheetId="202" r:id="rId22"/>
    <sheet name="Z_7.2.tájékoztató_t." sheetId="204" r:id="rId23"/>
    <sheet name="Z_7.1.tájékoztató_t." sheetId="203" r:id="rId24"/>
    <sheet name="Z_7.3.tájékoztató_t." sheetId="205" state="hidden" r:id="rId25"/>
    <sheet name="Z_8.tájékoztató_t." sheetId="207" state="hidden" r:id="rId26"/>
    <sheet name="Z_9.tájékoztató_t." sheetId="208" r:id="rId27"/>
    <sheet name="Munka1" sheetId="212" r:id="rId28"/>
  </sheets>
  <definedNames>
    <definedName name="_ftn1" localSheetId="24">'Z_7.3.tájékoztató_t.'!$A$31</definedName>
    <definedName name="_ftnref1" localSheetId="24">'Z_7.3.tájékoztató_t.'!$A$22</definedName>
    <definedName name="_xlnm.Print_Titles" localSheetId="13">'Z_6.1.1.sz.mell'!$1:$6</definedName>
    <definedName name="_xlnm.Print_Titles" localSheetId="14">'Z_6.1.2.sz.mell'!$1:$6</definedName>
    <definedName name="_xlnm.Print_Titles" localSheetId="12">'Z_6.1.sz.mell'!$1:$6</definedName>
    <definedName name="_xlnm.Print_Titles" localSheetId="16">'Z_6.2.1.sz.mell'!$1:$6</definedName>
    <definedName name="_xlnm.Print_Titles" localSheetId="17">'Z_6.2.2.sz.mell'!$1:$6</definedName>
    <definedName name="_xlnm.Print_Titles" localSheetId="15">'Z_6.2.sz.mell'!$1:$6</definedName>
    <definedName name="_xlnm.Print_Titles" localSheetId="23">'Z_7.1.tájékoztató_t.'!$5:$9</definedName>
    <definedName name="_xlnm.Print_Area" localSheetId="3">'Z_1.1.sz.mell.'!$A$1:$E$166</definedName>
    <definedName name="_xlnm.Print_Area" localSheetId="4">'Z_1.2.sz.mell.'!$A$1:$E$166</definedName>
    <definedName name="_xlnm.Print_Area" localSheetId="5">'Z_1.3.sz.mell.'!$A$1:$E$166</definedName>
    <definedName name="_xlnm.Print_Area" localSheetId="20">'Z_1.tájékoztató_t.'!$A$1:$E$148</definedName>
  </definedNames>
  <calcPr calcId="162913"/>
</workbook>
</file>

<file path=xl/calcChain.xml><?xml version="1.0" encoding="utf-8"?>
<calcChain xmlns="http://schemas.openxmlformats.org/spreadsheetml/2006/main">
  <c r="C10" i="208" l="1"/>
  <c r="C13" i="208" s="1"/>
  <c r="C94" i="197"/>
  <c r="G8" i="64"/>
  <c r="G9" i="64"/>
  <c r="G10" i="64"/>
  <c r="G7" i="64"/>
  <c r="G8" i="63"/>
  <c r="G7" i="63"/>
  <c r="G25" i="61"/>
  <c r="H25" i="61"/>
  <c r="H30" i="61" s="1"/>
  <c r="I25" i="61"/>
  <c r="I30" i="61" s="1"/>
  <c r="H10" i="61"/>
  <c r="G10" i="61"/>
  <c r="I8" i="61"/>
  <c r="H8" i="61"/>
  <c r="G8" i="61"/>
  <c r="G6" i="61"/>
  <c r="G17" i="61" s="1"/>
  <c r="G10" i="73"/>
  <c r="I9" i="73"/>
  <c r="H9" i="73"/>
  <c r="G9" i="73"/>
  <c r="E122" i="143"/>
  <c r="D122" i="143"/>
  <c r="E105" i="142"/>
  <c r="D105" i="142"/>
  <c r="E103" i="142"/>
  <c r="D103" i="142"/>
  <c r="C103" i="142"/>
  <c r="E102" i="142"/>
  <c r="D102" i="142"/>
  <c r="C102" i="142"/>
  <c r="E101" i="142"/>
  <c r="D101" i="142"/>
  <c r="C101" i="142"/>
  <c r="E79" i="1"/>
  <c r="D79" i="1"/>
  <c r="C79" i="1"/>
  <c r="C78" i="1" s="1"/>
  <c r="C20" i="73" s="1"/>
  <c r="C19" i="73" s="1"/>
  <c r="C29" i="73" s="1"/>
  <c r="E48" i="142"/>
  <c r="D48" i="142"/>
  <c r="C48" i="142"/>
  <c r="E42" i="142"/>
  <c r="E40" i="142" s="1"/>
  <c r="D42" i="142"/>
  <c r="C42" i="142"/>
  <c r="E48" i="1"/>
  <c r="D48" i="1"/>
  <c r="C48" i="1"/>
  <c r="E42" i="1"/>
  <c r="E40" i="1" s="1"/>
  <c r="E10" i="73" s="1"/>
  <c r="D42" i="1"/>
  <c r="D40" i="1" s="1"/>
  <c r="D10" i="73" s="1"/>
  <c r="C42" i="1"/>
  <c r="C32" i="1"/>
  <c r="C9" i="73" s="1"/>
  <c r="D32" i="1"/>
  <c r="D9" i="73" s="1"/>
  <c r="E122" i="1"/>
  <c r="I6" i="61" s="1"/>
  <c r="I17" i="61" s="1"/>
  <c r="D122" i="1"/>
  <c r="H6" i="61" s="1"/>
  <c r="H17" i="61" s="1"/>
  <c r="E105" i="1"/>
  <c r="I10" i="73" s="1"/>
  <c r="D105" i="1"/>
  <c r="H10" i="73" s="1"/>
  <c r="E103" i="1"/>
  <c r="I8" i="73" s="1"/>
  <c r="D103" i="1"/>
  <c r="H8" i="73"/>
  <c r="C103" i="1"/>
  <c r="G8" i="73" s="1"/>
  <c r="E102" i="1"/>
  <c r="I7" i="73" s="1"/>
  <c r="D102" i="1"/>
  <c r="H7" i="73" s="1"/>
  <c r="C102" i="1"/>
  <c r="G7" i="73" s="1"/>
  <c r="E101" i="1"/>
  <c r="D101" i="1"/>
  <c r="H6" i="73" s="1"/>
  <c r="C101" i="1"/>
  <c r="G6" i="73" s="1"/>
  <c r="E25" i="73"/>
  <c r="D25" i="73"/>
  <c r="C25" i="73"/>
  <c r="C3" i="210"/>
  <c r="B18" i="209"/>
  <c r="B35" i="209"/>
  <c r="B34" i="209"/>
  <c r="F1" i="210"/>
  <c r="A1" i="211"/>
  <c r="G40" i="211"/>
  <c r="F40" i="211"/>
  <c r="D40" i="211"/>
  <c r="C40" i="211"/>
  <c r="E39" i="211"/>
  <c r="E38" i="211"/>
  <c r="E37" i="211"/>
  <c r="E36" i="211"/>
  <c r="E35" i="211"/>
  <c r="E33" i="211"/>
  <c r="E32" i="211"/>
  <c r="E31" i="211"/>
  <c r="E30" i="211"/>
  <c r="E29" i="211"/>
  <c r="E28" i="211"/>
  <c r="E27" i="211"/>
  <c r="E26" i="211"/>
  <c r="E25" i="211"/>
  <c r="E24" i="211"/>
  <c r="E23" i="211"/>
  <c r="E22" i="211"/>
  <c r="E21" i="211"/>
  <c r="E20" i="211"/>
  <c r="E19" i="211"/>
  <c r="E18" i="211"/>
  <c r="E17" i="211"/>
  <c r="E16" i="211"/>
  <c r="E15" i="211"/>
  <c r="E14" i="211"/>
  <c r="E13" i="211"/>
  <c r="E12" i="211"/>
  <c r="E11" i="211"/>
  <c r="E10" i="211"/>
  <c r="E9" i="211"/>
  <c r="E40" i="211" s="1"/>
  <c r="E25" i="210"/>
  <c r="D25" i="210"/>
  <c r="C25" i="210"/>
  <c r="A2" i="208"/>
  <c r="F3" i="207"/>
  <c r="A1" i="205"/>
  <c r="A1" i="204"/>
  <c r="A1" i="203"/>
  <c r="A1" i="202"/>
  <c r="A1" i="197"/>
  <c r="B1" i="137"/>
  <c r="B1" i="138"/>
  <c r="B1" i="79"/>
  <c r="E1" i="134"/>
  <c r="B1" i="133"/>
  <c r="B1" i="3"/>
  <c r="A1" i="132"/>
  <c r="B1" i="64"/>
  <c r="B1" i="63"/>
  <c r="J1" i="61"/>
  <c r="J1" i="73"/>
  <c r="B1" i="143"/>
  <c r="B1" i="142"/>
  <c r="B1" i="1"/>
  <c r="B9" i="209"/>
  <c r="B23" i="209"/>
  <c r="B32" i="209"/>
  <c r="B31" i="209"/>
  <c r="B30" i="209"/>
  <c r="B29" i="209"/>
  <c r="B28" i="209"/>
  <c r="B27" i="209"/>
  <c r="B26" i="209"/>
  <c r="B25" i="209"/>
  <c r="B24" i="209"/>
  <c r="B33" i="209"/>
  <c r="B37" i="209"/>
  <c r="B38" i="209"/>
  <c r="B41" i="209"/>
  <c r="B39" i="209"/>
  <c r="B40" i="209"/>
  <c r="B42" i="209"/>
  <c r="B43" i="209"/>
  <c r="A2" i="207"/>
  <c r="B45" i="209" s="1"/>
  <c r="B44" i="209"/>
  <c r="B12" i="209"/>
  <c r="B11" i="209"/>
  <c r="B10" i="209"/>
  <c r="A37" i="75"/>
  <c r="A19" i="75"/>
  <c r="A16" i="76"/>
  <c r="A2" i="197"/>
  <c r="B36" i="209" s="1"/>
  <c r="E23" i="207"/>
  <c r="D23" i="207"/>
  <c r="D22" i="205"/>
  <c r="D18" i="205"/>
  <c r="D13" i="205"/>
  <c r="C20" i="204"/>
  <c r="C16" i="204"/>
  <c r="E69" i="203"/>
  <c r="D69" i="203"/>
  <c r="C69" i="203"/>
  <c r="E66" i="203"/>
  <c r="D66" i="203"/>
  <c r="C66" i="203"/>
  <c r="E62" i="203"/>
  <c r="D62" i="203"/>
  <c r="C62" i="203"/>
  <c r="E57" i="203"/>
  <c r="D57" i="203"/>
  <c r="C57" i="203"/>
  <c r="E48" i="203"/>
  <c r="D48" i="203"/>
  <c r="C48" i="203"/>
  <c r="E43" i="203"/>
  <c r="D43" i="203"/>
  <c r="C43" i="203"/>
  <c r="E38" i="203"/>
  <c r="E37" i="203" s="1"/>
  <c r="D38" i="203"/>
  <c r="E32" i="203"/>
  <c r="D32" i="203"/>
  <c r="C32" i="203"/>
  <c r="E27" i="203"/>
  <c r="D27" i="203"/>
  <c r="E22" i="203"/>
  <c r="D22" i="203"/>
  <c r="C22" i="203"/>
  <c r="E17" i="203"/>
  <c r="D17" i="203"/>
  <c r="E12" i="203"/>
  <c r="D12" i="203"/>
  <c r="E41" i="202"/>
  <c r="D41" i="202"/>
  <c r="E142" i="197"/>
  <c r="D142" i="197"/>
  <c r="C142" i="197"/>
  <c r="E137" i="197"/>
  <c r="D137" i="197"/>
  <c r="C137" i="197"/>
  <c r="E132" i="197"/>
  <c r="D132" i="197"/>
  <c r="C132" i="197"/>
  <c r="E128" i="197"/>
  <c r="D128" i="197"/>
  <c r="C128" i="197"/>
  <c r="E124" i="197"/>
  <c r="D124" i="197"/>
  <c r="C124" i="197"/>
  <c r="E110" i="197"/>
  <c r="D110" i="197"/>
  <c r="C110" i="197"/>
  <c r="E94" i="197"/>
  <c r="D94" i="197"/>
  <c r="E81" i="197"/>
  <c r="D81" i="197"/>
  <c r="C81" i="197"/>
  <c r="E77" i="197"/>
  <c r="D77" i="197"/>
  <c r="C77" i="197"/>
  <c r="E74" i="197"/>
  <c r="E87" i="197" s="1"/>
  <c r="D74" i="197"/>
  <c r="C74" i="197"/>
  <c r="E69" i="197"/>
  <c r="D69" i="197"/>
  <c r="C69" i="197"/>
  <c r="E65" i="197"/>
  <c r="D65" i="197"/>
  <c r="C65" i="197"/>
  <c r="E59" i="197"/>
  <c r="D59" i="197"/>
  <c r="C59" i="197"/>
  <c r="E54" i="197"/>
  <c r="D54" i="197"/>
  <c r="C54" i="197"/>
  <c r="E48" i="197"/>
  <c r="D48" i="197"/>
  <c r="C48" i="197"/>
  <c r="E37" i="197"/>
  <c r="D37" i="197"/>
  <c r="C37" i="197"/>
  <c r="E30" i="197"/>
  <c r="D30" i="197"/>
  <c r="C30" i="197"/>
  <c r="E23" i="197"/>
  <c r="D23" i="197"/>
  <c r="C23" i="197"/>
  <c r="E16" i="197"/>
  <c r="D16" i="197"/>
  <c r="C16" i="197"/>
  <c r="E9" i="197"/>
  <c r="D9" i="197"/>
  <c r="C9" i="197"/>
  <c r="D91" i="197"/>
  <c r="C91" i="197"/>
  <c r="E5" i="3"/>
  <c r="E5" i="133" s="1"/>
  <c r="E5" i="134" s="1"/>
  <c r="E5" i="79"/>
  <c r="E5" i="138" s="1"/>
  <c r="E5" i="137" s="1"/>
  <c r="A29" i="132"/>
  <c r="M9" i="132"/>
  <c r="F9" i="132"/>
  <c r="K9" i="132" s="1"/>
  <c r="G5" i="64"/>
  <c r="F5" i="64"/>
  <c r="G5" i="63"/>
  <c r="E9" i="1"/>
  <c r="E9" i="142" s="1"/>
  <c r="F5" i="63"/>
  <c r="B2" i="138"/>
  <c r="B2" i="137" s="1"/>
  <c r="B2" i="133"/>
  <c r="B2" i="3"/>
  <c r="B2" i="134"/>
  <c r="E7" i="142"/>
  <c r="E7" i="143" s="1"/>
  <c r="E96" i="143" s="1"/>
  <c r="E164" i="143" s="1"/>
  <c r="E152" i="143"/>
  <c r="D152" i="143"/>
  <c r="C152" i="143"/>
  <c r="E147" i="143"/>
  <c r="D147" i="143"/>
  <c r="C147" i="143"/>
  <c r="E140" i="143"/>
  <c r="D140" i="143"/>
  <c r="C140" i="143"/>
  <c r="E136" i="143"/>
  <c r="D136" i="143"/>
  <c r="C136" i="143"/>
  <c r="E121" i="143"/>
  <c r="D121" i="143"/>
  <c r="C121" i="143"/>
  <c r="E100" i="143"/>
  <c r="E135" i="143" s="1"/>
  <c r="D100" i="143"/>
  <c r="C100" i="143"/>
  <c r="C135" i="143" s="1"/>
  <c r="C97" i="143"/>
  <c r="E85" i="143"/>
  <c r="D85" i="143"/>
  <c r="C85" i="143"/>
  <c r="E81" i="143"/>
  <c r="D81" i="143"/>
  <c r="C81" i="143"/>
  <c r="E78" i="143"/>
  <c r="D78" i="143"/>
  <c r="C78" i="143"/>
  <c r="E73" i="143"/>
  <c r="D73" i="143"/>
  <c r="C73" i="143"/>
  <c r="E69" i="143"/>
  <c r="D69" i="143"/>
  <c r="C69" i="143"/>
  <c r="E63" i="143"/>
  <c r="D63" i="143"/>
  <c r="C63" i="143"/>
  <c r="E58" i="143"/>
  <c r="D58" i="143"/>
  <c r="C58" i="143"/>
  <c r="E52" i="143"/>
  <c r="D52" i="143"/>
  <c r="C52" i="143"/>
  <c r="E40" i="143"/>
  <c r="D40" i="143"/>
  <c r="C40" i="143"/>
  <c r="E33" i="143"/>
  <c r="E32" i="143" s="1"/>
  <c r="D33" i="143"/>
  <c r="D32" i="143" s="1"/>
  <c r="C33" i="143"/>
  <c r="C32" i="143" s="1"/>
  <c r="E25" i="143"/>
  <c r="D25" i="143"/>
  <c r="C25" i="143"/>
  <c r="E18" i="143"/>
  <c r="D18" i="143"/>
  <c r="C18" i="143"/>
  <c r="E11" i="143"/>
  <c r="D11" i="143"/>
  <c r="C11" i="143"/>
  <c r="C8" i="143"/>
  <c r="A2" i="143"/>
  <c r="E152" i="142"/>
  <c r="D152" i="142"/>
  <c r="C152" i="142"/>
  <c r="E147" i="142"/>
  <c r="D147" i="142"/>
  <c r="C147" i="142"/>
  <c r="E140" i="142"/>
  <c r="D140" i="142"/>
  <c r="C140" i="142"/>
  <c r="E136" i="142"/>
  <c r="D136" i="142"/>
  <c r="C136" i="142"/>
  <c r="E121" i="142"/>
  <c r="D121" i="142"/>
  <c r="C121" i="142"/>
  <c r="C100" i="142"/>
  <c r="C97" i="142"/>
  <c r="E85" i="142"/>
  <c r="D85" i="142"/>
  <c r="C85" i="142"/>
  <c r="E81" i="142"/>
  <c r="D81" i="142"/>
  <c r="C81" i="142"/>
  <c r="E78" i="142"/>
  <c r="D78" i="142"/>
  <c r="C78" i="142"/>
  <c r="E73" i="142"/>
  <c r="D73" i="142"/>
  <c r="C73" i="142"/>
  <c r="E69" i="142"/>
  <c r="E92" i="142" s="1"/>
  <c r="D69" i="142"/>
  <c r="C69" i="142"/>
  <c r="E63" i="142"/>
  <c r="D63" i="142"/>
  <c r="C63" i="142"/>
  <c r="E58" i="142"/>
  <c r="D58" i="142"/>
  <c r="C58" i="142"/>
  <c r="E52" i="142"/>
  <c r="D52" i="142"/>
  <c r="C52" i="142"/>
  <c r="D40" i="142"/>
  <c r="C40" i="142"/>
  <c r="E32" i="142"/>
  <c r="D32" i="142"/>
  <c r="C32" i="142"/>
  <c r="E25" i="142"/>
  <c r="D25" i="142"/>
  <c r="C25" i="142"/>
  <c r="E18" i="142"/>
  <c r="D18" i="142"/>
  <c r="C18" i="142"/>
  <c r="E11" i="142"/>
  <c r="D11" i="142"/>
  <c r="C11" i="142"/>
  <c r="C8" i="142"/>
  <c r="A2" i="142"/>
  <c r="A2" i="1"/>
  <c r="C24" i="61"/>
  <c r="E96" i="1"/>
  <c r="E164" i="1" s="1"/>
  <c r="E30" i="134"/>
  <c r="E29" i="134" s="1"/>
  <c r="D30" i="134"/>
  <c r="D29" i="134" s="1"/>
  <c r="C30" i="134"/>
  <c r="C29" i="134" s="1"/>
  <c r="E29" i="133"/>
  <c r="D29" i="133"/>
  <c r="C29" i="133"/>
  <c r="E29" i="3"/>
  <c r="D29" i="3"/>
  <c r="C29" i="3"/>
  <c r="D9" i="132"/>
  <c r="J9" i="132" s="1"/>
  <c r="E5" i="63"/>
  <c r="D5" i="63"/>
  <c r="D5" i="64" s="1"/>
  <c r="E52" i="138"/>
  <c r="D52" i="138"/>
  <c r="C52" i="138"/>
  <c r="E46" i="138"/>
  <c r="E58" i="138" s="1"/>
  <c r="D46" i="138"/>
  <c r="C46" i="138"/>
  <c r="C58" i="138" s="1"/>
  <c r="E38" i="138"/>
  <c r="D38" i="138"/>
  <c r="C38" i="138"/>
  <c r="E31" i="138"/>
  <c r="D31" i="138"/>
  <c r="C31" i="138"/>
  <c r="E26" i="138"/>
  <c r="D26" i="138"/>
  <c r="C26" i="138"/>
  <c r="E20" i="138"/>
  <c r="D20" i="138"/>
  <c r="C20" i="138"/>
  <c r="E8" i="138"/>
  <c r="D8" i="138"/>
  <c r="C8" i="138"/>
  <c r="E52" i="137"/>
  <c r="D52" i="137"/>
  <c r="C52" i="137"/>
  <c r="E46" i="137"/>
  <c r="D46" i="137"/>
  <c r="D58" i="137" s="1"/>
  <c r="C46" i="137"/>
  <c r="C58" i="137"/>
  <c r="E38" i="137"/>
  <c r="D38" i="137"/>
  <c r="C38" i="137"/>
  <c r="E31" i="137"/>
  <c r="D31" i="137"/>
  <c r="C31" i="137"/>
  <c r="E26" i="137"/>
  <c r="D26" i="137"/>
  <c r="C26" i="137"/>
  <c r="E20" i="137"/>
  <c r="D20" i="137"/>
  <c r="C20" i="137"/>
  <c r="E8" i="137"/>
  <c r="D8" i="137"/>
  <c r="D37" i="137" s="1"/>
  <c r="D42" i="137" s="1"/>
  <c r="D59" i="137" s="1"/>
  <c r="C8" i="137"/>
  <c r="D46" i="79"/>
  <c r="E46" i="79"/>
  <c r="D52" i="79"/>
  <c r="E52" i="79"/>
  <c r="D8" i="79"/>
  <c r="E8" i="79"/>
  <c r="D20" i="79"/>
  <c r="E20" i="79"/>
  <c r="D26" i="79"/>
  <c r="E26" i="79"/>
  <c r="D31" i="79"/>
  <c r="E31" i="79"/>
  <c r="D38" i="79"/>
  <c r="E38" i="79"/>
  <c r="E146" i="134"/>
  <c r="D146" i="134"/>
  <c r="C146" i="134"/>
  <c r="E140" i="134"/>
  <c r="D140" i="134"/>
  <c r="D154" i="134" s="1"/>
  <c r="C140" i="134"/>
  <c r="E133" i="134"/>
  <c r="D133" i="134"/>
  <c r="C133" i="134"/>
  <c r="E129" i="134"/>
  <c r="D129" i="134"/>
  <c r="C129" i="134"/>
  <c r="E114" i="134"/>
  <c r="D114" i="134"/>
  <c r="C114" i="134"/>
  <c r="C128" i="134" s="1"/>
  <c r="E93" i="134"/>
  <c r="D93" i="134"/>
  <c r="D128" i="134" s="1"/>
  <c r="D155" i="134" s="1"/>
  <c r="C93" i="134"/>
  <c r="E82" i="134"/>
  <c r="D82" i="134"/>
  <c r="C82" i="134"/>
  <c r="E78" i="134"/>
  <c r="D78" i="134"/>
  <c r="C78" i="134"/>
  <c r="E75" i="134"/>
  <c r="E89" i="134" s="1"/>
  <c r="D75" i="134"/>
  <c r="C75" i="134"/>
  <c r="E70" i="134"/>
  <c r="D70" i="134"/>
  <c r="D89" i="134" s="1"/>
  <c r="C70" i="134"/>
  <c r="E66" i="134"/>
  <c r="D66" i="134"/>
  <c r="C66" i="134"/>
  <c r="C89" i="134" s="1"/>
  <c r="E60" i="134"/>
  <c r="D60" i="134"/>
  <c r="C60" i="134"/>
  <c r="E55" i="134"/>
  <c r="D55" i="134"/>
  <c r="C55" i="134"/>
  <c r="E49" i="134"/>
  <c r="D49" i="134"/>
  <c r="C49" i="134"/>
  <c r="E37" i="134"/>
  <c r="D37" i="134"/>
  <c r="C37" i="134"/>
  <c r="E22" i="134"/>
  <c r="D22" i="134"/>
  <c r="C22" i="134"/>
  <c r="E15" i="134"/>
  <c r="D15" i="134"/>
  <c r="C15" i="134"/>
  <c r="E8" i="134"/>
  <c r="D8" i="134"/>
  <c r="C8" i="134"/>
  <c r="E146" i="133"/>
  <c r="D146" i="133"/>
  <c r="C146" i="133"/>
  <c r="E140" i="133"/>
  <c r="D140" i="133"/>
  <c r="C140" i="133"/>
  <c r="E133" i="133"/>
  <c r="E154" i="133" s="1"/>
  <c r="D133" i="133"/>
  <c r="C133" i="133"/>
  <c r="E129" i="133"/>
  <c r="D129" i="133"/>
  <c r="D154" i="133" s="1"/>
  <c r="C129" i="133"/>
  <c r="E114" i="133"/>
  <c r="D114" i="133"/>
  <c r="C114" i="133"/>
  <c r="E93" i="133"/>
  <c r="E128" i="133" s="1"/>
  <c r="D93" i="133"/>
  <c r="D128" i="133" s="1"/>
  <c r="C93" i="133"/>
  <c r="C128" i="133" s="1"/>
  <c r="E82" i="133"/>
  <c r="D82" i="133"/>
  <c r="C82" i="133"/>
  <c r="E78" i="133"/>
  <c r="D78" i="133"/>
  <c r="C78" i="133"/>
  <c r="E75" i="133"/>
  <c r="D75" i="133"/>
  <c r="C75" i="133"/>
  <c r="E70" i="133"/>
  <c r="D70" i="133"/>
  <c r="C70" i="133"/>
  <c r="E66" i="133"/>
  <c r="D66" i="133"/>
  <c r="C66" i="133"/>
  <c r="E60" i="133"/>
  <c r="D60" i="133"/>
  <c r="C60" i="133"/>
  <c r="E55" i="133"/>
  <c r="D55" i="133"/>
  <c r="C55" i="133"/>
  <c r="E49" i="133"/>
  <c r="D49" i="133"/>
  <c r="C49" i="133"/>
  <c r="E37" i="133"/>
  <c r="D37" i="133"/>
  <c r="C37" i="133"/>
  <c r="E22" i="133"/>
  <c r="E65" i="133" s="1"/>
  <c r="D22" i="133"/>
  <c r="C22" i="133"/>
  <c r="E15" i="133"/>
  <c r="D15" i="133"/>
  <c r="C15" i="133"/>
  <c r="E8" i="133"/>
  <c r="D8" i="133"/>
  <c r="C8" i="133"/>
  <c r="C65" i="133" s="1"/>
  <c r="D93" i="3"/>
  <c r="D128" i="3" s="1"/>
  <c r="E93" i="3"/>
  <c r="D114" i="3"/>
  <c r="E114" i="3"/>
  <c r="E128" i="3" s="1"/>
  <c r="D129" i="3"/>
  <c r="E129" i="3"/>
  <c r="D133" i="3"/>
  <c r="E133" i="3"/>
  <c r="D140" i="3"/>
  <c r="E140" i="3"/>
  <c r="D146" i="3"/>
  <c r="E146" i="3"/>
  <c r="D8" i="3"/>
  <c r="E8" i="3"/>
  <c r="D15" i="3"/>
  <c r="E15" i="3"/>
  <c r="D22" i="3"/>
  <c r="E22" i="3"/>
  <c r="D37" i="3"/>
  <c r="E37" i="3"/>
  <c r="D49" i="3"/>
  <c r="E49" i="3"/>
  <c r="D55" i="3"/>
  <c r="E55" i="3"/>
  <c r="D60" i="3"/>
  <c r="E60" i="3"/>
  <c r="D66" i="3"/>
  <c r="E66" i="3"/>
  <c r="D70" i="3"/>
  <c r="E70" i="3"/>
  <c r="D75" i="3"/>
  <c r="E75" i="3"/>
  <c r="D78" i="3"/>
  <c r="E78" i="3"/>
  <c r="D82" i="3"/>
  <c r="E82" i="3"/>
  <c r="H9" i="132"/>
  <c r="M34" i="132"/>
  <c r="L34" i="132"/>
  <c r="K34" i="132"/>
  <c r="K26" i="132"/>
  <c r="J26" i="132"/>
  <c r="I26" i="132"/>
  <c r="H26" i="132"/>
  <c r="G26" i="132"/>
  <c r="F26" i="132"/>
  <c r="E26" i="132"/>
  <c r="D26" i="132"/>
  <c r="C26" i="132"/>
  <c r="M26" i="132" s="1"/>
  <c r="B26" i="132"/>
  <c r="M25" i="132"/>
  <c r="L25" i="132"/>
  <c r="M24" i="132"/>
  <c r="L24" i="132"/>
  <c r="M23" i="132"/>
  <c r="L23" i="132"/>
  <c r="M22" i="132"/>
  <c r="L22" i="132"/>
  <c r="M21" i="132"/>
  <c r="L21" i="132"/>
  <c r="K18" i="132"/>
  <c r="J18" i="132"/>
  <c r="I18" i="132"/>
  <c r="H18" i="132"/>
  <c r="G18" i="132"/>
  <c r="F18" i="132"/>
  <c r="E18" i="132"/>
  <c r="D18" i="132"/>
  <c r="C18" i="132"/>
  <c r="M18" i="132" s="1"/>
  <c r="B18" i="132"/>
  <c r="M17" i="132"/>
  <c r="L17" i="132"/>
  <c r="M16" i="132"/>
  <c r="L16" i="132"/>
  <c r="M15" i="132"/>
  <c r="L15" i="132"/>
  <c r="M14" i="132"/>
  <c r="L14" i="132"/>
  <c r="M13" i="132"/>
  <c r="L13" i="132"/>
  <c r="M12" i="132"/>
  <c r="L12" i="132"/>
  <c r="L11" i="132"/>
  <c r="L18" i="132" s="1"/>
  <c r="M11" i="132"/>
  <c r="E5" i="64"/>
  <c r="A4" i="76"/>
  <c r="A34" i="76"/>
  <c r="A31" i="75"/>
  <c r="A28" i="76" s="1"/>
  <c r="A25" i="75"/>
  <c r="A22" i="76"/>
  <c r="A13" i="75"/>
  <c r="A10" i="76" s="1"/>
  <c r="D18" i="61"/>
  <c r="D30" i="61" s="1"/>
  <c r="E18" i="61"/>
  <c r="D24" i="61"/>
  <c r="E24" i="61"/>
  <c r="H29" i="73"/>
  <c r="I29" i="73"/>
  <c r="D121" i="1"/>
  <c r="D136" i="1"/>
  <c r="E136" i="1"/>
  <c r="D140" i="1"/>
  <c r="E140" i="1"/>
  <c r="D147" i="1"/>
  <c r="D160" i="1"/>
  <c r="B31" i="76" s="1"/>
  <c r="E147" i="1"/>
  <c r="D152" i="1"/>
  <c r="E152" i="1"/>
  <c r="C97" i="1"/>
  <c r="D11" i="1"/>
  <c r="E11" i="1"/>
  <c r="E6" i="73" s="1"/>
  <c r="D18" i="1"/>
  <c r="D7" i="73" s="1"/>
  <c r="E18" i="1"/>
  <c r="E7" i="73"/>
  <c r="D25" i="1"/>
  <c r="D6" i="61" s="1"/>
  <c r="D17" i="61" s="1"/>
  <c r="E25" i="1"/>
  <c r="E6" i="61" s="1"/>
  <c r="E17" i="61" s="1"/>
  <c r="E32" i="1"/>
  <c r="D52" i="1"/>
  <c r="E52" i="1"/>
  <c r="D58" i="1"/>
  <c r="D11" i="73" s="1"/>
  <c r="E58" i="1"/>
  <c r="E11" i="73" s="1"/>
  <c r="D63" i="1"/>
  <c r="E63" i="1"/>
  <c r="D69" i="1"/>
  <c r="E69" i="1"/>
  <c r="D73" i="1"/>
  <c r="E73" i="1"/>
  <c r="D78" i="1"/>
  <c r="D20" i="73" s="1"/>
  <c r="D19" i="73" s="1"/>
  <c r="D29" i="73" s="1"/>
  <c r="E78" i="1"/>
  <c r="E20" i="73" s="1"/>
  <c r="E19" i="73" s="1"/>
  <c r="E29" i="73" s="1"/>
  <c r="D81" i="1"/>
  <c r="E81" i="1"/>
  <c r="D85" i="1"/>
  <c r="E85" i="1"/>
  <c r="C8" i="1"/>
  <c r="D4" i="61"/>
  <c r="H4" i="61" s="1"/>
  <c r="C140" i="3"/>
  <c r="C26" i="79"/>
  <c r="C146" i="3"/>
  <c r="C133" i="3"/>
  <c r="C93" i="3"/>
  <c r="G29" i="73"/>
  <c r="C152" i="1"/>
  <c r="C140" i="1"/>
  <c r="C52" i="79"/>
  <c r="C38" i="79"/>
  <c r="C31" i="79"/>
  <c r="C20" i="79"/>
  <c r="C129" i="3"/>
  <c r="C114" i="3"/>
  <c r="C128" i="3" s="1"/>
  <c r="C82" i="3"/>
  <c r="C78" i="3"/>
  <c r="C75" i="3"/>
  <c r="C70" i="3"/>
  <c r="C66" i="3"/>
  <c r="C60" i="3"/>
  <c r="C55" i="3"/>
  <c r="C49" i="3"/>
  <c r="C37" i="3"/>
  <c r="C22" i="3"/>
  <c r="C65" i="3" s="1"/>
  <c r="C15" i="3"/>
  <c r="C8" i="3"/>
  <c r="C147" i="1"/>
  <c r="C136" i="1"/>
  <c r="C160" i="1" s="1"/>
  <c r="B25" i="76" s="1"/>
  <c r="C121" i="1"/>
  <c r="C85" i="1"/>
  <c r="C81" i="1"/>
  <c r="C73" i="1"/>
  <c r="C69" i="1"/>
  <c r="C63" i="1"/>
  <c r="C58" i="1"/>
  <c r="C52" i="1"/>
  <c r="C40" i="1"/>
  <c r="C10" i="73" s="1"/>
  <c r="C25" i="1"/>
  <c r="C6" i="61" s="1"/>
  <c r="C17" i="61" s="1"/>
  <c r="C18" i="1"/>
  <c r="C7" i="73" s="1"/>
  <c r="C11" i="1"/>
  <c r="C6" i="73" s="1"/>
  <c r="G30" i="61"/>
  <c r="D25" i="76" s="1"/>
  <c r="C18" i="61"/>
  <c r="C30" i="61" s="1"/>
  <c r="C46" i="79"/>
  <c r="C58" i="79" s="1"/>
  <c r="C8" i="79"/>
  <c r="G11" i="64"/>
  <c r="G12" i="64"/>
  <c r="G13" i="64"/>
  <c r="G14" i="64"/>
  <c r="G15" i="64"/>
  <c r="G16" i="64"/>
  <c r="G17" i="64"/>
  <c r="G18" i="64"/>
  <c r="G19" i="64"/>
  <c r="G20" i="64"/>
  <c r="G21" i="64"/>
  <c r="G22" i="64"/>
  <c r="G23" i="64"/>
  <c r="G24" i="64"/>
  <c r="G25" i="64"/>
  <c r="B26" i="64"/>
  <c r="D26" i="64"/>
  <c r="F26" i="64"/>
  <c r="G9" i="63"/>
  <c r="G10" i="63"/>
  <c r="G11" i="63"/>
  <c r="G12" i="63"/>
  <c r="G13" i="63"/>
  <c r="G14" i="63"/>
  <c r="G15" i="63"/>
  <c r="G16" i="63"/>
  <c r="G17" i="63"/>
  <c r="G18" i="63"/>
  <c r="G19" i="63"/>
  <c r="G20" i="63"/>
  <c r="G21" i="63"/>
  <c r="G22" i="63"/>
  <c r="G23" i="63"/>
  <c r="G24" i="63"/>
  <c r="B25" i="63"/>
  <c r="D25" i="63"/>
  <c r="F25" i="63"/>
  <c r="C154" i="133"/>
  <c r="E89" i="3"/>
  <c r="C37" i="138"/>
  <c r="C42" i="138" s="1"/>
  <c r="C37" i="137"/>
  <c r="C42" i="137" s="1"/>
  <c r="C59" i="137" s="1"/>
  <c r="C160" i="143"/>
  <c r="C11" i="203"/>
  <c r="C54" i="203" s="1"/>
  <c r="C71" i="203" s="1"/>
  <c r="I2" i="73"/>
  <c r="I2" i="61" s="1"/>
  <c r="G4" i="63" s="1"/>
  <c r="G4" i="64" s="1"/>
  <c r="E4" i="73"/>
  <c r="I4" i="73" s="1"/>
  <c r="C28" i="209"/>
  <c r="C27" i="209"/>
  <c r="C33" i="209"/>
  <c r="C32" i="209"/>
  <c r="C22" i="209"/>
  <c r="C30" i="209"/>
  <c r="C25" i="209"/>
  <c r="C12" i="209"/>
  <c r="C31" i="209"/>
  <c r="C29" i="209"/>
  <c r="C26" i="209"/>
  <c r="C24" i="209"/>
  <c r="E4" i="79"/>
  <c r="E4" i="138" s="1"/>
  <c r="E4" i="137" s="1"/>
  <c r="C89" i="3"/>
  <c r="E5" i="197"/>
  <c r="E90" i="197"/>
  <c r="C100" i="1"/>
  <c r="C135" i="1" s="1"/>
  <c r="D65" i="133"/>
  <c r="D89" i="3"/>
  <c r="E65" i="3"/>
  <c r="E90" i="3" s="1"/>
  <c r="D4" i="73"/>
  <c r="H4" i="73" s="1"/>
  <c r="C4" i="73"/>
  <c r="G4" i="73" s="1"/>
  <c r="C4" i="61"/>
  <c r="G4" i="61" s="1"/>
  <c r="D68" i="142"/>
  <c r="E6" i="202"/>
  <c r="B6" i="204" s="1"/>
  <c r="C39" i="209"/>
  <c r="C37" i="209"/>
  <c r="C40" i="209"/>
  <c r="C38" i="209"/>
  <c r="D100" i="1"/>
  <c r="D135" i="1" s="1"/>
  <c r="E121" i="1"/>
  <c r="C68" i="1"/>
  <c r="B6" i="76" s="1"/>
  <c r="D6" i="73"/>
  <c r="C18" i="209"/>
  <c r="C36" i="209"/>
  <c r="C44" i="209"/>
  <c r="C15" i="209"/>
  <c r="C17" i="209"/>
  <c r="C11" i="209"/>
  <c r="C8" i="209"/>
  <c r="C45" i="209"/>
  <c r="C14" i="209"/>
  <c r="C19" i="209"/>
  <c r="C21" i="209"/>
  <c r="C35" i="209"/>
  <c r="C41" i="209"/>
  <c r="C9" i="209"/>
  <c r="C16" i="209"/>
  <c r="C42" i="209"/>
  <c r="C43" i="209"/>
  <c r="C7" i="209"/>
  <c r="C13" i="209"/>
  <c r="C23" i="209"/>
  <c r="C10" i="209"/>
  <c r="C20" i="209"/>
  <c r="C46" i="209"/>
  <c r="C34" i="209"/>
  <c r="D65" i="3" l="1"/>
  <c r="D90" i="3" s="1"/>
  <c r="E65" i="134"/>
  <c r="E128" i="134"/>
  <c r="C154" i="134"/>
  <c r="E37" i="79"/>
  <c r="E42" i="79" s="1"/>
  <c r="E58" i="79"/>
  <c r="E37" i="137"/>
  <c r="E42" i="137" s="1"/>
  <c r="E58" i="137"/>
  <c r="D58" i="138"/>
  <c r="E68" i="142"/>
  <c r="C68" i="143"/>
  <c r="D92" i="143"/>
  <c r="D135" i="143"/>
  <c r="E64" i="197"/>
  <c r="E88" i="197" s="1"/>
  <c r="E147" i="197"/>
  <c r="C147" i="197"/>
  <c r="D11" i="203"/>
  <c r="D37" i="203"/>
  <c r="C23" i="204"/>
  <c r="G25" i="63"/>
  <c r="C92" i="1"/>
  <c r="C154" i="3"/>
  <c r="C155" i="3" s="1"/>
  <c r="E68" i="1"/>
  <c r="E30" i="61"/>
  <c r="L26" i="132"/>
  <c r="D89" i="133"/>
  <c r="E89" i="133"/>
  <c r="C89" i="133"/>
  <c r="C155" i="134"/>
  <c r="D37" i="79"/>
  <c r="D42" i="79" s="1"/>
  <c r="D58" i="79"/>
  <c r="D37" i="138"/>
  <c r="D42" i="138" s="1"/>
  <c r="D59" i="138" s="1"/>
  <c r="E37" i="138"/>
  <c r="E42" i="138" s="1"/>
  <c r="C92" i="142"/>
  <c r="C166" i="142" s="1"/>
  <c r="C135" i="142"/>
  <c r="C160" i="142"/>
  <c r="E92" i="143"/>
  <c r="C64" i="197"/>
  <c r="C88" i="197" s="1"/>
  <c r="D64" i="197"/>
  <c r="C87" i="197"/>
  <c r="D87" i="197"/>
  <c r="D127" i="197"/>
  <c r="E127" i="197"/>
  <c r="E148" i="197" s="1"/>
  <c r="E100" i="1"/>
  <c r="E135" i="1" s="1"/>
  <c r="D100" i="142"/>
  <c r="D135" i="142" s="1"/>
  <c r="D165" i="142" s="1"/>
  <c r="D37" i="76"/>
  <c r="C90" i="3"/>
  <c r="D92" i="1"/>
  <c r="D154" i="3"/>
  <c r="C65" i="134"/>
  <c r="E154" i="134"/>
  <c r="C68" i="142"/>
  <c r="D92" i="142"/>
  <c r="D160" i="142"/>
  <c r="E160" i="142"/>
  <c r="E68" i="143"/>
  <c r="C92" i="143"/>
  <c r="C166" i="143" s="1"/>
  <c r="D160" i="143"/>
  <c r="E160" i="143"/>
  <c r="E100" i="142"/>
  <c r="E135" i="142" s="1"/>
  <c r="D31" i="76"/>
  <c r="G26" i="64"/>
  <c r="C127" i="197"/>
  <c r="C148" i="197" s="1"/>
  <c r="D18" i="73"/>
  <c r="D12" i="76" s="1"/>
  <c r="C5" i="203"/>
  <c r="C18" i="73"/>
  <c r="D6" i="76" s="1"/>
  <c r="C37" i="79"/>
  <c r="C42" i="79" s="1"/>
  <c r="C59" i="79" s="1"/>
  <c r="E92" i="1"/>
  <c r="E160" i="1"/>
  <c r="B37" i="76" s="1"/>
  <c r="E37" i="76" s="1"/>
  <c r="E154" i="3"/>
  <c r="C90" i="133"/>
  <c r="E90" i="133"/>
  <c r="C155" i="133"/>
  <c r="D65" i="134"/>
  <c r="E166" i="142"/>
  <c r="C161" i="143"/>
  <c r="D147" i="197"/>
  <c r="D148" i="197" s="1"/>
  <c r="E11" i="203"/>
  <c r="E54" i="203" s="1"/>
  <c r="E71" i="203" s="1"/>
  <c r="D42" i="205"/>
  <c r="G31" i="61"/>
  <c r="B19" i="76"/>
  <c r="D93" i="142"/>
  <c r="D166" i="142"/>
  <c r="B36" i="76"/>
  <c r="D90" i="134"/>
  <c r="D156" i="134" s="1"/>
  <c r="C90" i="134"/>
  <c r="C156" i="134" s="1"/>
  <c r="E31" i="76"/>
  <c r="E166" i="143"/>
  <c r="E161" i="143"/>
  <c r="D7" i="76"/>
  <c r="E7" i="76" s="1"/>
  <c r="D161" i="142"/>
  <c r="E31" i="61"/>
  <c r="D161" i="1"/>
  <c r="B32" i="76" s="1"/>
  <c r="B30" i="76"/>
  <c r="D166" i="1"/>
  <c r="B13" i="76"/>
  <c r="C93" i="142"/>
  <c r="C165" i="142"/>
  <c r="E93" i="143"/>
  <c r="E165" i="143"/>
  <c r="C161" i="1"/>
  <c r="B26" i="76" s="1"/>
  <c r="B24" i="76"/>
  <c r="C166" i="1"/>
  <c r="B7" i="76"/>
  <c r="C93" i="1"/>
  <c r="B8" i="76" s="1"/>
  <c r="E165" i="1"/>
  <c r="E93" i="1"/>
  <c r="B20" i="76" s="1"/>
  <c r="B18" i="76"/>
  <c r="E93" i="142"/>
  <c r="E165" i="142"/>
  <c r="C165" i="143"/>
  <c r="C93" i="143"/>
  <c r="E155" i="3"/>
  <c r="D155" i="3"/>
  <c r="E155" i="133"/>
  <c r="G18" i="73"/>
  <c r="E161" i="142"/>
  <c r="D90" i="133"/>
  <c r="D156" i="133" s="1"/>
  <c r="C59" i="138"/>
  <c r="C32" i="61"/>
  <c r="D19" i="76"/>
  <c r="E19" i="76" s="1"/>
  <c r="D156" i="3"/>
  <c r="D155" i="133"/>
  <c r="E90" i="134"/>
  <c r="E155" i="134"/>
  <c r="D68" i="143"/>
  <c r="D166" i="143"/>
  <c r="D161" i="143"/>
  <c r="H18" i="73"/>
  <c r="H30" i="73" s="1"/>
  <c r="H31" i="61"/>
  <c r="E25" i="76"/>
  <c r="D68" i="1"/>
  <c r="E9" i="73"/>
  <c r="E18" i="73" s="1"/>
  <c r="I6" i="73"/>
  <c r="I18" i="73" s="1"/>
  <c r="C165" i="1"/>
  <c r="D30" i="73"/>
  <c r="D13" i="76"/>
  <c r="E13" i="76" s="1"/>
  <c r="E6" i="76"/>
  <c r="E4" i="3"/>
  <c r="E4" i="133" s="1"/>
  <c r="E4" i="134" s="1"/>
  <c r="L5" i="132"/>
  <c r="L30" i="132" s="1"/>
  <c r="I32" i="61"/>
  <c r="E32" i="61"/>
  <c r="I31" i="61"/>
  <c r="E33" i="61" s="1"/>
  <c r="D32" i="61"/>
  <c r="H32" i="61"/>
  <c r="D31" i="61"/>
  <c r="E9" i="143"/>
  <c r="E98" i="143" s="1"/>
  <c r="E98" i="142"/>
  <c r="G30" i="73"/>
  <c r="D26" i="76" s="1"/>
  <c r="E26" i="76" s="1"/>
  <c r="D24" i="76"/>
  <c r="G31" i="73"/>
  <c r="D36" i="76"/>
  <c r="E36" i="76" s="1"/>
  <c r="E96" i="142"/>
  <c r="E164" i="142" s="1"/>
  <c r="E4" i="61"/>
  <c r="I4" i="61" s="1"/>
  <c r="C31" i="73"/>
  <c r="G32" i="61"/>
  <c r="C30" i="73"/>
  <c r="E98" i="1"/>
  <c r="I30" i="73"/>
  <c r="D38" i="76" s="1"/>
  <c r="C31" i="61"/>
  <c r="E161" i="1" l="1"/>
  <c r="B38" i="76" s="1"/>
  <c r="E38" i="76" s="1"/>
  <c r="E166" i="1"/>
  <c r="D59" i="79"/>
  <c r="D32" i="76"/>
  <c r="E32" i="76" s="1"/>
  <c r="D54" i="203"/>
  <c r="D71" i="203" s="1"/>
  <c r="C156" i="133"/>
  <c r="C156" i="3"/>
  <c r="D88" i="197"/>
  <c r="C161" i="142"/>
  <c r="E30" i="73"/>
  <c r="D20" i="76" s="1"/>
  <c r="E20" i="76" s="1"/>
  <c r="I31" i="73"/>
  <c r="E31" i="73"/>
  <c r="D18" i="76"/>
  <c r="E18" i="76" s="1"/>
  <c r="D93" i="143"/>
  <c r="D165" i="143"/>
  <c r="D93" i="1"/>
  <c r="B14" i="76" s="1"/>
  <c r="D165" i="1"/>
  <c r="B12" i="76"/>
  <c r="E12" i="76" s="1"/>
  <c r="E24" i="76"/>
  <c r="D30" i="76"/>
  <c r="E30" i="76" s="1"/>
  <c r="D31" i="73"/>
  <c r="H31" i="73"/>
  <c r="H32" i="73"/>
  <c r="D14" i="76"/>
  <c r="D32" i="73"/>
  <c r="C33" i="61"/>
  <c r="G33" i="61"/>
  <c r="C32" i="73"/>
  <c r="D8" i="76"/>
  <c r="E8" i="76" s="1"/>
  <c r="G32" i="73"/>
  <c r="H33" i="61"/>
  <c r="D33" i="61"/>
  <c r="I33" i="61"/>
  <c r="I32" i="73"/>
  <c r="E32" i="73"/>
  <c r="E14" i="76" l="1"/>
</calcChain>
</file>

<file path=xl/sharedStrings.xml><?xml version="1.0" encoding="utf-8"?>
<sst xmlns="http://schemas.openxmlformats.org/spreadsheetml/2006/main" count="3352" uniqueCount="847">
  <si>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</si>
  <si>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</si>
  <si>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</si>
  <si>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</si>
  <si>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</si>
  <si>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</si>
  <si>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</si>
  <si>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</si>
  <si>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</si>
  <si>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</si>
  <si>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</si>
  <si>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</si>
  <si>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</si>
  <si>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</si>
  <si>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</si>
  <si>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</si>
  <si>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</si>
  <si>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</si>
  <si>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</si>
  <si>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</si>
  <si>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</si>
  <si>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</si>
  <si>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</si>
  <si>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</si>
  <si>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</si>
  <si>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</si>
  <si>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</si>
  <si>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</si>
  <si>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</si>
  <si>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</si>
  <si>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</si>
  <si>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</si>
  <si>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</si>
  <si>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</si>
  <si>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</si>
  <si>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</si>
  <si>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</si>
  <si>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</si>
  <si>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</si>
  <si>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</si>
  <si>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</si>
  <si>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</si>
  <si>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</si>
  <si>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</si>
  <si>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</si>
  <si>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</si>
  <si>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</si>
  <si>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</si>
  <si>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</si>
  <si>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</si>
  <si>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</si>
  <si>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</si>
  <si>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</si>
  <si>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</si>
  <si>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</si>
  <si>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</si>
  <si>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</si>
  <si>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</si>
  <si>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</si>
  <si>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</si>
  <si>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</si>
  <si>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</si>
  <si>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</si>
  <si>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</si>
  <si>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</si>
  <si>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</si>
  <si>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</si>
  <si>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</si>
  <si>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</si>
  <si>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</si>
  <si>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</si>
  <si>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</si>
  <si>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</si>
  <si>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</si>
  <si>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</si>
  <si>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</si>
  <si>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</si>
  <si>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</si>
  <si>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</si>
  <si>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</si>
  <si>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</si>
  <si>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</si>
  <si>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</si>
  <si>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</si>
  <si>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</si>
  <si>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</si>
  <si>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</si>
  <si>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</si>
  <si>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</si>
  <si>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</si>
  <si>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</si>
  <si>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</si>
  <si>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</si>
  <si>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</si>
  <si>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</si>
  <si>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</si>
  <si>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</si>
  <si>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</si>
  <si>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</si>
  <si>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</si>
  <si>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</si>
  <si>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</si>
  <si>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</si>
  <si>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</si>
  <si>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</si>
  <si>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</si>
  <si>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</si>
  <si>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</si>
  <si>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</si>
  <si>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</si>
  <si>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</si>
  <si>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</si>
  <si>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</si>
  <si>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</si>
  <si>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</si>
  <si>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</si>
  <si>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</si>
  <si>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</si>
  <si>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</si>
  <si>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</si>
  <si>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</si>
  <si>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</si>
  <si>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</si>
  <si>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</si>
  <si>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</si>
  <si>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</si>
  <si>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</si>
  <si>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</si>
  <si>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</si>
  <si>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</si>
  <si>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</si>
  <si>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</si>
  <si>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</si>
  <si>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</si>
  <si>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</si>
  <si>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</si>
  <si>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</si>
  <si>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</si>
  <si>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</si>
  <si>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</si>
  <si>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</si>
  <si>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</si>
  <si>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</si>
  <si>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</si>
  <si>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</si>
  <si>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</si>
  <si>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</si>
  <si>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</si>
  <si>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</si>
  <si>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</si>
  <si>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</si>
  <si>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</si>
  <si>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</si>
  <si>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</si>
  <si>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</si>
  <si>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</si>
  <si>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</si>
  <si>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</si>
  <si>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</si>
  <si>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</si>
  <si>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</si>
  <si>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</si>
  <si>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</si>
  <si>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</si>
  <si>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</si>
  <si>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</si>
  <si>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</si>
  <si>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</si>
  <si>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</si>
  <si>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</si>
  <si>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</si>
  <si>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</si>
  <si>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</si>
  <si>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</si>
  <si>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</si>
  <si>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</si>
  <si>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</si>
  <si>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</si>
  <si>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</si>
  <si>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</si>
  <si>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</si>
  <si>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</si>
  <si>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</si>
  <si>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</si>
  <si>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</si>
  <si>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</si>
  <si>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</si>
  <si>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</si>
  <si>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</si>
  <si>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</si>
  <si>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</si>
  <si>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</si>
  <si>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</si>
  <si>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</si>
  <si>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</si>
  <si>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</si>
  <si>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</si>
  <si>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</si>
  <si>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</si>
  <si>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</si>
  <si>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</si>
  <si>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</si>
  <si>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</si>
  <si>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</si>
  <si>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</si>
  <si>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</si>
  <si>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</si>
  <si>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</si>
  <si>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</si>
  <si>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</si>
  <si>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</si>
  <si>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</si>
  <si>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</si>
  <si>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</si>
  <si>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</si>
  <si>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</si>
  <si>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</si>
  <si>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</si>
  <si>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</si>
  <si>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</si>
  <si>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</si>
  <si>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</si>
  <si>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</si>
  <si>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</si>
  <si>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</si>
  <si>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</si>
  <si>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</si>
  <si>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</si>
  <si>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</si>
  <si>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</si>
  <si>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</si>
  <si>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</si>
  <si>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</si>
  <si>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</si>
  <si>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</si>
  <si>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</si>
  <si>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</si>
  <si>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</si>
  <si>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</si>
  <si>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</si>
  <si>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</si>
  <si>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</si>
  <si>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</si>
  <si>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</si>
  <si>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</si>
  <si>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</si>
  <si>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</si>
  <si>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</si>
  <si>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</si>
  <si>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</si>
  <si>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</si>
  <si>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</si>
  <si>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</si>
  <si>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</si>
  <si>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</si>
  <si>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</si>
  <si>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</si>
  <si>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</si>
  <si>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</si>
  <si>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</si>
  <si>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</si>
  <si>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</si>
  <si>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</si>
  <si>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</si>
  <si>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</si>
  <si>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</si>
  <si>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</si>
  <si>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</si>
  <si>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</si>
  <si>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</si>
  <si>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</si>
  <si>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</si>
  <si>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</si>
  <si>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</si>
  <si>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</si>
  <si>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</si>
  <si>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</si>
  <si>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</si>
  <si>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</si>
  <si>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</si>
  <si>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</si>
  <si>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</si>
  <si>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</si>
  <si>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Értékpapírok bevételei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</si>
  <si>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</si>
  <si>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</si>
  <si>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</si>
  <si>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</si>
  <si>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</si>
  <si>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</si>
  <si>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</si>
  <si>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</si>
  <si>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</si>
  <si>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</si>
  <si>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</si>
  <si>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</si>
  <si>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</si>
  <si>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</si>
  <si>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</si>
  <si>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</si>
  <si>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</si>
  <si>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</si>
  <si>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</si>
  <si>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</si>
  <si>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</si>
  <si>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</si>
  <si>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</si>
  <si>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</si>
  <si>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</si>
  <si>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</si>
  <si>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</si>
  <si>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</si>
  <si>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</si>
  <si>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</si>
  <si>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</si>
  <si>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</si>
  <si>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</si>
  <si>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</si>
  <si>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</si>
  <si>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</si>
  <si>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</si>
  <si>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</si>
  <si>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</si>
  <si>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</si>
  <si>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</si>
  <si>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</si>
  <si>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</si>
  <si>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</si>
  <si>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</si>
  <si>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</si>
  <si>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</si>
  <si>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</si>
  <si>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</si>
  <si>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</si>
  <si>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</si>
  <si>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</si>
  <si>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</si>
  <si>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</si>
  <si>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</si>
  <si>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</si>
  <si>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</si>
  <si>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</si>
  <si>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</si>
  <si>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</si>
  <si>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</si>
  <si>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</si>
  <si>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</si>
  <si>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</si>
  <si>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</si>
  <si>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</si>
  <si>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</si>
  <si>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</si>
  <si>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</si>
  <si>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</si>
  <si>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</si>
  <si>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</si>
  <si>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</si>
  <si>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</si>
  <si>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</si>
  <si>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</si>
  <si>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</si>
  <si>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</si>
  <si>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</si>
  <si>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</si>
  <si>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</si>
  <si>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</si>
  <si>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</si>
  <si>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</si>
  <si>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</si>
  <si>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</si>
  <si>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</si>
  <si>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</si>
  <si>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</si>
  <si>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</si>
  <si>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</si>
  <si>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</si>
  <si>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</si>
  <si>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</si>
  <si>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</si>
  <si>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</si>
  <si>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</si>
  <si>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</si>
  <si>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BEVÉTEL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</si>
  <si>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</si>
  <si>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</si>
  <si>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</si>
  <si>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</si>
  <si>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</si>
  <si>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</si>
  <si>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</si>
  <si>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</si>
  <si>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</si>
  <si>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</si>
  <si>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</si>
  <si>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</si>
  <si>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</si>
  <si>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</si>
  <si>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</si>
  <si>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</si>
  <si>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</si>
  <si>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</si>
  <si>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</si>
  <si>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</si>
  <si>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</si>
  <si>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</si>
  <si>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</si>
  <si>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</si>
  <si>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</si>
  <si>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</si>
  <si>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</si>
  <si>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Központi, irányító szervi támogatás</t>
  </si>
  <si>
    <t>Belföldi finanszírozás kiadásai (6.1. + … + 6.5.)</t>
  </si>
  <si>
    <t>Eredeti
előirányzat</t>
  </si>
  <si>
    <t>Módosított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</si>
  <si>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</si>
  <si>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</si>
  <si>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</si>
  <si>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</si>
  <si>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</si>
  <si>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</si>
  <si>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</si>
  <si>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</si>
  <si>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</si>
  <si>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</si>
  <si>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</si>
  <si>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</si>
  <si>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</si>
  <si>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</si>
  <si>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</si>
  <si>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</si>
  <si>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</si>
  <si>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</si>
  <si>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</si>
  <si>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</si>
  <si>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</si>
  <si>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</si>
  <si>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</si>
  <si>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</si>
  <si>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r>
      <t>EU-s projekt neve, azonosítója:</t>
    </r>
    <r>
      <rPr>
        <sz val="12"/>
        <rFont val="Times New Roman"/>
        <family val="1"/>
        <charset val="238"/>
      </rPr>
      <t>*</t>
    </r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</si>
  <si>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</si>
  <si>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</si>
  <si>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</si>
  <si>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</si>
  <si>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</si>
  <si>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</si>
  <si>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J</t>
  </si>
  <si>
    <t>K</t>
  </si>
  <si>
    <t>L=(J+K)</t>
  </si>
  <si>
    <t>M=(L/C)</t>
  </si>
  <si>
    <t>Eredeti ei.</t>
  </si>
  <si>
    <t>Módosított ei.</t>
  </si>
  <si>
    <t>Eredeti előirányzat</t>
  </si>
  <si>
    <t>Módosított előirányzat</t>
  </si>
  <si>
    <t>6.1.1. melléklet</t>
  </si>
  <si>
    <t>6.1.2. melléklet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</si>
  <si>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</si>
  <si>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</si>
  <si>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</si>
  <si>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</si>
  <si>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</si>
  <si>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</si>
  <si>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</si>
  <si>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</si>
  <si>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</si>
  <si>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</si>
  <si>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</si>
  <si>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</si>
  <si>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</si>
  <si>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</si>
  <si>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</si>
  <si>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</si>
  <si>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</si>
  <si>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</si>
  <si>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</si>
  <si>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</si>
  <si>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</si>
  <si>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</si>
  <si>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</si>
  <si>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</si>
  <si>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</si>
  <si>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</si>
  <si>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</si>
  <si>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</si>
  <si>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</si>
  <si>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</si>
  <si>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</si>
  <si>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</si>
  <si>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</si>
  <si>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</si>
  <si>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</si>
  <si>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</si>
  <si>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</si>
  <si>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</si>
  <si>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</si>
  <si>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</si>
  <si>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</si>
  <si>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</si>
  <si>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1. költségvetési szerv neve</t>
  </si>
  <si>
    <t>1 kvi név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</si>
  <si>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</si>
  <si>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</si>
  <si>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</si>
  <si>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</si>
  <si>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</si>
  <si>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</si>
  <si>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</si>
  <si>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</si>
  <si>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</si>
  <si>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</si>
  <si>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</si>
  <si>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</si>
  <si>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</si>
  <si>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</si>
  <si>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</si>
  <si>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</si>
  <si>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</si>
  <si>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</si>
  <si>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</si>
  <si>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</si>
  <si>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Zárszámadási rendelet űrlapjainak összefüggései:</t>
  </si>
  <si>
    <t>Beruházási (felhalmozási) kiadások előirányzata és teljesítése beruházásonként</t>
  </si>
  <si>
    <t>Felújítási kiadások előirányzata és teljesítése felújításonként</t>
  </si>
  <si>
    <t>Európai uniós támogatással megvalósuló projektek</t>
  </si>
  <si>
    <t>bevételei, kiadási, hozzűjárulások</t>
  </si>
  <si>
    <t>6.1. melléklet</t>
  </si>
  <si>
    <t>Helyi önkormányzatok kiegészítő támogatásai</t>
  </si>
  <si>
    <t>Közhatalmi bevételek (4.1.+...+4.7.)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</si>
  <si>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</si>
  <si>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</si>
  <si>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</si>
  <si>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</si>
  <si>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Lejötött betétek megszüntetése</t>
  </si>
  <si>
    <t>FINANSZÍROZÁSI BEVÉTELEK ÖSSZESEN: (10. + … +15.)</t>
  </si>
  <si>
    <t>KÖLTSÉGVETÉSI ÉS FINANSZÍROZÁSI BEVÉTELEK ÖSSZESEN: (9+16)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</si>
  <si>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</si>
  <si>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</si>
  <si>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</si>
  <si>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</si>
  <si>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</si>
  <si>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</si>
  <si>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</si>
  <si>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</si>
  <si>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>Belföldi értékpapírok kiadásai (6.1. + … + 6.4.)</t>
  </si>
  <si>
    <t>Forgatási célú belföldi értékpapírok beváltása</t>
  </si>
  <si>
    <t>Befektetési célú belföldi értékpapírok beváltása</t>
  </si>
  <si>
    <t>Belföldi finanszírozás kiadásai (7.1. + … + 7.4.)</t>
  </si>
  <si>
    <t xml:space="preserve">Pénzeszközök betétként elhelyezése 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</si>
  <si>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</si>
  <si>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</si>
  <si>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</si>
  <si>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</si>
  <si>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</si>
  <si>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</si>
  <si>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</si>
  <si>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Támogatott szervezet neve</t>
  </si>
  <si>
    <t>Támogatás célja</t>
  </si>
  <si>
    <t>Tervezett 
(E Ft)</t>
  </si>
  <si>
    <t>Tényleges 
(E Ft)</t>
  </si>
  <si>
    <t>29.</t>
  </si>
  <si>
    <t>30.</t>
  </si>
  <si>
    <t>31.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</si>
  <si>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</si>
  <si>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</si>
  <si>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</si>
  <si>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</si>
  <si>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</si>
  <si>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</si>
  <si>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</si>
  <si>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</si>
  <si>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</si>
  <si>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</si>
  <si>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</si>
  <si>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</si>
  <si>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</si>
  <si>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</si>
  <si>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</si>
  <si>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</si>
  <si>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</si>
  <si>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</si>
  <si>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</si>
  <si>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</si>
  <si>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</si>
  <si>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</si>
  <si>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</si>
  <si>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</si>
  <si>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</si>
  <si>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</si>
  <si>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</si>
  <si>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</si>
  <si>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</si>
  <si>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</si>
  <si>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</si>
  <si>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</si>
  <si>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</si>
  <si>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</si>
  <si>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</si>
  <si>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</si>
  <si>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</si>
  <si>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</si>
  <si>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</si>
  <si>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</si>
  <si>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</si>
  <si>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</si>
  <si>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</si>
  <si>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</si>
  <si>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</si>
  <si>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</si>
  <si>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</si>
  <si>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</si>
  <si>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</si>
  <si>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</si>
  <si>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</si>
  <si>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</si>
  <si>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</si>
  <si>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</si>
  <si>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</si>
  <si>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</si>
  <si>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</si>
  <si>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</si>
  <si>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</si>
  <si>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</si>
  <si>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</si>
  <si>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</si>
  <si>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</si>
  <si>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</si>
  <si>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</si>
  <si>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</si>
  <si>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</si>
  <si>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</si>
  <si>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</si>
  <si>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</si>
  <si>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</si>
  <si>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</si>
  <si>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</si>
  <si>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</si>
  <si>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</si>
  <si>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</si>
  <si>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</si>
  <si>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</si>
  <si>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</si>
  <si>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</si>
  <si>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</si>
  <si>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</si>
  <si>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</si>
  <si>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</si>
  <si>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</si>
  <si>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</si>
  <si>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</si>
  <si>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</si>
  <si>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</si>
  <si>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</si>
  <si>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</si>
  <si>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</si>
  <si>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</si>
  <si>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</si>
  <si>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</si>
  <si>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</si>
  <si>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</si>
  <si>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</si>
  <si>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</si>
  <si>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58.</t>
  </si>
  <si>
    <t>II. Utalványok, bérletek és más hasonló, készpénz-helyettesítő fizetési 
     eszköznek nem minősülő eszközök elszámolásai</t>
  </si>
  <si>
    <t>59.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</si>
  <si>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</si>
  <si>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</si>
  <si>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</si>
  <si>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</si>
  <si>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</si>
  <si>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</si>
  <si>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</si>
  <si>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</si>
  <si>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</si>
  <si>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</si>
  <si>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</si>
  <si>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</si>
  <si>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</si>
  <si>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</si>
  <si>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</si>
  <si>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</si>
  <si>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</si>
  <si>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</si>
  <si>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</si>
  <si>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</si>
  <si>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</si>
  <si>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</si>
  <si>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</si>
  <si>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</si>
  <si>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</si>
  <si>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</si>
  <si>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</si>
  <si>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</si>
  <si>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</si>
  <si>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</si>
  <si>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</si>
  <si>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</si>
  <si>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</si>
  <si>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</si>
  <si>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</si>
  <si>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</si>
  <si>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</si>
  <si>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</si>
  <si>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</si>
  <si>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</si>
  <si>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</si>
  <si>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</si>
  <si>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</si>
  <si>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</si>
  <si>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</si>
  <si>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</si>
  <si>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</si>
  <si>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</si>
  <si>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</si>
  <si>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</si>
  <si>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</si>
  <si>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</si>
  <si>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</si>
  <si>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</si>
  <si>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</si>
  <si>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2019. ÉVI ZÁRSZÁMADÁSÁNAK PÉNZÜGYI MÉRLEGE</t>
  </si>
  <si>
    <t>1. tájékoztató tábla</t>
  </si>
  <si>
    <t>2. tájékoztató tábla</t>
  </si>
  <si>
    <t>3. tájékoztató tábla</t>
  </si>
  <si>
    <t>4. tájékoztató tábla</t>
  </si>
  <si>
    <t>5. tájékoztató tábla</t>
  </si>
  <si>
    <t>K I M U T A T Á S</t>
  </si>
  <si>
    <t>6. tájékoztató tábla</t>
  </si>
  <si>
    <t>E) EGYÉB SAJÁTOS  ELSZÁMOLÁSOK (58+59)</t>
  </si>
  <si>
    <t>7.1. tájékoztató tábla</t>
  </si>
  <si>
    <t>VAGYONKIMUTATÁS</t>
  </si>
  <si>
    <t>a könyvviteli mérlegben értékkel szerplő eszközökről</t>
  </si>
  <si>
    <t>7.2. tájékoztató tábla</t>
  </si>
  <si>
    <t>7.3. tájékoztató tábla</t>
  </si>
  <si>
    <t>az érték nélkül nyilvántartott eszkzözkről</t>
  </si>
  <si>
    <t>8. tájékoztató tábla</t>
  </si>
  <si>
    <t>9. tájékoztató tábla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</si>
  <si>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</si>
  <si>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</si>
  <si>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</si>
  <si>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</si>
  <si>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</si>
  <si>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</si>
  <si>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</si>
  <si>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</si>
  <si>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</si>
  <si>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</si>
  <si>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</si>
  <si>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Működési célú bevételek, kiadások mérlege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</si>
  <si>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</si>
  <si>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</si>
  <si>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</si>
  <si>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</si>
  <si>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Beruházási (felhalmozási) kiadások előirányzata beruházásonként</t>
  </si>
  <si>
    <t>4. melléklet</t>
  </si>
  <si>
    <t>Felújítási kiadások előirányzata felújításonként</t>
  </si>
  <si>
    <t>5. melléklet</t>
  </si>
  <si>
    <t>Összes  bevétel, kiadás</t>
  </si>
  <si>
    <t>Kötelező feladtok bevételei, kiadásai</t>
  </si>
  <si>
    <t>6.1.3. melléklet</t>
  </si>
  <si>
    <t>Államigazgatási feladatok  bevételei, kiadásai</t>
  </si>
  <si>
    <t>6.2. melléklet</t>
  </si>
  <si>
    <t>6.3. melléklet</t>
  </si>
  <si>
    <t>6.4. melléklet</t>
  </si>
  <si>
    <t>6.5. melléklet</t>
  </si>
  <si>
    <t>6.6. melléklet</t>
  </si>
  <si>
    <t>6.7. melléklet</t>
  </si>
  <si>
    <t>6.8. melléklet</t>
  </si>
  <si>
    <t>6.9. melléklet</t>
  </si>
  <si>
    <t>6.10. melléklet</t>
  </si>
  <si>
    <t>6.11. melléklet</t>
  </si>
  <si>
    <t>6.12. melléklet</t>
  </si>
  <si>
    <t>ZÁRSZÁMADÁSI RENDLET</t>
  </si>
  <si>
    <t>Pénzeszköz változás levezetése</t>
  </si>
  <si>
    <t>a könyvviteli mérlegben értékkel szereplő forrásokról</t>
  </si>
  <si>
    <t>a</t>
  </si>
  <si>
    <t>/</t>
  </si>
  <si>
    <t>(</t>
  </si>
  <si>
    <t>)</t>
  </si>
  <si>
    <t>önkormányzati rendelethez</t>
  </si>
  <si>
    <t>Táblázatok adatainak összefüggései</t>
  </si>
  <si>
    <t>Előterjesztéskor</t>
  </si>
  <si>
    <t>2018. évi eredeti előirányzat BEVÉTELEK</t>
  </si>
  <si>
    <t>2018. évi ZÁRSZÁMADÁSÁNAK PÉNZÜGYI MÉRLEGE</t>
  </si>
  <si>
    <t>2019.</t>
  </si>
  <si>
    <t>Forintban</t>
  </si>
  <si>
    <t>Jogcím</t>
  </si>
  <si>
    <t>Módisított támogatás összege</t>
  </si>
  <si>
    <t>Tényleges támogatás összege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</si>
  <si>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</si>
  <si>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</si>
  <si>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</si>
  <si>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</si>
  <si>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</si>
  <si>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</si>
  <si>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</si>
  <si>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</si>
  <si>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KÖLTSÉGVETÉSI SZERVEK MARADVÁNYÁNAK ALAKULÁSA</t>
  </si>
  <si>
    <t>7. melléklet</t>
  </si>
  <si>
    <t>8. melléklet</t>
  </si>
  <si>
    <t>. évi</t>
  </si>
  <si>
    <t>Forintban!</t>
  </si>
  <si>
    <r>
      <t>2017. évi C.
törvény 2. sz. melléklete száma</t>
    </r>
    <r>
      <rPr>
        <b/>
        <sz val="10"/>
        <rFont val="Symbol"/>
        <family val="1"/>
        <charset val="2"/>
      </rPr>
      <t>*</t>
    </r>
  </si>
  <si>
    <t>2018. évi általános működés és ágazati feladatok támogatásának alakulása jogcímenként</t>
  </si>
  <si>
    <t>* Magyarország 2018. évi központi költségvetéséról szóló törvény</t>
  </si>
  <si>
    <t>2018. ÉVI ZÁRSZÁMADSÁS</t>
  </si>
  <si>
    <t>KÖTELEZŐ FELADATOK PÉNZÜGYI MÉRLEGE</t>
  </si>
  <si>
    <t>ÖNKÉNT VÁLLALT FELADATOK PÉNZÜGYI MÉRLEGE</t>
  </si>
  <si>
    <t>A 2018. évi céljelleggel juttatott támogatások felhasználásáról</t>
  </si>
  <si>
    <t>2017. évi tény</t>
  </si>
  <si>
    <t>2018. évi</t>
  </si>
  <si>
    <t>2018. év</t>
  </si>
  <si>
    <t>kötelezettségek és részesedések alakulása 2018-ban</t>
  </si>
  <si>
    <t>Pénzkészlet 2018. január 1-jén
Ebből:</t>
  </si>
  <si>
    <t>Záró pénzkészlet 2018. december 31-én
Ebből:</t>
  </si>
  <si>
    <t xml:space="preserve">Hiány külső finanszírozásának bevételei (21.+…+23.) </t>
  </si>
  <si>
    <t>Hiány belső finanszírozásának bevételei (15.+…+19. )</t>
  </si>
  <si>
    <t>Működési célú finanszírozási kiadások összesen (13.+...+23.)</t>
  </si>
  <si>
    <t>Működési célú finanszírozási bevételek összesen (14.+20.)</t>
  </si>
  <si>
    <t>Telekadó</t>
  </si>
  <si>
    <t>Kajárpéc Közésgi Önkormányzat</t>
  </si>
  <si>
    <t>Kajárpéci Közös Önkormányzati Hivatal</t>
  </si>
  <si>
    <t>egyéb áruhasználati és szolgáltatási</t>
  </si>
  <si>
    <t>Egyéb áruhasználati és szolg. Adók</t>
  </si>
  <si>
    <t>Egyéb működési célú támogatások bevételei</t>
  </si>
  <si>
    <t xml:space="preserve">asp rendszer </t>
  </si>
  <si>
    <t>2017-2018</t>
  </si>
  <si>
    <t>konyha étkező fűtéskorszerűsítés</t>
  </si>
  <si>
    <t>2018</t>
  </si>
  <si>
    <t>iskolai tető felújítása</t>
  </si>
  <si>
    <t>Dózsa utcai árok</t>
  </si>
  <si>
    <t>turisztikai pályázat</t>
  </si>
  <si>
    <t>Öreg utca felújítása</t>
  </si>
  <si>
    <t>Kajárpéc Községi Önkormányzat</t>
  </si>
  <si>
    <t>elszámolásból származó bevételek</t>
  </si>
  <si>
    <t>gépjárműadók</t>
  </si>
  <si>
    <t>termékek és zolg. Adói</t>
  </si>
  <si>
    <t>biztosító által fizetett kártérítés</t>
  </si>
  <si>
    <t>Egyéb felh. Célú átvett pénzeszközök</t>
  </si>
  <si>
    <t xml:space="preserve">működési </t>
  </si>
  <si>
    <t>Országos Egyesület a Mosolyért Közhasznú Egyesület</t>
  </si>
  <si>
    <t>Reménysugár a Beteg Gyermekekért Közh. E.</t>
  </si>
  <si>
    <t xml:space="preserve">Tét Város Tűzoltó Egyesülete </t>
  </si>
  <si>
    <t xml:space="preserve">Apránként az Aprókért Egyesület </t>
  </si>
  <si>
    <t xml:space="preserve">Kajárpéci Sportegyesület </t>
  </si>
  <si>
    <t>Aranykor Nyugdíjasklub</t>
  </si>
  <si>
    <t xml:space="preserve">Kajárpécért Egyesület </t>
  </si>
  <si>
    <t>E/1 Előzetesen felszámított áfa elszámolása</t>
  </si>
  <si>
    <t>IV.25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</si>
</sst>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.0"/>
    <numFmt numFmtId="167" formatCode="00"/>
    <numFmt numFmtId="168" formatCode="#,###__;\-#,###__"/>
    <numFmt numFmtId="169" formatCode="#,###\ _F_t;\-#,###\ _F_t"/>
    <numFmt numFmtId="170" formatCode="#,###__"/>
  </numFmts>
  <fonts count="80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6.5"/>
      <name val="Times New Roman CE"/>
      <charset val="238"/>
    </font>
    <font>
      <b/>
      <sz val="6.5"/>
      <name val="Times New Roman CE"/>
      <charset val="238"/>
    </font>
    <font>
      <i/>
      <sz val="6.5"/>
      <name val="Times New Roman CE"/>
      <charset val="238"/>
    </font>
    <font>
      <sz val="6"/>
      <name val="Times New Roman CE"/>
      <charset val="238"/>
    </font>
    <font>
      <b/>
      <sz val="6"/>
      <name val="Times New Roman CE"/>
      <charset val="238"/>
    </font>
    <font>
      <i/>
      <sz val="6"/>
      <name val="Times New Roman CE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b/>
      <sz val="8"/>
      <name val="Arial"/>
      <family val="2"/>
      <charset val="238"/>
    </font>
    <font>
      <b/>
      <sz val="10"/>
      <name val="Symbol"/>
      <family val="1"/>
      <charset val="2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12"/>
      <color rgb="FFFF000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  <fill>
      <patternFill patternType="gray125">
        <bgColor indexed="47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37" fillId="0" borderId="0"/>
    <xf numFmtId="9" fontId="14" fillId="0" borderId="0" applyFont="0" applyFill="0" applyBorder="0" applyAlignment="0" applyProtection="0"/>
  </cellStyleXfs>
  <cellXfs count="803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6" applyFont="1" applyFill="1" applyBorder="1" applyAlignment="1" applyProtection="1">
      <alignment horizontal="center" vertical="center" wrapText="1"/>
    </xf>
    <xf numFmtId="0" fontId="6" fillId="0" borderId="0" xfId="6" applyFont="1" applyFill="1" applyBorder="1" applyAlignment="1" applyProtection="1">
      <alignment vertical="center" wrapText="1"/>
    </xf>
    <xf numFmtId="0" fontId="17" fillId="0" borderId="1" xfId="6" applyFont="1" applyFill="1" applyBorder="1" applyAlignment="1" applyProtection="1">
      <alignment horizontal="left" vertical="center" wrapText="1" indent="1"/>
    </xf>
    <xf numFmtId="0" fontId="17" fillId="0" borderId="2" xfId="6" applyFont="1" applyFill="1" applyBorder="1" applyAlignment="1" applyProtection="1">
      <alignment horizontal="left" vertical="center" wrapText="1" indent="1"/>
    </xf>
    <xf numFmtId="0" fontId="17" fillId="0" borderId="3" xfId="6" applyFont="1" applyFill="1" applyBorder="1" applyAlignment="1" applyProtection="1">
      <alignment horizontal="left" vertical="center" wrapText="1" indent="1"/>
    </xf>
    <xf numFmtId="0" fontId="17" fillId="0" borderId="4" xfId="6" applyFont="1" applyFill="1" applyBorder="1" applyAlignment="1" applyProtection="1">
      <alignment horizontal="left" vertical="center" wrapText="1" indent="1"/>
    </xf>
    <xf numFmtId="0" fontId="17" fillId="0" borderId="5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horizontal="left" vertical="center" wrapText="1" indent="1"/>
    </xf>
    <xf numFmtId="49" fontId="17" fillId="0" borderId="7" xfId="6" applyNumberFormat="1" applyFont="1" applyFill="1" applyBorder="1" applyAlignment="1" applyProtection="1">
      <alignment horizontal="left" vertical="center" wrapText="1" indent="1"/>
    </xf>
    <xf numFmtId="49" fontId="17" fillId="0" borderId="8" xfId="6" applyNumberFormat="1" applyFont="1" applyFill="1" applyBorder="1" applyAlignment="1" applyProtection="1">
      <alignment horizontal="left" vertical="center" wrapText="1" indent="1"/>
    </xf>
    <xf numFmtId="49" fontId="17" fillId="0" borderId="9" xfId="6" applyNumberFormat="1" applyFont="1" applyFill="1" applyBorder="1" applyAlignment="1" applyProtection="1">
      <alignment horizontal="left" vertical="center" wrapText="1" indent="1"/>
    </xf>
    <xf numFmtId="49" fontId="17" fillId="0" borderId="10" xfId="6" applyNumberFormat="1" applyFont="1" applyFill="1" applyBorder="1" applyAlignment="1" applyProtection="1">
      <alignment horizontal="left" vertical="center" wrapText="1" indent="1"/>
    </xf>
    <xf numFmtId="49" fontId="17" fillId="0" borderId="11" xfId="6" applyNumberFormat="1" applyFont="1" applyFill="1" applyBorder="1" applyAlignment="1" applyProtection="1">
      <alignment horizontal="left" vertical="center" wrapText="1" indent="1"/>
    </xf>
    <xf numFmtId="49" fontId="17" fillId="0" borderId="12" xfId="6" applyNumberFormat="1" applyFont="1" applyFill="1" applyBorder="1" applyAlignment="1" applyProtection="1">
      <alignment horizontal="left" vertical="center" wrapText="1" indent="1"/>
    </xf>
    <xf numFmtId="0" fontId="17" fillId="0" borderId="0" xfId="6" applyFont="1" applyFill="1" applyBorder="1" applyAlignment="1" applyProtection="1">
      <alignment horizontal="left" vertical="center" wrapText="1" indent="1"/>
    </xf>
    <xf numFmtId="0" fontId="16" fillId="0" borderId="13" xfId="6" applyFont="1" applyFill="1" applyBorder="1" applyAlignment="1" applyProtection="1">
      <alignment horizontal="left" vertical="center" wrapText="1" indent="1"/>
    </xf>
    <xf numFmtId="0" fontId="16" fillId="0" borderId="14" xfId="6" applyFont="1" applyFill="1" applyBorder="1" applyAlignment="1" applyProtection="1">
      <alignment horizontal="left" vertical="center" wrapText="1" indent="1"/>
    </xf>
    <xf numFmtId="0" fontId="16" fillId="0" borderId="15" xfId="6" applyFont="1" applyFill="1" applyBorder="1" applyAlignment="1" applyProtection="1">
      <alignment horizontal="left" vertical="center" wrapText="1" indent="1"/>
    </xf>
    <xf numFmtId="164" fontId="17" fillId="0" borderId="2" xfId="0" applyNumberFormat="1" applyFont="1" applyFill="1" applyBorder="1" applyAlignment="1" applyProtection="1">
      <alignment vertical="center" wrapText="1"/>
      <protection locked="0"/>
    </xf>
    <xf numFmtId="164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6" applyFont="1" applyFill="1" applyBorder="1" applyAlignment="1" applyProtection="1">
      <alignment vertical="center" wrapText="1"/>
    </xf>
    <xf numFmtId="0" fontId="16" fillId="0" borderId="16" xfId="6" applyFont="1" applyFill="1" applyBorder="1" applyAlignment="1" applyProtection="1">
      <alignment vertical="center" wrapText="1"/>
    </xf>
    <xf numFmtId="0" fontId="16" fillId="0" borderId="13" xfId="6" applyFont="1" applyFill="1" applyBorder="1" applyAlignment="1" applyProtection="1">
      <alignment horizontal="center" vertical="center" wrapText="1"/>
    </xf>
    <xf numFmtId="0" fontId="16" fillId="0" borderId="14" xfId="6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64" fontId="17" fillId="0" borderId="17" xfId="0" applyNumberFormat="1" applyFont="1" applyFill="1" applyBorder="1" applyAlignment="1" applyProtection="1">
      <alignment vertical="center" wrapText="1"/>
    </xf>
    <xf numFmtId="164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8" xfId="0" applyNumberFormat="1" applyFont="1" applyFill="1" applyBorder="1" applyAlignment="1" applyProtection="1">
      <alignment vertical="center" wrapText="1"/>
    </xf>
    <xf numFmtId="164" fontId="16" fillId="0" borderId="14" xfId="0" applyNumberFormat="1" applyFont="1" applyFill="1" applyBorder="1" applyAlignment="1" applyProtection="1">
      <alignment vertical="center" wrapText="1"/>
    </xf>
    <xf numFmtId="164" fontId="16" fillId="0" borderId="19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164" fontId="15" fillId="0" borderId="17" xfId="0" applyNumberFormat="1" applyFont="1" applyFill="1" applyBorder="1" applyAlignment="1" applyProtection="1">
      <alignment vertical="center" wrapText="1"/>
    </xf>
    <xf numFmtId="164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6" xfId="0" applyNumberFormat="1" applyFont="1" applyFill="1" applyBorder="1" applyAlignment="1" applyProtection="1">
      <alignment vertical="center" wrapText="1"/>
      <protection locked="0"/>
    </xf>
    <xf numFmtId="164" fontId="15" fillId="0" borderId="18" xfId="0" applyNumberFormat="1" applyFont="1" applyFill="1" applyBorder="1" applyAlignment="1" applyProtection="1">
      <alignment vertical="center" wrapText="1"/>
    </xf>
    <xf numFmtId="164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6" fillId="2" borderId="14" xfId="0" applyNumberFormat="1" applyFont="1" applyFill="1" applyBorder="1" applyAlignment="1" applyProtection="1">
      <alignment vertical="center" wrapText="1"/>
    </xf>
    <xf numFmtId="164" fontId="7" fillId="2" borderId="14" xfId="0" applyNumberFormat="1" applyFont="1" applyFill="1" applyBorder="1" applyAlignment="1" applyProtection="1">
      <alignment vertical="center" wrapText="1"/>
    </xf>
    <xf numFmtId="164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6" applyFont="1" applyFill="1" applyBorder="1" applyAlignment="1" applyProtection="1">
      <alignment horizontal="left" vertical="center" wrapText="1" indent="1"/>
    </xf>
    <xf numFmtId="164" fontId="23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1" xfId="0" applyFont="1" applyFill="1" applyBorder="1" applyAlignment="1" applyProtection="1">
      <alignment horizontal="right"/>
    </xf>
    <xf numFmtId="0" fontId="24" fillId="0" borderId="22" xfId="6" applyFont="1" applyFill="1" applyBorder="1" applyAlignment="1" applyProtection="1">
      <alignment horizontal="left" vertical="center" wrapText="1" indent="1"/>
    </xf>
    <xf numFmtId="0" fontId="17" fillId="0" borderId="2" xfId="6" applyFont="1" applyFill="1" applyBorder="1" applyAlignment="1" applyProtection="1">
      <alignment horizontal="left" indent="6"/>
    </xf>
    <xf numFmtId="0" fontId="17" fillId="0" borderId="2" xfId="6" applyFont="1" applyFill="1" applyBorder="1" applyAlignment="1" applyProtection="1">
      <alignment horizontal="left" vertical="center" wrapText="1" indent="6"/>
    </xf>
    <xf numFmtId="0" fontId="17" fillId="0" borderId="6" xfId="6" applyFont="1" applyFill="1" applyBorder="1" applyAlignment="1" applyProtection="1">
      <alignment horizontal="left" vertical="center" wrapText="1" indent="6"/>
    </xf>
    <xf numFmtId="0" fontId="17" fillId="0" borderId="20" xfId="6" applyFont="1" applyFill="1" applyBorder="1" applyAlignment="1" applyProtection="1">
      <alignment horizontal="left" vertical="center" wrapText="1" indent="6"/>
    </xf>
    <xf numFmtId="0" fontId="35" fillId="0" borderId="0" xfId="0" applyFont="1"/>
    <xf numFmtId="0" fontId="0" fillId="0" borderId="0" xfId="0" applyFill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164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64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3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6" fillId="0" borderId="24" xfId="6" applyNumberFormat="1" applyFont="1" applyFill="1" applyBorder="1" applyAlignment="1" applyProtection="1">
      <alignment horizontal="right" vertical="center" wrapText="1" indent="1"/>
    </xf>
    <xf numFmtId="164" fontId="17" fillId="0" borderId="25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5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8" xfId="0" applyFont="1" applyBorder="1" applyAlignment="1" applyProtection="1">
      <alignment horizontal="left" vertical="center" wrapText="1" indent="1"/>
    </xf>
    <xf numFmtId="164" fontId="6" fillId="0" borderId="0" xfId="6" applyNumberFormat="1" applyFont="1" applyFill="1" applyBorder="1" applyAlignment="1" applyProtection="1">
      <alignment horizontal="right" vertical="center" wrapText="1" indent="1"/>
    </xf>
    <xf numFmtId="0" fontId="5" fillId="0" borderId="21" xfId="0" applyFont="1" applyFill="1" applyBorder="1" applyAlignment="1" applyProtection="1">
      <alignment horizontal="right" vertical="center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17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7" fillId="0" borderId="8" xfId="0" applyNumberFormat="1" applyFont="1" applyFill="1" applyBorder="1" applyAlignment="1" applyProtection="1">
      <alignment horizontal="left" vertical="center" wrapText="1" indent="1"/>
    </xf>
    <xf numFmtId="164" fontId="17" fillId="0" borderId="32" xfId="0" applyNumberFormat="1" applyFont="1" applyFill="1" applyBorder="1" applyAlignment="1" applyProtection="1">
      <alignment horizontal="left" vertical="center" wrapText="1" indent="1"/>
    </xf>
    <xf numFmtId="164" fontId="26" fillId="0" borderId="33" xfId="0" applyNumberFormat="1" applyFont="1" applyFill="1" applyBorder="1" applyAlignment="1" applyProtection="1">
      <alignment horizontal="left" vertical="center" wrapText="1" indent="1"/>
    </xf>
    <xf numFmtId="164" fontId="1" fillId="0" borderId="34" xfId="0" applyNumberFormat="1" applyFont="1" applyFill="1" applyBorder="1" applyAlignment="1" applyProtection="1">
      <alignment horizontal="left" vertical="center" wrapText="1" indent="1"/>
    </xf>
    <xf numFmtId="164" fontId="24" fillId="0" borderId="7" xfId="0" applyNumberFormat="1" applyFont="1" applyFill="1" applyBorder="1" applyAlignment="1" applyProtection="1">
      <alignment horizontal="lef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27" fillId="0" borderId="2" xfId="0" applyNumberFormat="1" applyFont="1" applyFill="1" applyBorder="1" applyAlignment="1" applyProtection="1">
      <alignment horizontal="right" vertical="center" wrapText="1" indent="1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7" xfId="0" applyNumberFormat="1" applyFont="1" applyFill="1" applyBorder="1" applyAlignment="1" applyProtection="1">
      <alignment horizontal="lef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2"/>
    </xf>
    <xf numFmtId="164" fontId="24" fillId="0" borderId="2" xfId="0" applyNumberFormat="1" applyFont="1" applyFill="1" applyBorder="1" applyAlignment="1" applyProtection="1">
      <alignment horizontal="left" vertical="center" wrapText="1" indent="2"/>
    </xf>
    <xf numFmtId="164" fontId="27" fillId="0" borderId="2" xfId="0" applyNumberFormat="1" applyFon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</xf>
    <xf numFmtId="164" fontId="17" fillId="0" borderId="9" xfId="0" applyNumberFormat="1" applyFont="1" applyFill="1" applyBorder="1" applyAlignment="1" applyProtection="1">
      <alignment horizontal="left" vertical="center" wrapText="1" indent="2"/>
    </xf>
    <xf numFmtId="164" fontId="17" fillId="0" borderId="10" xfId="0" applyNumberFormat="1" applyFont="1" applyFill="1" applyBorder="1" applyAlignment="1" applyProtection="1">
      <alignment horizontal="left" vertical="center" wrapText="1" indent="2"/>
    </xf>
    <xf numFmtId="164" fontId="27" fillId="0" borderId="3" xfId="0" applyNumberFormat="1" applyFont="1" applyFill="1" applyBorder="1" applyAlignment="1" applyProtection="1">
      <alignment horizontal="right" vertical="center" wrapText="1" indent="1"/>
    </xf>
    <xf numFmtId="164" fontId="1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4" xfId="0" applyNumberFormat="1" applyFont="1" applyFill="1" applyBorder="1" applyAlignment="1" applyProtection="1">
      <alignment horizontal="right" vertical="center" wrapText="1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4" fontId="16" fillId="0" borderId="2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2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4" xfId="0" applyNumberFormat="1" applyFill="1" applyBorder="1" applyAlignment="1" applyProtection="1">
      <alignment horizontal="left" vertical="center" wrapText="1" indent="1"/>
    </xf>
    <xf numFmtId="164" fontId="17" fillId="0" borderId="7" xfId="0" applyNumberFormat="1" applyFont="1" applyFill="1" applyBorder="1" applyAlignment="1" applyProtection="1">
      <alignment horizontal="left" vertical="center" wrapText="1" indent="1"/>
    </xf>
    <xf numFmtId="164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6" applyNumberFormat="1" applyFont="1" applyFill="1" applyBorder="1" applyAlignment="1" applyProtection="1">
      <alignment horizontal="right" vertical="center" wrapText="1" indent="1"/>
    </xf>
    <xf numFmtId="164" fontId="16" fillId="0" borderId="14" xfId="6" applyNumberFormat="1" applyFont="1" applyFill="1" applyBorder="1" applyAlignment="1" applyProtection="1">
      <alignment horizontal="right" vertical="center" wrapText="1" indent="1"/>
    </xf>
    <xf numFmtId="164" fontId="17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6" applyNumberFormat="1" applyFont="1" applyFill="1" applyBorder="1" applyAlignment="1" applyProtection="1">
      <alignment horizontal="right" vertical="center" wrapText="1" indent="1"/>
    </xf>
    <xf numFmtId="0" fontId="16" fillId="0" borderId="15" xfId="6" applyFont="1" applyFill="1" applyBorder="1" applyAlignment="1" applyProtection="1">
      <alignment horizontal="center" vertical="center" wrapText="1"/>
    </xf>
    <xf numFmtId="0" fontId="16" fillId="0" borderId="16" xfId="6" applyFont="1" applyFill="1" applyBorder="1" applyAlignment="1" applyProtection="1">
      <alignment horizontal="center" vertical="center" wrapText="1"/>
    </xf>
    <xf numFmtId="0" fontId="17" fillId="0" borderId="3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7" fillId="0" borderId="0" xfId="6" applyFont="1" applyFill="1" applyProtection="1"/>
    <xf numFmtId="0" fontId="13" fillId="0" borderId="0" xfId="6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2" xfId="0" applyFont="1" applyBorder="1" applyAlignment="1" applyProtection="1">
      <alignment wrapText="1"/>
    </xf>
    <xf numFmtId="0" fontId="10" fillId="0" borderId="0" xfId="6" applyFill="1" applyAlignment="1" applyProtection="1"/>
    <xf numFmtId="0" fontId="19" fillId="0" borderId="0" xfId="6" applyFont="1" applyFill="1" applyProtection="1"/>
    <xf numFmtId="0" fontId="18" fillId="0" borderId="0" xfId="6" applyFont="1" applyFill="1" applyProtection="1"/>
    <xf numFmtId="164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6" applyNumberFormat="1" applyFont="1" applyFill="1" applyBorder="1" applyAlignment="1" applyProtection="1">
      <alignment horizontal="center" vertical="center" wrapText="1"/>
    </xf>
    <xf numFmtId="49" fontId="17" fillId="0" borderId="8" xfId="6" applyNumberFormat="1" applyFont="1" applyFill="1" applyBorder="1" applyAlignment="1" applyProtection="1">
      <alignment horizontal="center" vertical="center" wrapText="1"/>
    </xf>
    <xf numFmtId="49" fontId="17" fillId="0" borderId="10" xfId="6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8" xfId="0" applyFont="1" applyBorder="1" applyAlignment="1" applyProtection="1">
      <alignment horizontal="center" wrapText="1"/>
    </xf>
    <xf numFmtId="49" fontId="17" fillId="0" borderId="11" xfId="6" applyNumberFormat="1" applyFont="1" applyFill="1" applyBorder="1" applyAlignment="1" applyProtection="1">
      <alignment horizontal="center" vertical="center" wrapText="1"/>
    </xf>
    <xf numFmtId="49" fontId="17" fillId="0" borderId="7" xfId="6" applyNumberFormat="1" applyFont="1" applyFill="1" applyBorder="1" applyAlignment="1" applyProtection="1">
      <alignment horizontal="center" vertical="center" wrapText="1"/>
    </xf>
    <xf numFmtId="49" fontId="17" fillId="0" borderId="12" xfId="6" applyNumberFormat="1" applyFont="1" applyFill="1" applyBorder="1" applyAlignment="1" applyProtection="1">
      <alignment horizontal="center" vertical="center" wrapText="1"/>
    </xf>
    <xf numFmtId="0" fontId="22" fillId="0" borderId="28" xfId="0" applyFont="1" applyBorder="1" applyAlignment="1" applyProtection="1">
      <alignment horizontal="center" vertical="center" wrapText="1"/>
    </xf>
    <xf numFmtId="164" fontId="23" fillId="0" borderId="24" xfId="6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6" applyFont="1" applyFill="1" applyBorder="1" applyAlignment="1" applyProtection="1">
      <alignment horizontal="left" vertical="center" wrapText="1" indent="1"/>
    </xf>
    <xf numFmtId="0" fontId="24" fillId="0" borderId="2" xfId="6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4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8" xfId="0" applyFont="1" applyBorder="1" applyAlignment="1" applyProtection="1">
      <alignment vertical="center" wrapText="1"/>
    </xf>
    <xf numFmtId="164" fontId="16" fillId="0" borderId="14" xfId="6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4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8" xfId="6" applyFont="1" applyFill="1" applyBorder="1" applyAlignment="1" applyProtection="1">
      <alignment horizontal="left" vertical="center" wrapText="1" indent="1"/>
    </xf>
    <xf numFmtId="0" fontId="16" fillId="0" borderId="22" xfId="6" applyFont="1" applyFill="1" applyBorder="1" applyAlignment="1" applyProtection="1">
      <alignment vertical="center" wrapText="1"/>
    </xf>
    <xf numFmtId="0" fontId="17" fillId="0" borderId="20" xfId="6" applyFont="1" applyFill="1" applyBorder="1" applyAlignment="1" applyProtection="1">
      <alignment horizontal="left" vertical="center" wrapText="1" indent="7"/>
    </xf>
    <xf numFmtId="0" fontId="16" fillId="0" borderId="13" xfId="6" applyFont="1" applyFill="1" applyBorder="1" applyAlignment="1" applyProtection="1">
      <alignment horizontal="left" vertical="center" wrapText="1"/>
    </xf>
    <xf numFmtId="164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6" applyNumberFormat="1" applyFont="1" applyFill="1" applyBorder="1" applyAlignment="1" applyProtection="1">
      <alignment horizontal="center" vertical="center" wrapText="1"/>
    </xf>
    <xf numFmtId="164" fontId="16" fillId="0" borderId="37" xfId="6" applyNumberFormat="1" applyFont="1" applyFill="1" applyBorder="1" applyAlignment="1" applyProtection="1">
      <alignment horizontal="right" vertical="center" wrapText="1" indent="1"/>
    </xf>
    <xf numFmtId="164" fontId="17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9" xfId="6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0" xfId="6" applyNumberFormat="1" applyFont="1" applyFill="1" applyBorder="1" applyAlignment="1" applyProtection="1">
      <alignment horizontal="right" vertical="center" wrapText="1" indent="1"/>
    </xf>
    <xf numFmtId="164" fontId="22" fillId="0" borderId="24" xfId="0" applyNumberFormat="1" applyFont="1" applyBorder="1" applyAlignment="1" applyProtection="1">
      <alignment horizontal="right" vertical="center" wrapText="1" indent="1"/>
    </xf>
    <xf numFmtId="164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24" xfId="0" quotePrefix="1" applyNumberFormat="1" applyFont="1" applyBorder="1" applyAlignment="1" applyProtection="1">
      <alignment horizontal="right" vertical="center" wrapText="1" indent="1"/>
    </xf>
    <xf numFmtId="164" fontId="17" fillId="0" borderId="4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2" xfId="6" applyNumberFormat="1" applyFont="1" applyFill="1" applyBorder="1" applyAlignment="1" applyProtection="1">
      <alignment horizontal="right" vertical="center" wrapText="1" indent="1"/>
    </xf>
    <xf numFmtId="164" fontId="22" fillId="0" borderId="14" xfId="0" applyNumberFormat="1" applyFont="1" applyBorder="1" applyAlignment="1" applyProtection="1">
      <alignment horizontal="right" vertical="center" wrapText="1" indent="1"/>
    </xf>
    <xf numFmtId="164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6" applyFont="1" applyFill="1" applyBorder="1" applyAlignment="1" applyProtection="1">
      <alignment horizontal="center" vertical="center" wrapText="1"/>
    </xf>
    <xf numFmtId="0" fontId="7" fillId="0" borderId="41" xfId="6" applyFont="1" applyFill="1" applyBorder="1" applyAlignment="1" applyProtection="1">
      <alignment horizontal="center" vertical="center" wrapText="1"/>
    </xf>
    <xf numFmtId="0" fontId="16" fillId="0" borderId="42" xfId="6" applyFont="1" applyFill="1" applyBorder="1" applyAlignment="1" applyProtection="1">
      <alignment horizontal="center" vertical="center" wrapText="1"/>
    </xf>
    <xf numFmtId="164" fontId="16" fillId="0" borderId="43" xfId="6" applyNumberFormat="1" applyFont="1" applyFill="1" applyBorder="1" applyAlignment="1" applyProtection="1">
      <alignment horizontal="right" vertical="center" wrapText="1" indent="1"/>
    </xf>
    <xf numFmtId="164" fontId="16" fillId="0" borderId="23" xfId="6" applyNumberFormat="1" applyFont="1" applyFill="1" applyBorder="1" applyAlignment="1" applyProtection="1">
      <alignment horizontal="right" vertical="center" wrapText="1" indent="1"/>
    </xf>
    <xf numFmtId="164" fontId="17" fillId="0" borderId="44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5" xfId="6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3" xfId="6" applyNumberFormat="1" applyFont="1" applyFill="1" applyBorder="1" applyAlignment="1" applyProtection="1">
      <alignment horizontal="right" vertical="center" wrapText="1" indent="1"/>
    </xf>
    <xf numFmtId="164" fontId="22" fillId="0" borderId="23" xfId="0" applyNumberFormat="1" applyFont="1" applyBorder="1" applyAlignment="1" applyProtection="1">
      <alignment horizontal="right" vertical="center" wrapText="1" indent="1"/>
    </xf>
    <xf numFmtId="164" fontId="22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23" xfId="0" quotePrefix="1" applyNumberFormat="1" applyFont="1" applyBorder="1" applyAlignment="1" applyProtection="1">
      <alignment horizontal="right" vertical="center" wrapText="1" indent="1"/>
    </xf>
    <xf numFmtId="0" fontId="16" fillId="0" borderId="23" xfId="6" applyFont="1" applyFill="1" applyBorder="1" applyAlignment="1" applyProtection="1">
      <alignment horizontal="center" vertical="center" wrapText="1"/>
    </xf>
    <xf numFmtId="164" fontId="23" fillId="0" borderId="23" xfId="0" applyNumberFormat="1" applyFont="1" applyFill="1" applyBorder="1" applyAlignment="1" applyProtection="1">
      <alignment horizontal="right" vertical="center" wrapText="1" indent="1"/>
    </xf>
    <xf numFmtId="164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164" fontId="16" fillId="0" borderId="33" xfId="0" applyNumberFormat="1" applyFont="1" applyFill="1" applyBorder="1" applyAlignment="1">
      <alignment horizontal="center" vertical="center"/>
    </xf>
    <xf numFmtId="164" fontId="16" fillId="0" borderId="33" xfId="0" applyNumberFormat="1" applyFont="1" applyFill="1" applyBorder="1" applyAlignment="1">
      <alignment horizontal="center" vertical="center" wrapText="1"/>
    </xf>
    <xf numFmtId="164" fontId="16" fillId="0" borderId="46" xfId="0" applyNumberFormat="1" applyFont="1" applyFill="1" applyBorder="1" applyAlignment="1">
      <alignment horizontal="center" vertical="center"/>
    </xf>
    <xf numFmtId="164" fontId="16" fillId="0" borderId="47" xfId="0" applyNumberFormat="1" applyFont="1" applyFill="1" applyBorder="1" applyAlignment="1">
      <alignment horizontal="center" vertical="center"/>
    </xf>
    <xf numFmtId="164" fontId="16" fillId="0" borderId="47" xfId="0" applyNumberFormat="1" applyFont="1" applyFill="1" applyBorder="1" applyAlignment="1">
      <alignment horizontal="center" vertical="center" wrapText="1"/>
    </xf>
    <xf numFmtId="49" fontId="24" fillId="0" borderId="48" xfId="0" applyNumberFormat="1" applyFont="1" applyFill="1" applyBorder="1" applyAlignment="1">
      <alignment horizontal="left" vertical="center"/>
    </xf>
    <xf numFmtId="3" fontId="24" fillId="0" borderId="49" xfId="0" applyNumberFormat="1" applyFont="1" applyFill="1" applyBorder="1" applyAlignment="1" applyProtection="1">
      <alignment horizontal="right" vertical="center" wrapText="1"/>
      <protection locked="0"/>
    </xf>
    <xf numFmtId="49" fontId="27" fillId="0" borderId="50" xfId="0" quotePrefix="1" applyNumberFormat="1" applyFont="1" applyFill="1" applyBorder="1" applyAlignment="1">
      <alignment horizontal="left" vertical="center" indent="1"/>
    </xf>
    <xf numFmtId="49" fontId="24" fillId="0" borderId="50" xfId="0" applyNumberFormat="1" applyFont="1" applyFill="1" applyBorder="1" applyAlignment="1">
      <alignment horizontal="left" vertical="center"/>
    </xf>
    <xf numFmtId="49" fontId="24" fillId="0" borderId="51" xfId="0" applyNumberFormat="1" applyFont="1" applyFill="1" applyBorder="1" applyAlignment="1" applyProtection="1">
      <alignment horizontal="left" vertical="center"/>
      <protection locked="0"/>
    </xf>
    <xf numFmtId="3" fontId="24" fillId="0" borderId="52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53" xfId="0" applyNumberFormat="1" applyFont="1" applyFill="1" applyBorder="1" applyAlignment="1" applyProtection="1">
      <alignment horizontal="left" vertical="center" indent="1"/>
      <protection locked="0"/>
    </xf>
    <xf numFmtId="49" fontId="23" fillId="0" borderId="54" xfId="0" applyNumberFormat="1" applyFont="1" applyFill="1" applyBorder="1" applyAlignment="1" applyProtection="1">
      <alignment vertical="center"/>
      <protection locked="0"/>
    </xf>
    <xf numFmtId="49" fontId="23" fillId="0" borderId="54" xfId="0" applyNumberFormat="1" applyFont="1" applyFill="1" applyBorder="1" applyAlignment="1" applyProtection="1">
      <alignment horizontal="right" vertical="center"/>
      <protection locked="0"/>
    </xf>
    <xf numFmtId="3" fontId="17" fillId="0" borderId="54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21" xfId="0" applyNumberFormat="1" applyFont="1" applyFill="1" applyBorder="1" applyAlignment="1" applyProtection="1">
      <alignment vertical="center"/>
      <protection locked="0"/>
    </xf>
    <xf numFmtId="49" fontId="23" fillId="0" borderId="21" xfId="0" applyNumberFormat="1" applyFont="1" applyFill="1" applyBorder="1" applyAlignment="1" applyProtection="1">
      <alignment horizontal="right" vertical="center"/>
      <protection locked="0"/>
    </xf>
    <xf numFmtId="3" fontId="17" fillId="0" borderId="21" xfId="0" applyNumberFormat="1" applyFont="1" applyFill="1" applyBorder="1" applyAlignment="1" applyProtection="1">
      <alignment horizontal="right" vertical="center" wrapText="1"/>
      <protection locked="0"/>
    </xf>
    <xf numFmtId="49" fontId="24" fillId="0" borderId="9" xfId="0" applyNumberFormat="1" applyFont="1" applyFill="1" applyBorder="1" applyAlignment="1">
      <alignment horizontal="left" vertical="center"/>
    </xf>
    <xf numFmtId="49" fontId="24" fillId="0" borderId="8" xfId="0" applyNumberFormat="1" applyFont="1" applyFill="1" applyBorder="1" applyAlignment="1">
      <alignment horizontal="left" vertical="center"/>
    </xf>
    <xf numFmtId="49" fontId="24" fillId="0" borderId="10" xfId="0" applyNumberFormat="1" applyFont="1" applyFill="1" applyBorder="1" applyAlignment="1" applyProtection="1">
      <alignment horizontal="left" vertical="center"/>
      <protection locked="0"/>
    </xf>
    <xf numFmtId="166" fontId="16" fillId="0" borderId="33" xfId="0" applyNumberFormat="1" applyFont="1" applyFill="1" applyBorder="1" applyAlignment="1">
      <alignment horizontal="left" vertical="center" wrapText="1" indent="1"/>
    </xf>
    <xf numFmtId="166" fontId="38" fillId="0" borderId="0" xfId="0" applyNumberFormat="1" applyFont="1" applyFill="1" applyBorder="1" applyAlignment="1">
      <alignment horizontal="left" vertical="center" wrapText="1"/>
    </xf>
    <xf numFmtId="164" fontId="23" fillId="0" borderId="33" xfId="0" applyNumberFormat="1" applyFont="1" applyFill="1" applyBorder="1" applyAlignment="1">
      <alignment horizontal="center" vertical="center" wrapText="1"/>
    </xf>
    <xf numFmtId="3" fontId="24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24" fillId="0" borderId="55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33" xfId="0" applyNumberFormat="1" applyFont="1" applyFill="1" applyBorder="1" applyAlignment="1">
      <alignment horizontal="right" vertical="center" wrapText="1"/>
    </xf>
    <xf numFmtId="0" fontId="16" fillId="0" borderId="56" xfId="0" applyFont="1" applyFill="1" applyBorder="1" applyAlignment="1" applyProtection="1">
      <alignment horizontal="center" vertical="center" wrapText="1"/>
    </xf>
    <xf numFmtId="164" fontId="24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5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4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1" xfId="6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1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4" xfId="0" applyNumberFormat="1" applyFont="1" applyFill="1" applyBorder="1" applyAlignment="1" applyProtection="1">
      <alignment horizontal="right" vertical="center" wrapText="1" indent="1"/>
    </xf>
    <xf numFmtId="0" fontId="21" fillId="0" borderId="6" xfId="0" applyFont="1" applyBorder="1" applyAlignment="1" applyProtection="1">
      <alignment horizontal="left" indent="1"/>
    </xf>
    <xf numFmtId="0" fontId="4" fillId="0" borderId="13" xfId="0" applyFont="1" applyBorder="1" applyAlignment="1">
      <alignment horizontal="left" vertical="center"/>
    </xf>
    <xf numFmtId="0" fontId="4" fillId="0" borderId="23" xfId="0" applyFont="1" applyBorder="1" applyAlignment="1">
      <alignment vertical="center" wrapText="1"/>
    </xf>
    <xf numFmtId="0" fontId="4" fillId="0" borderId="28" xfId="0" applyFont="1" applyBorder="1" applyAlignment="1">
      <alignment horizontal="left" vertical="center"/>
    </xf>
    <xf numFmtId="0" fontId="4" fillId="0" borderId="57" xfId="0" applyFont="1" applyBorder="1" applyAlignment="1">
      <alignment vertical="center" wrapText="1"/>
    </xf>
    <xf numFmtId="164" fontId="25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24" xfId="0" applyNumberFormat="1" applyFont="1" applyFill="1" applyBorder="1" applyAlignment="1" applyProtection="1">
      <alignment horizontal="right" vertical="center" wrapText="1" indent="1"/>
    </xf>
    <xf numFmtId="3" fontId="40" fillId="0" borderId="58" xfId="0" applyNumberFormat="1" applyFont="1" applyFill="1" applyBorder="1" applyAlignment="1" applyProtection="1">
      <alignment horizontal="right" vertical="center"/>
      <protection locked="0"/>
    </xf>
    <xf numFmtId="3" fontId="40" fillId="0" borderId="58" xfId="0" applyNumberFormat="1" applyFont="1" applyFill="1" applyBorder="1" applyAlignment="1" applyProtection="1">
      <alignment horizontal="right" vertical="center" wrapText="1"/>
      <protection locked="0"/>
    </xf>
    <xf numFmtId="3" fontId="40" fillId="0" borderId="49" xfId="0" applyNumberFormat="1" applyFont="1" applyFill="1" applyBorder="1" applyAlignment="1" applyProtection="1">
      <alignment horizontal="right" vertical="center" wrapText="1"/>
      <protection locked="0"/>
    </xf>
    <xf numFmtId="164" fontId="41" fillId="0" borderId="49" xfId="0" applyNumberFormat="1" applyFont="1" applyFill="1" applyBorder="1" applyAlignment="1">
      <alignment horizontal="right" vertical="center" wrapText="1"/>
    </xf>
    <xf numFmtId="4" fontId="41" fillId="0" borderId="49" xfId="0" applyNumberFormat="1" applyFont="1" applyFill="1" applyBorder="1" applyAlignment="1">
      <alignment horizontal="right" vertical="center" wrapText="1"/>
    </xf>
    <xf numFmtId="3" fontId="42" fillId="0" borderId="31" xfId="0" applyNumberFormat="1" applyFont="1" applyFill="1" applyBorder="1" applyAlignment="1" applyProtection="1">
      <alignment horizontal="right" vertical="center"/>
      <protection locked="0"/>
    </xf>
    <xf numFmtId="3" fontId="42" fillId="0" borderId="31" xfId="0" applyNumberFormat="1" applyFont="1" applyFill="1" applyBorder="1" applyAlignment="1" applyProtection="1">
      <alignment horizontal="right" vertical="center" wrapText="1"/>
      <protection locked="0"/>
    </xf>
    <xf numFmtId="164" fontId="41" fillId="0" borderId="31" xfId="0" applyNumberFormat="1" applyFont="1" applyFill="1" applyBorder="1" applyAlignment="1">
      <alignment horizontal="right" vertical="center" wrapText="1"/>
    </xf>
    <xf numFmtId="4" fontId="41" fillId="0" borderId="31" xfId="0" applyNumberFormat="1" applyFont="1" applyFill="1" applyBorder="1" applyAlignment="1">
      <alignment horizontal="right" vertical="center" wrapText="1"/>
    </xf>
    <xf numFmtId="3" fontId="40" fillId="0" borderId="31" xfId="0" applyNumberFormat="1" applyFont="1" applyFill="1" applyBorder="1" applyAlignment="1" applyProtection="1">
      <alignment horizontal="right" vertical="center"/>
      <protection locked="0"/>
    </xf>
    <xf numFmtId="3" fontId="40" fillId="0" borderId="31" xfId="0" applyNumberFormat="1" applyFont="1" applyFill="1" applyBorder="1" applyAlignment="1" applyProtection="1">
      <alignment horizontal="right" vertical="center" wrapText="1"/>
      <protection locked="0"/>
    </xf>
    <xf numFmtId="3" fontId="40" fillId="0" borderId="52" xfId="0" applyNumberFormat="1" applyFont="1" applyFill="1" applyBorder="1" applyAlignment="1" applyProtection="1">
      <alignment horizontal="right" vertical="center"/>
      <protection locked="0"/>
    </xf>
    <xf numFmtId="3" fontId="40" fillId="0" borderId="52" xfId="0" applyNumberFormat="1" applyFont="1" applyFill="1" applyBorder="1" applyAlignment="1" applyProtection="1">
      <alignment horizontal="right" vertical="center" wrapText="1"/>
      <protection locked="0"/>
    </xf>
    <xf numFmtId="4" fontId="41" fillId="0" borderId="55" xfId="0" applyNumberFormat="1" applyFont="1" applyFill="1" applyBorder="1" applyAlignment="1">
      <alignment horizontal="right" vertical="center" wrapText="1"/>
    </xf>
    <xf numFmtId="164" fontId="41" fillId="0" borderId="33" xfId="0" applyNumberFormat="1" applyFont="1" applyFill="1" applyBorder="1" applyAlignment="1">
      <alignment vertical="center"/>
    </xf>
    <xf numFmtId="4" fontId="40" fillId="0" borderId="33" xfId="0" applyNumberFormat="1" applyFont="1" applyFill="1" applyBorder="1" applyAlignment="1" applyProtection="1">
      <alignment vertical="center" wrapText="1"/>
      <protection locked="0"/>
    </xf>
    <xf numFmtId="3" fontId="43" fillId="0" borderId="31" xfId="0" applyNumberFormat="1" applyFont="1" applyFill="1" applyBorder="1" applyAlignment="1" applyProtection="1">
      <alignment horizontal="right" vertical="center" wrapText="1"/>
      <protection locked="0"/>
    </xf>
    <xf numFmtId="3" fontId="43" fillId="0" borderId="58" xfId="0" applyNumberFormat="1" applyFont="1" applyFill="1" applyBorder="1" applyAlignment="1" applyProtection="1">
      <alignment horizontal="right" vertical="center"/>
      <protection locked="0"/>
    </xf>
    <xf numFmtId="3" fontId="43" fillId="0" borderId="58" xfId="0" applyNumberFormat="1" applyFont="1" applyFill="1" applyBorder="1" applyAlignment="1" applyProtection="1">
      <alignment horizontal="right" vertical="center" wrapText="1"/>
      <protection locked="0"/>
    </xf>
    <xf numFmtId="3" fontId="43" fillId="0" borderId="49" xfId="0" applyNumberFormat="1" applyFont="1" applyFill="1" applyBorder="1" applyAlignment="1" applyProtection="1">
      <alignment horizontal="right" vertical="center" wrapText="1"/>
      <protection locked="0"/>
    </xf>
    <xf numFmtId="164" fontId="44" fillId="0" borderId="58" xfId="0" applyNumberFormat="1" applyFont="1" applyFill="1" applyBorder="1" applyAlignment="1" applyProtection="1">
      <alignment horizontal="right" vertical="center" wrapText="1"/>
    </xf>
    <xf numFmtId="4" fontId="44" fillId="0" borderId="49" xfId="0" applyNumberFormat="1" applyFont="1" applyFill="1" applyBorder="1" applyAlignment="1">
      <alignment horizontal="right" vertical="center" wrapText="1"/>
    </xf>
    <xf numFmtId="3" fontId="45" fillId="0" borderId="31" xfId="0" applyNumberFormat="1" applyFont="1" applyFill="1" applyBorder="1" applyAlignment="1" applyProtection="1">
      <alignment horizontal="right" vertical="center"/>
      <protection locked="0"/>
    </xf>
    <xf numFmtId="164" fontId="44" fillId="0" borderId="31" xfId="0" applyNumberFormat="1" applyFont="1" applyFill="1" applyBorder="1" applyAlignment="1" applyProtection="1">
      <alignment horizontal="right" vertical="center" wrapText="1"/>
    </xf>
    <xf numFmtId="4" fontId="44" fillId="0" borderId="31" xfId="0" applyNumberFormat="1" applyFont="1" applyFill="1" applyBorder="1" applyAlignment="1">
      <alignment horizontal="right" vertical="center" wrapText="1"/>
    </xf>
    <xf numFmtId="3" fontId="43" fillId="0" borderId="31" xfId="0" applyNumberFormat="1" applyFont="1" applyFill="1" applyBorder="1" applyAlignment="1" applyProtection="1">
      <alignment horizontal="right" vertical="center"/>
      <protection locked="0"/>
    </xf>
    <xf numFmtId="3" fontId="43" fillId="0" borderId="52" xfId="0" applyNumberFormat="1" applyFont="1" applyFill="1" applyBorder="1" applyAlignment="1" applyProtection="1">
      <alignment horizontal="right" vertical="center"/>
      <protection locked="0"/>
    </xf>
    <xf numFmtId="3" fontId="43" fillId="0" borderId="52" xfId="0" applyNumberFormat="1" applyFont="1" applyFill="1" applyBorder="1" applyAlignment="1" applyProtection="1">
      <alignment horizontal="right" vertical="center" wrapText="1"/>
      <protection locked="0"/>
    </xf>
    <xf numFmtId="4" fontId="44" fillId="0" borderId="55" xfId="0" applyNumberFormat="1" applyFont="1" applyFill="1" applyBorder="1" applyAlignment="1">
      <alignment horizontal="right" vertical="center" wrapText="1"/>
    </xf>
    <xf numFmtId="164" fontId="44" fillId="0" borderId="33" xfId="0" applyNumberFormat="1" applyFont="1" applyFill="1" applyBorder="1" applyAlignment="1">
      <alignment vertical="center"/>
    </xf>
    <xf numFmtId="4" fontId="43" fillId="0" borderId="33" xfId="0" applyNumberFormat="1" applyFont="1" applyFill="1" applyBorder="1" applyAlignment="1" applyProtection="1">
      <alignment vertical="center" wrapText="1"/>
      <protection locked="0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59" xfId="6" applyFont="1" applyFill="1" applyBorder="1" applyAlignment="1" applyProtection="1">
      <alignment horizontal="center" vertical="center" wrapText="1"/>
      <protection locked="0"/>
    </xf>
    <xf numFmtId="164" fontId="7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3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3" xfId="0" applyNumberFormat="1" applyFont="1" applyFill="1" applyBorder="1" applyAlignment="1" applyProtection="1">
      <alignment horizontal="center" vertical="center"/>
      <protection locked="0"/>
    </xf>
    <xf numFmtId="0" fontId="7" fillId="0" borderId="37" xfId="0" applyFont="1" applyFill="1" applyBorder="1" applyAlignment="1" applyProtection="1">
      <alignment horizontal="center" vertical="center" wrapText="1"/>
      <protection locked="0"/>
    </xf>
    <xf numFmtId="0" fontId="46" fillId="0" borderId="0" xfId="0" applyFont="1"/>
    <xf numFmtId="0" fontId="28" fillId="0" borderId="0" xfId="0" applyFont="1"/>
    <xf numFmtId="0" fontId="17" fillId="0" borderId="20" xfId="6" applyFont="1" applyFill="1" applyBorder="1" applyAlignment="1" applyProtection="1">
      <alignment horizontal="left" vertical="center" wrapText="1" indent="1"/>
    </xf>
    <xf numFmtId="0" fontId="10" fillId="0" borderId="0" xfId="6" applyFont="1" applyFill="1" applyProtection="1">
      <protection locked="0"/>
    </xf>
    <xf numFmtId="0" fontId="10" fillId="0" borderId="0" xfId="6" applyFont="1" applyFill="1" applyAlignment="1" applyProtection="1">
      <alignment horizontal="right" vertical="center" indent="1"/>
      <protection locked="0"/>
    </xf>
    <xf numFmtId="0" fontId="10" fillId="0" borderId="0" xfId="6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4" fontId="24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9" xfId="6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4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53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3" xfId="0" applyFont="1" applyFill="1" applyBorder="1" applyAlignment="1" applyProtection="1">
      <alignment horizontal="center" vertical="center" wrapText="1"/>
      <protection locked="0"/>
    </xf>
    <xf numFmtId="0" fontId="7" fillId="0" borderId="33" xfId="0" quotePrefix="1" applyFont="1" applyFill="1" applyBorder="1" applyAlignment="1" applyProtection="1">
      <alignment horizontal="right" vertical="center" indent="1"/>
      <protection locked="0"/>
    </xf>
    <xf numFmtId="49" fontId="7" fillId="0" borderId="33" xfId="0" applyNumberFormat="1" applyFont="1" applyFill="1" applyBorder="1" applyAlignment="1" applyProtection="1">
      <alignment horizontal="right" vertical="center" indent="1"/>
      <protection locked="0"/>
    </xf>
    <xf numFmtId="164" fontId="15" fillId="0" borderId="0" xfId="0" applyNumberFormat="1" applyFont="1" applyFill="1" applyAlignment="1" applyProtection="1">
      <alignment vertical="center" wrapText="1"/>
      <protection locked="0"/>
    </xf>
    <xf numFmtId="164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4" fontId="9" fillId="0" borderId="0" xfId="0" applyNumberFormat="1" applyFont="1" applyFill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wrapText="1"/>
      <protection locked="0"/>
    </xf>
    <xf numFmtId="164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8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6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  <protection locked="0"/>
    </xf>
    <xf numFmtId="164" fontId="0" fillId="0" borderId="0" xfId="0" applyNumberFormat="1" applyFill="1" applyAlignment="1" applyProtection="1">
      <alignment horizontal="centerContinuous" vertical="center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4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4" fontId="7" fillId="0" borderId="23" xfId="0" applyNumberFormat="1" applyFont="1" applyFill="1" applyBorder="1" applyAlignment="1" applyProtection="1">
      <alignment horizontal="centerContinuous" vertical="center" wrapText="1"/>
      <protection locked="0"/>
    </xf>
    <xf numFmtId="164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64" fontId="7" fillId="0" borderId="54" xfId="0" applyNumberFormat="1" applyFont="1" applyFill="1" applyBorder="1" applyAlignment="1" applyProtection="1">
      <alignment horizontal="centerContinuous" vertical="center" wrapText="1"/>
      <protection locked="0"/>
    </xf>
    <xf numFmtId="164" fontId="7" fillId="0" borderId="37" xfId="0" applyNumberFormat="1" applyFont="1" applyFill="1" applyBorder="1" applyAlignment="1" applyProtection="1">
      <alignment horizontal="centerContinuous" vertical="center" wrapText="1"/>
      <protection locked="0"/>
    </xf>
    <xf numFmtId="164" fontId="23" fillId="0" borderId="33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42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56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7" fillId="0" borderId="59" xfId="6" applyFont="1" applyFill="1" applyBorder="1" applyAlignment="1" applyProtection="1">
      <alignment horizontal="center" vertical="center" wrapText="1"/>
    </xf>
    <xf numFmtId="0" fontId="16" fillId="0" borderId="14" xfId="6" applyFont="1" applyFill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left" vertical="center" wrapText="1"/>
    </xf>
    <xf numFmtId="164" fontId="17" fillId="3" borderId="2" xfId="6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vertical="center" wrapText="1"/>
    </xf>
    <xf numFmtId="164" fontId="17" fillId="3" borderId="6" xfId="6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/>
    </xf>
    <xf numFmtId="0" fontId="21" fillId="0" borderId="3" xfId="0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 applyProtection="1">
      <alignment vertical="center" wrapText="1"/>
    </xf>
    <xf numFmtId="0" fontId="21" fillId="0" borderId="8" xfId="0" applyFont="1" applyBorder="1" applyAlignment="1" applyProtection="1">
      <alignment vertical="center" wrapText="1"/>
    </xf>
    <xf numFmtId="0" fontId="21" fillId="0" borderId="10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2" fillId="0" borderId="22" xfId="0" applyFont="1" applyBorder="1" applyAlignment="1" applyProtection="1">
      <alignment vertical="center" wrapText="1"/>
    </xf>
    <xf numFmtId="164" fontId="29" fillId="0" borderId="21" xfId="6" applyNumberFormat="1" applyFont="1" applyFill="1" applyBorder="1" applyAlignment="1" applyProtection="1"/>
    <xf numFmtId="0" fontId="16" fillId="0" borderId="24" xfId="6" applyFont="1" applyFill="1" applyBorder="1" applyAlignment="1" applyProtection="1">
      <alignment horizontal="center" vertical="center" wrapText="1"/>
    </xf>
    <xf numFmtId="0" fontId="17" fillId="0" borderId="4" xfId="6" applyFont="1" applyFill="1" applyBorder="1" applyAlignment="1" applyProtection="1">
      <alignment horizontal="left" vertical="center" wrapText="1"/>
    </xf>
    <xf numFmtId="0" fontId="17" fillId="0" borderId="2" xfId="6" applyFont="1" applyFill="1" applyBorder="1" applyAlignment="1" applyProtection="1">
      <alignment horizontal="left" vertical="center" wrapText="1"/>
    </xf>
    <xf numFmtId="0" fontId="17" fillId="0" borderId="5" xfId="6" applyFont="1" applyFill="1" applyBorder="1" applyAlignment="1" applyProtection="1">
      <alignment horizontal="left" vertical="center" wrapText="1"/>
    </xf>
    <xf numFmtId="0" fontId="17" fillId="0" borderId="0" xfId="6" applyFont="1" applyFill="1" applyBorder="1" applyAlignment="1" applyProtection="1">
      <alignment horizontal="left" vertical="center" wrapText="1"/>
    </xf>
    <xf numFmtId="0" fontId="17" fillId="0" borderId="2" xfId="6" applyFont="1" applyFill="1" applyBorder="1" applyAlignment="1" applyProtection="1">
      <alignment horizontal="left" vertical="center"/>
    </xf>
    <xf numFmtId="0" fontId="17" fillId="0" borderId="6" xfId="6" applyFont="1" applyFill="1" applyBorder="1" applyAlignment="1" applyProtection="1">
      <alignment horizontal="left" vertical="center" wrapText="1"/>
    </xf>
    <xf numFmtId="0" fontId="17" fillId="0" borderId="20" xfId="6" applyFont="1" applyFill="1" applyBorder="1" applyAlignment="1" applyProtection="1">
      <alignment horizontal="left" vertical="center" wrapText="1"/>
    </xf>
    <xf numFmtId="0" fontId="17" fillId="0" borderId="3" xfId="6" applyFont="1" applyFill="1" applyBorder="1" applyAlignment="1" applyProtection="1">
      <alignment horizontal="left" vertical="center" wrapText="1"/>
    </xf>
    <xf numFmtId="0" fontId="10" fillId="0" borderId="0" xfId="6" applyFill="1" applyAlignment="1" applyProtection="1">
      <alignment horizontal="left" vertical="center" indent="1"/>
    </xf>
    <xf numFmtId="0" fontId="23" fillId="0" borderId="14" xfId="6" applyFont="1" applyFill="1" applyBorder="1" applyAlignment="1" applyProtection="1">
      <alignment horizontal="left" vertical="center" wrapText="1"/>
    </xf>
    <xf numFmtId="0" fontId="17" fillId="0" borderId="1" xfId="6" applyFont="1" applyFill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164" fontId="17" fillId="0" borderId="17" xfId="0" applyNumberFormat="1" applyFont="1" applyFill="1" applyBorder="1" applyAlignment="1" applyProtection="1">
      <alignment vertical="center" wrapText="1"/>
      <protection locked="0"/>
    </xf>
    <xf numFmtId="0" fontId="24" fillId="0" borderId="11" xfId="0" applyFont="1" applyFill="1" applyBorder="1" applyAlignment="1">
      <alignment horizontal="right" vertical="center" indent="1"/>
    </xf>
    <xf numFmtId="0" fontId="24" fillId="0" borderId="4" xfId="0" applyFont="1" applyFill="1" applyBorder="1" applyAlignment="1" applyProtection="1">
      <alignment horizontal="left" vertical="center" indent="1"/>
      <protection locked="0"/>
    </xf>
    <xf numFmtId="3" fontId="24" fillId="0" borderId="61" xfId="0" applyNumberFormat="1" applyFont="1" applyFill="1" applyBorder="1" applyAlignment="1" applyProtection="1">
      <alignment horizontal="right" vertical="center"/>
      <protection locked="0"/>
    </xf>
    <xf numFmtId="3" fontId="24" fillId="0" borderId="35" xfId="0" applyNumberFormat="1" applyFont="1" applyFill="1" applyBorder="1" applyAlignment="1" applyProtection="1">
      <alignment horizontal="right" vertical="center"/>
      <protection locked="0"/>
    </xf>
    <xf numFmtId="0" fontId="24" fillId="0" borderId="8" xfId="0" applyFont="1" applyFill="1" applyBorder="1" applyAlignment="1">
      <alignment horizontal="right" vertical="center" indent="1"/>
    </xf>
    <xf numFmtId="0" fontId="24" fillId="0" borderId="2" xfId="0" applyFont="1" applyFill="1" applyBorder="1" applyAlignment="1" applyProtection="1">
      <alignment horizontal="left" vertical="center" indent="1"/>
      <protection locked="0"/>
    </xf>
    <xf numFmtId="3" fontId="24" fillId="0" borderId="29" xfId="0" applyNumberFormat="1" applyFont="1" applyFill="1" applyBorder="1" applyAlignment="1" applyProtection="1">
      <alignment horizontal="right" vertical="center"/>
      <protection locked="0"/>
    </xf>
    <xf numFmtId="3" fontId="24" fillId="0" borderId="17" xfId="0" applyNumberFormat="1" applyFont="1" applyFill="1" applyBorder="1" applyAlignment="1" applyProtection="1">
      <alignment horizontal="right" vertical="center"/>
      <protection locked="0"/>
    </xf>
    <xf numFmtId="0" fontId="24" fillId="0" borderId="10" xfId="0" applyFont="1" applyFill="1" applyBorder="1" applyAlignment="1">
      <alignment horizontal="right" vertical="center" indent="1"/>
    </xf>
    <xf numFmtId="0" fontId="24" fillId="0" borderId="6" xfId="0" applyFont="1" applyFill="1" applyBorder="1" applyAlignment="1" applyProtection="1">
      <alignment horizontal="left" vertical="center" indent="1"/>
      <protection locked="0"/>
    </xf>
    <xf numFmtId="3" fontId="24" fillId="0" borderId="62" xfId="0" applyNumberFormat="1" applyFont="1" applyFill="1" applyBorder="1" applyAlignment="1" applyProtection="1">
      <alignment horizontal="right" vertical="center"/>
      <protection locked="0"/>
    </xf>
    <xf numFmtId="3" fontId="24" fillId="0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64" fontId="23" fillId="0" borderId="14" xfId="0" applyNumberFormat="1" applyFont="1" applyFill="1" applyBorder="1" applyAlignment="1">
      <alignment vertical="center" wrapText="1"/>
    </xf>
    <xf numFmtId="164" fontId="23" fillId="0" borderId="19" xfId="0" applyNumberFormat="1" applyFont="1" applyFill="1" applyBorder="1" applyAlignment="1">
      <alignment vertical="center" wrapText="1"/>
    </xf>
    <xf numFmtId="0" fontId="37" fillId="0" borderId="0" xfId="8" applyFill="1" applyProtection="1"/>
    <xf numFmtId="0" fontId="51" fillId="0" borderId="0" xfId="8" applyFont="1" applyFill="1" applyProtection="1"/>
    <xf numFmtId="0" fontId="37" fillId="0" borderId="0" xfId="8" applyFill="1" applyAlignment="1" applyProtection="1">
      <alignment horizontal="center" vertical="center"/>
    </xf>
    <xf numFmtId="0" fontId="22" fillId="0" borderId="11" xfId="8" applyFont="1" applyFill="1" applyBorder="1" applyAlignment="1" applyProtection="1">
      <alignment vertical="center" wrapText="1"/>
    </xf>
    <xf numFmtId="167" fontId="17" fillId="0" borderId="4" xfId="7" applyNumberFormat="1" applyFont="1" applyFill="1" applyBorder="1" applyAlignment="1" applyProtection="1">
      <alignment horizontal="center" vertical="center"/>
    </xf>
    <xf numFmtId="168" fontId="55" fillId="0" borderId="4" xfId="8" applyNumberFormat="1" applyFont="1" applyFill="1" applyBorder="1" applyAlignment="1" applyProtection="1">
      <alignment horizontal="right" vertical="center" wrapText="1"/>
      <protection locked="0"/>
    </xf>
    <xf numFmtId="168" fontId="55" fillId="0" borderId="35" xfId="8" applyNumberFormat="1" applyFont="1" applyFill="1" applyBorder="1" applyAlignment="1" applyProtection="1">
      <alignment horizontal="right" vertical="center" wrapText="1"/>
      <protection locked="0"/>
    </xf>
    <xf numFmtId="0" fontId="37" fillId="0" borderId="0" xfId="8" applyFill="1" applyAlignment="1" applyProtection="1">
      <alignment vertical="center"/>
    </xf>
    <xf numFmtId="0" fontId="22" fillId="0" borderId="8" xfId="8" applyFont="1" applyFill="1" applyBorder="1" applyAlignment="1" applyProtection="1">
      <alignment vertical="center" wrapText="1"/>
    </xf>
    <xf numFmtId="167" fontId="17" fillId="0" borderId="2" xfId="7" applyNumberFormat="1" applyFont="1" applyFill="1" applyBorder="1" applyAlignment="1" applyProtection="1">
      <alignment horizontal="center" vertical="center"/>
    </xf>
    <xf numFmtId="168" fontId="55" fillId="0" borderId="2" xfId="8" applyNumberFormat="1" applyFont="1" applyFill="1" applyBorder="1" applyAlignment="1" applyProtection="1">
      <alignment horizontal="right" vertical="center" wrapText="1"/>
    </xf>
    <xf numFmtId="168" fontId="55" fillId="0" borderId="17" xfId="8" applyNumberFormat="1" applyFont="1" applyFill="1" applyBorder="1" applyAlignment="1" applyProtection="1">
      <alignment horizontal="right" vertical="center" wrapText="1"/>
    </xf>
    <xf numFmtId="0" fontId="56" fillId="0" borderId="8" xfId="8" applyFont="1" applyFill="1" applyBorder="1" applyAlignment="1" applyProtection="1">
      <alignment horizontal="left" vertical="center" wrapText="1" indent="1"/>
    </xf>
    <xf numFmtId="168" fontId="57" fillId="0" borderId="2" xfId="8" applyNumberFormat="1" applyFont="1" applyFill="1" applyBorder="1" applyAlignment="1" applyProtection="1">
      <alignment horizontal="right" vertical="center" wrapText="1"/>
      <protection locked="0"/>
    </xf>
    <xf numFmtId="168" fontId="57" fillId="0" borderId="17" xfId="8" applyNumberFormat="1" applyFont="1" applyFill="1" applyBorder="1" applyAlignment="1" applyProtection="1">
      <alignment horizontal="right" vertical="center" wrapText="1"/>
      <protection locked="0"/>
    </xf>
    <xf numFmtId="168" fontId="58" fillId="0" borderId="2" xfId="8" applyNumberFormat="1" applyFont="1" applyFill="1" applyBorder="1" applyAlignment="1" applyProtection="1">
      <alignment horizontal="right" vertical="center" wrapText="1"/>
      <protection locked="0"/>
    </xf>
    <xf numFmtId="168" fontId="58" fillId="0" borderId="17" xfId="8" applyNumberFormat="1" applyFont="1" applyFill="1" applyBorder="1" applyAlignment="1" applyProtection="1">
      <alignment horizontal="right" vertical="center" wrapText="1"/>
      <protection locked="0"/>
    </xf>
    <xf numFmtId="168" fontId="58" fillId="0" borderId="2" xfId="8" applyNumberFormat="1" applyFont="1" applyFill="1" applyBorder="1" applyAlignment="1" applyProtection="1">
      <alignment horizontal="right" vertical="center" wrapText="1"/>
    </xf>
    <xf numFmtId="168" fontId="58" fillId="0" borderId="17" xfId="8" applyNumberFormat="1" applyFont="1" applyFill="1" applyBorder="1" applyAlignment="1" applyProtection="1">
      <alignment horizontal="right" vertical="center" wrapText="1"/>
    </xf>
    <xf numFmtId="0" fontId="22" fillId="0" borderId="12" xfId="8" applyFont="1" applyFill="1" applyBorder="1" applyAlignment="1" applyProtection="1">
      <alignment vertical="center" wrapText="1"/>
    </xf>
    <xf numFmtId="167" fontId="17" fillId="0" borderId="20" xfId="7" applyNumberFormat="1" applyFont="1" applyFill="1" applyBorder="1" applyAlignment="1" applyProtection="1">
      <alignment horizontal="center" vertical="center"/>
    </xf>
    <xf numFmtId="168" fontId="55" fillId="0" borderId="20" xfId="8" applyNumberFormat="1" applyFont="1" applyFill="1" applyBorder="1" applyAlignment="1" applyProtection="1">
      <alignment horizontal="right" vertical="center" wrapText="1"/>
    </xf>
    <xf numFmtId="168" fontId="55" fillId="0" borderId="59" xfId="8" applyNumberFormat="1" applyFont="1" applyFill="1" applyBorder="1" applyAlignment="1" applyProtection="1">
      <alignment horizontal="right" vertical="center" wrapText="1"/>
    </xf>
    <xf numFmtId="0" fontId="21" fillId="0" borderId="0" xfId="8" applyFont="1" applyFill="1" applyProtection="1"/>
    <xf numFmtId="3" fontId="37" fillId="0" borderId="0" xfId="8" applyNumberFormat="1" applyFont="1" applyFill="1" applyProtection="1"/>
    <xf numFmtId="3" fontId="37" fillId="0" borderId="0" xfId="8" applyNumberFormat="1" applyFont="1" applyFill="1" applyAlignment="1" applyProtection="1">
      <alignment horizontal="center"/>
    </xf>
    <xf numFmtId="0" fontId="37" fillId="0" borderId="0" xfId="8" applyFont="1" applyFill="1" applyProtection="1"/>
    <xf numFmtId="0" fontId="37" fillId="0" borderId="0" xfId="8" applyFill="1" applyAlignment="1" applyProtection="1">
      <alignment horizontal="center"/>
    </xf>
    <xf numFmtId="0" fontId="14" fillId="0" borderId="0" xfId="7" applyFill="1" applyAlignment="1" applyProtection="1">
      <alignment vertical="center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167" fontId="17" fillId="0" borderId="3" xfId="7" applyNumberFormat="1" applyFont="1" applyFill="1" applyBorder="1" applyAlignment="1" applyProtection="1">
      <alignment horizontal="center" vertical="center"/>
    </xf>
    <xf numFmtId="169" fontId="17" fillId="0" borderId="63" xfId="7" applyNumberFormat="1" applyFont="1" applyFill="1" applyBorder="1" applyAlignment="1" applyProtection="1">
      <alignment vertical="center"/>
      <protection locked="0"/>
    </xf>
    <xf numFmtId="169" fontId="17" fillId="0" borderId="17" xfId="7" applyNumberFormat="1" applyFont="1" applyFill="1" applyBorder="1" applyAlignment="1" applyProtection="1">
      <alignment vertical="center"/>
      <protection locked="0"/>
    </xf>
    <xf numFmtId="169" fontId="16" fillId="0" borderId="17" xfId="7" applyNumberFormat="1" applyFont="1" applyFill="1" applyBorder="1" applyAlignment="1" applyProtection="1">
      <alignment vertical="center"/>
    </xf>
    <xf numFmtId="169" fontId="16" fillId="0" borderId="17" xfId="7" applyNumberFormat="1" applyFont="1" applyFill="1" applyBorder="1" applyAlignment="1" applyProtection="1">
      <alignment vertical="center"/>
      <protection locked="0"/>
    </xf>
    <xf numFmtId="0" fontId="13" fillId="0" borderId="0" xfId="7" applyFont="1" applyFill="1" applyAlignment="1" applyProtection="1">
      <alignment vertical="center"/>
    </xf>
    <xf numFmtId="0" fontId="16" fillId="0" borderId="12" xfId="7" applyFont="1" applyFill="1" applyBorder="1" applyAlignment="1" applyProtection="1">
      <alignment horizontal="left" vertical="center" wrapText="1"/>
    </xf>
    <xf numFmtId="169" fontId="16" fillId="0" borderId="59" xfId="7" applyNumberFormat="1" applyFont="1" applyFill="1" applyBorder="1" applyAlignment="1" applyProtection="1">
      <alignment vertical="center"/>
    </xf>
    <xf numFmtId="0" fontId="37" fillId="0" borderId="0" xfId="8" applyFont="1" applyFill="1" applyAlignment="1" applyProtection="1"/>
    <xf numFmtId="0" fontId="15" fillId="0" borderId="0" xfId="7" applyFont="1" applyFill="1" applyAlignment="1" applyProtection="1">
      <alignment horizontal="center" vertical="center"/>
    </xf>
    <xf numFmtId="0" fontId="37" fillId="0" borderId="0" xfId="8" applyFill="1"/>
    <xf numFmtId="0" fontId="20" fillId="0" borderId="15" xfId="8" applyFont="1" applyFill="1" applyBorder="1" applyAlignment="1">
      <alignment horizontal="center" vertical="center"/>
    </xf>
    <xf numFmtId="0" fontId="54" fillId="0" borderId="16" xfId="7" applyFont="1" applyFill="1" applyBorder="1" applyAlignment="1" applyProtection="1">
      <alignment horizontal="center" vertical="center" textRotation="90"/>
    </xf>
    <xf numFmtId="0" fontId="20" fillId="0" borderId="16" xfId="8" applyFont="1" applyFill="1" applyBorder="1" applyAlignment="1">
      <alignment horizontal="center" vertical="center" wrapText="1"/>
    </xf>
    <xf numFmtId="0" fontId="20" fillId="0" borderId="64" xfId="8" applyFont="1" applyFill="1" applyBorder="1" applyAlignment="1">
      <alignment horizontal="center" vertical="center" wrapText="1"/>
    </xf>
    <xf numFmtId="0" fontId="20" fillId="0" borderId="13" xfId="8" applyFont="1" applyFill="1" applyBorder="1" applyAlignment="1">
      <alignment horizontal="center" vertical="center"/>
    </xf>
    <xf numFmtId="0" fontId="20" fillId="0" borderId="14" xfId="8" applyFont="1" applyFill="1" applyBorder="1" applyAlignment="1">
      <alignment horizontal="center" vertical="center" wrapText="1"/>
    </xf>
    <xf numFmtId="0" fontId="20" fillId="0" borderId="19" xfId="8" applyFont="1" applyFill="1" applyBorder="1" applyAlignment="1">
      <alignment horizontal="center" vertical="center" wrapText="1"/>
    </xf>
    <xf numFmtId="0" fontId="21" fillId="0" borderId="8" xfId="8" applyFont="1" applyFill="1" applyBorder="1" applyProtection="1">
      <protection locked="0"/>
    </xf>
    <xf numFmtId="0" fontId="21" fillId="0" borderId="3" xfId="8" applyFont="1" applyFill="1" applyBorder="1" applyAlignment="1">
      <alignment horizontal="right" indent="1"/>
    </xf>
    <xf numFmtId="3" fontId="21" fillId="0" borderId="3" xfId="8" applyNumberFormat="1" applyFont="1" applyFill="1" applyBorder="1" applyProtection="1">
      <protection locked="0"/>
    </xf>
    <xf numFmtId="3" fontId="21" fillId="0" borderId="63" xfId="8" applyNumberFormat="1" applyFont="1" applyFill="1" applyBorder="1" applyProtection="1">
      <protection locked="0"/>
    </xf>
    <xf numFmtId="0" fontId="21" fillId="0" borderId="2" xfId="8" applyFont="1" applyFill="1" applyBorder="1" applyAlignment="1">
      <alignment horizontal="right" indent="1"/>
    </xf>
    <xf numFmtId="3" fontId="21" fillId="0" borderId="2" xfId="8" applyNumberFormat="1" applyFont="1" applyFill="1" applyBorder="1" applyProtection="1">
      <protection locked="0"/>
    </xf>
    <xf numFmtId="3" fontId="21" fillId="0" borderId="17" xfId="8" applyNumberFormat="1" applyFont="1" applyFill="1" applyBorder="1" applyProtection="1">
      <protection locked="0"/>
    </xf>
    <xf numFmtId="0" fontId="21" fillId="0" borderId="10" xfId="8" applyFont="1" applyFill="1" applyBorder="1" applyProtection="1">
      <protection locked="0"/>
    </xf>
    <xf numFmtId="0" fontId="21" fillId="0" borderId="6" xfId="8" applyFont="1" applyFill="1" applyBorder="1" applyAlignment="1">
      <alignment horizontal="right" indent="1"/>
    </xf>
    <xf numFmtId="3" fontId="21" fillId="0" borderId="6" xfId="8" applyNumberFormat="1" applyFont="1" applyFill="1" applyBorder="1" applyProtection="1">
      <protection locked="0"/>
    </xf>
    <xf numFmtId="3" fontId="21" fillId="0" borderId="18" xfId="8" applyNumberFormat="1" applyFont="1" applyFill="1" applyBorder="1" applyProtection="1">
      <protection locked="0"/>
    </xf>
    <xf numFmtId="0" fontId="22" fillId="0" borderId="13" xfId="8" applyFont="1" applyFill="1" applyBorder="1" applyProtection="1">
      <protection locked="0"/>
    </xf>
    <xf numFmtId="0" fontId="21" fillId="0" borderId="14" xfId="8" applyFont="1" applyFill="1" applyBorder="1" applyAlignment="1">
      <alignment horizontal="right" indent="1"/>
    </xf>
    <xf numFmtId="3" fontId="21" fillId="0" borderId="14" xfId="8" applyNumberFormat="1" applyFont="1" applyFill="1" applyBorder="1" applyProtection="1">
      <protection locked="0"/>
    </xf>
    <xf numFmtId="169" fontId="16" fillId="0" borderId="19" xfId="7" applyNumberFormat="1" applyFont="1" applyFill="1" applyBorder="1" applyAlignment="1" applyProtection="1">
      <alignment vertical="center"/>
    </xf>
    <xf numFmtId="0" fontId="21" fillId="0" borderId="9" xfId="8" applyFont="1" applyFill="1" applyBorder="1" applyProtection="1">
      <protection locked="0"/>
    </xf>
    <xf numFmtId="3" fontId="21" fillId="0" borderId="65" xfId="8" applyNumberFormat="1" applyFont="1" applyFill="1" applyBorder="1"/>
    <xf numFmtId="0" fontId="59" fillId="0" borderId="0" xfId="8" applyFont="1" applyFill="1"/>
    <xf numFmtId="0" fontId="39" fillId="0" borderId="0" xfId="8" applyFont="1" applyFill="1"/>
    <xf numFmtId="0" fontId="37" fillId="0" borderId="0" xfId="8" applyFont="1" applyFill="1"/>
    <xf numFmtId="0" fontId="37" fillId="0" borderId="0" xfId="8" applyFont="1" applyFill="1" applyAlignment="1"/>
    <xf numFmtId="0" fontId="50" fillId="0" borderId="0" xfId="8" applyFont="1" applyFill="1" applyAlignment="1">
      <alignment horizontal="center"/>
    </xf>
    <xf numFmtId="0" fontId="60" fillId="0" borderId="0" xfId="0" applyFont="1" applyAlignment="1" applyProtection="1">
      <alignment horizontal="center"/>
    </xf>
    <xf numFmtId="0" fontId="62" fillId="0" borderId="3" xfId="0" applyFont="1" applyBorder="1" applyAlignment="1" applyProtection="1">
      <alignment horizontal="left" vertical="top" wrapText="1"/>
      <protection locked="0"/>
    </xf>
    <xf numFmtId="9" fontId="62" fillId="0" borderId="3" xfId="9" applyFont="1" applyBorder="1" applyAlignment="1" applyProtection="1">
      <alignment horizontal="center" vertical="center" wrapText="1"/>
      <protection locked="0"/>
    </xf>
    <xf numFmtId="165" fontId="62" fillId="0" borderId="3" xfId="1" applyNumberFormat="1" applyFont="1" applyBorder="1" applyAlignment="1" applyProtection="1">
      <alignment horizontal="center" vertical="center" wrapText="1"/>
      <protection locked="0"/>
    </xf>
    <xf numFmtId="165" fontId="62" fillId="0" borderId="63" xfId="1" applyNumberFormat="1" applyFont="1" applyBorder="1" applyAlignment="1" applyProtection="1">
      <alignment horizontal="center" vertical="top" wrapText="1"/>
      <protection locked="0"/>
    </xf>
    <xf numFmtId="0" fontId="62" fillId="0" borderId="2" xfId="0" applyFont="1" applyBorder="1" applyAlignment="1" applyProtection="1">
      <alignment horizontal="left" vertical="top" wrapText="1"/>
      <protection locked="0"/>
    </xf>
    <xf numFmtId="9" fontId="62" fillId="0" borderId="2" xfId="9" applyFont="1" applyBorder="1" applyAlignment="1" applyProtection="1">
      <alignment horizontal="center" vertical="center" wrapText="1"/>
      <protection locked="0"/>
    </xf>
    <xf numFmtId="165" fontId="62" fillId="0" borderId="2" xfId="1" applyNumberFormat="1" applyFont="1" applyBorder="1" applyAlignment="1" applyProtection="1">
      <alignment horizontal="center" vertical="center" wrapText="1"/>
      <protection locked="0"/>
    </xf>
    <xf numFmtId="165" fontId="62" fillId="0" borderId="17" xfId="1" applyNumberFormat="1" applyFont="1" applyBorder="1" applyAlignment="1" applyProtection="1">
      <alignment horizontal="center" vertical="top" wrapText="1"/>
      <protection locked="0"/>
    </xf>
    <xf numFmtId="0" fontId="62" fillId="0" borderId="6" xfId="0" applyFont="1" applyBorder="1" applyAlignment="1" applyProtection="1">
      <alignment horizontal="left" vertical="top" wrapText="1"/>
      <protection locked="0"/>
    </xf>
    <xf numFmtId="9" fontId="62" fillId="0" borderId="6" xfId="9" applyFont="1" applyBorder="1" applyAlignment="1" applyProtection="1">
      <alignment horizontal="center" vertical="center" wrapText="1"/>
      <protection locked="0"/>
    </xf>
    <xf numFmtId="165" fontId="62" fillId="0" borderId="6" xfId="1" applyNumberFormat="1" applyFont="1" applyBorder="1" applyAlignment="1" applyProtection="1">
      <alignment horizontal="center" vertical="center" wrapText="1"/>
      <protection locked="0"/>
    </xf>
    <xf numFmtId="165" fontId="62" fillId="0" borderId="18" xfId="1" applyNumberFormat="1" applyFont="1" applyBorder="1" applyAlignment="1" applyProtection="1">
      <alignment horizontal="center" vertical="top" wrapText="1"/>
      <protection locked="0"/>
    </xf>
    <xf numFmtId="0" fontId="60" fillId="4" borderId="14" xfId="0" applyFont="1" applyFill="1" applyBorder="1" applyAlignment="1" applyProtection="1">
      <alignment horizontal="center" vertical="top" wrapText="1"/>
    </xf>
    <xf numFmtId="165" fontId="62" fillId="0" borderId="14" xfId="1" applyNumberFormat="1" applyFont="1" applyBorder="1" applyAlignment="1" applyProtection="1">
      <alignment horizontal="center" vertical="center" wrapText="1"/>
    </xf>
    <xf numFmtId="165" fontId="62" fillId="0" borderId="19" xfId="1" applyNumberFormat="1" applyFont="1" applyBorder="1" applyAlignment="1" applyProtection="1">
      <alignment horizontal="center" vertical="top" wrapText="1"/>
    </xf>
    <xf numFmtId="0" fontId="48" fillId="0" borderId="0" xfId="0" applyFont="1" applyFill="1" applyAlignment="1">
      <alignment horizontal="center"/>
    </xf>
    <xf numFmtId="0" fontId="63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center" vertical="center"/>
    </xf>
    <xf numFmtId="0" fontId="48" fillId="0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0" fontId="0" fillId="0" borderId="8" xfId="0" applyFill="1" applyBorder="1" applyAlignment="1">
      <alignment horizontal="center" vertical="center"/>
    </xf>
    <xf numFmtId="0" fontId="64" fillId="0" borderId="2" xfId="0" applyFont="1" applyFill="1" applyBorder="1" applyAlignment="1">
      <alignment horizontal="left" vertical="center" indent="5"/>
    </xf>
    <xf numFmtId="0" fontId="14" fillId="0" borderId="2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0" fontId="64" fillId="0" borderId="20" xfId="0" applyFont="1" applyFill="1" applyBorder="1" applyAlignment="1">
      <alignment horizontal="left" vertical="center" indent="5"/>
    </xf>
    <xf numFmtId="164" fontId="29" fillId="0" borderId="21" xfId="6" applyNumberFormat="1" applyFont="1" applyFill="1" applyBorder="1" applyAlignment="1" applyProtection="1">
      <alignment vertical="center"/>
      <protection locked="0"/>
    </xf>
    <xf numFmtId="0" fontId="5" fillId="0" borderId="21" xfId="0" applyFont="1" applyFill="1" applyBorder="1" applyAlignment="1" applyProtection="1">
      <alignment horizontal="right" vertical="center"/>
      <protection locked="0"/>
    </xf>
    <xf numFmtId="0" fontId="7" fillId="0" borderId="20" xfId="6" applyFont="1" applyFill="1" applyBorder="1" applyAlignment="1" applyProtection="1">
      <alignment horizontal="center" vertical="center" wrapText="1"/>
      <protection locked="0"/>
    </xf>
    <xf numFmtId="0" fontId="16" fillId="0" borderId="13" xfId="6" applyFont="1" applyFill="1" applyBorder="1" applyAlignment="1" applyProtection="1">
      <alignment horizontal="center" vertical="center" wrapText="1"/>
      <protection locked="0"/>
    </xf>
    <xf numFmtId="0" fontId="16" fillId="0" borderId="14" xfId="6" applyFont="1" applyFill="1" applyBorder="1" applyAlignment="1" applyProtection="1">
      <alignment horizontal="center" vertical="center" wrapText="1"/>
      <protection locked="0"/>
    </xf>
    <xf numFmtId="0" fontId="16" fillId="0" borderId="19" xfId="6" applyFont="1" applyFill="1" applyBorder="1" applyAlignment="1" applyProtection="1">
      <alignment horizontal="center" vertical="center" wrapText="1"/>
      <protection locked="0"/>
    </xf>
    <xf numFmtId="0" fontId="49" fillId="0" borderId="0" xfId="0" applyFont="1" applyFill="1" applyAlignment="1" applyProtection="1">
      <alignment horizontal="right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66" xfId="0" applyFont="1" applyFill="1" applyBorder="1" applyAlignment="1" applyProtection="1">
      <alignment horizontal="center" vertical="center" wrapText="1"/>
      <protection locked="0"/>
    </xf>
    <xf numFmtId="0" fontId="25" fillId="0" borderId="64" xfId="0" applyFont="1" applyFill="1" applyBorder="1" applyAlignment="1" applyProtection="1">
      <alignment horizontal="center" vertical="center" wrapText="1"/>
      <protection locked="0"/>
    </xf>
    <xf numFmtId="0" fontId="37" fillId="0" borderId="0" xfId="8" applyFill="1" applyProtection="1">
      <protection locked="0"/>
    </xf>
    <xf numFmtId="0" fontId="51" fillId="0" borderId="0" xfId="8" applyFont="1" applyFill="1" applyProtection="1">
      <protection locked="0"/>
    </xf>
    <xf numFmtId="0" fontId="38" fillId="0" borderId="12" xfId="8" applyFont="1" applyFill="1" applyBorder="1" applyAlignment="1" applyProtection="1">
      <alignment horizontal="center" vertical="center" wrapText="1"/>
      <protection locked="0"/>
    </xf>
    <xf numFmtId="0" fontId="38" fillId="0" borderId="20" xfId="8" applyFont="1" applyFill="1" applyBorder="1" applyAlignment="1" applyProtection="1">
      <alignment horizontal="center" vertical="center" wrapText="1"/>
      <protection locked="0"/>
    </xf>
    <xf numFmtId="0" fontId="38" fillId="0" borderId="59" xfId="8" applyFont="1" applyFill="1" applyBorder="1" applyAlignment="1" applyProtection="1">
      <alignment horizontal="center" vertical="center" wrapText="1"/>
      <protection locked="0"/>
    </xf>
    <xf numFmtId="0" fontId="14" fillId="0" borderId="0" xfId="7" applyFill="1" applyAlignment="1" applyProtection="1">
      <alignment vertical="center" wrapText="1"/>
      <protection locked="0"/>
    </xf>
    <xf numFmtId="0" fontId="15" fillId="0" borderId="0" xfId="7" applyFont="1" applyFill="1" applyAlignment="1" applyProtection="1">
      <alignment horizontal="center" vertical="center"/>
      <protection locked="0"/>
    </xf>
    <xf numFmtId="0" fontId="14" fillId="0" borderId="0" xfId="7" applyFill="1" applyAlignment="1" applyProtection="1">
      <alignment vertical="center"/>
      <protection locked="0"/>
    </xf>
    <xf numFmtId="49" fontId="16" fillId="0" borderId="12" xfId="7" applyNumberFormat="1" applyFont="1" applyFill="1" applyBorder="1" applyAlignment="1" applyProtection="1">
      <alignment horizontal="center" vertical="center" wrapText="1"/>
      <protection locked="0"/>
    </xf>
    <xf numFmtId="49" fontId="16" fillId="0" borderId="20" xfId="7" applyNumberFormat="1" applyFont="1" applyFill="1" applyBorder="1" applyAlignment="1" applyProtection="1">
      <alignment horizontal="center" vertical="center"/>
      <protection locked="0"/>
    </xf>
    <xf numFmtId="49" fontId="16" fillId="0" borderId="59" xfId="7" applyNumberFormat="1" applyFont="1" applyFill="1" applyBorder="1" applyAlignment="1" applyProtection="1">
      <alignment horizontal="center" vertical="center"/>
      <protection locked="0"/>
    </xf>
    <xf numFmtId="0" fontId="37" fillId="0" borderId="0" xfId="8" applyFill="1" applyAlignment="1"/>
    <xf numFmtId="0" fontId="65" fillId="0" borderId="9" xfId="0" applyFont="1" applyBorder="1" applyAlignment="1" applyProtection="1">
      <alignment horizontal="center" vertical="top" wrapText="1"/>
    </xf>
    <xf numFmtId="0" fontId="65" fillId="0" borderId="8" xfId="0" applyFont="1" applyBorder="1" applyAlignment="1" applyProtection="1">
      <alignment horizontal="center" vertical="top" wrapText="1"/>
    </xf>
    <xf numFmtId="0" fontId="65" fillId="0" borderId="10" xfId="0" applyFont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60" fillId="0" borderId="0" xfId="0" applyFont="1" applyAlignment="1" applyProtection="1">
      <alignment horizontal="center"/>
      <protection locked="0"/>
    </xf>
    <xf numFmtId="0" fontId="61" fillId="0" borderId="13" xfId="0" applyFont="1" applyBorder="1" applyAlignment="1" applyProtection="1">
      <alignment horizontal="center" vertical="center" wrapText="1"/>
      <protection locked="0"/>
    </xf>
    <xf numFmtId="0" fontId="60" fillId="0" borderId="14" xfId="0" applyFont="1" applyBorder="1" applyAlignment="1" applyProtection="1">
      <alignment horizontal="center" vertical="center" wrapText="1"/>
      <protection locked="0"/>
    </xf>
    <xf numFmtId="0" fontId="60" fillId="0" borderId="19" xfId="0" applyFont="1" applyBorder="1" applyAlignment="1" applyProtection="1">
      <alignment horizontal="center" vertical="center" wrapText="1"/>
      <protection locked="0"/>
    </xf>
    <xf numFmtId="170" fontId="0" fillId="0" borderId="17" xfId="0" applyNumberFormat="1" applyFont="1" applyFill="1" applyBorder="1" applyAlignment="1" applyProtection="1">
      <alignment horizontal="right" vertical="center"/>
      <protection locked="0"/>
    </xf>
    <xf numFmtId="170" fontId="0" fillId="0" borderId="18" xfId="0" applyNumberFormat="1" applyFont="1" applyFill="1" applyBorder="1" applyAlignment="1" applyProtection="1">
      <alignment horizontal="right" vertical="center"/>
      <protection locked="0"/>
    </xf>
    <xf numFmtId="170" fontId="0" fillId="0" borderId="59" xfId="0" applyNumberFormat="1" applyFont="1" applyFill="1" applyBorder="1" applyAlignment="1" applyProtection="1">
      <alignment horizontal="right" vertical="center"/>
      <protection locked="0"/>
    </xf>
    <xf numFmtId="0" fontId="74" fillId="0" borderId="0" xfId="0" applyFont="1"/>
    <xf numFmtId="0" fontId="74" fillId="0" borderId="0" xfId="0" applyFont="1" applyAlignment="1">
      <alignment horizontal="justify" vertical="top" wrapText="1"/>
    </xf>
    <xf numFmtId="0" fontId="75" fillId="5" borderId="0" xfId="0" applyFont="1" applyFill="1" applyAlignment="1">
      <alignment horizontal="center" vertical="center"/>
    </xf>
    <xf numFmtId="0" fontId="75" fillId="5" borderId="0" xfId="0" applyFont="1" applyFill="1" applyAlignment="1">
      <alignment horizontal="center" vertical="top" wrapText="1"/>
    </xf>
    <xf numFmtId="0" fontId="66" fillId="0" borderId="0" xfId="0" applyFont="1"/>
    <xf numFmtId="0" fontId="73" fillId="0" borderId="0" xfId="4" applyAlignment="1" applyProtection="1"/>
    <xf numFmtId="0" fontId="0" fillId="0" borderId="0" xfId="0" applyAlignment="1">
      <alignment horizontal="right"/>
    </xf>
    <xf numFmtId="164" fontId="76" fillId="0" borderId="0" xfId="0" applyNumberFormat="1" applyFont="1" applyFill="1" applyAlignment="1" applyProtection="1">
      <alignment horizontal="right" vertical="center" wrapText="1" indent="1"/>
    </xf>
    <xf numFmtId="164" fontId="77" fillId="0" borderId="0" xfId="6" applyNumberFormat="1" applyFont="1" applyFill="1" applyProtection="1"/>
    <xf numFmtId="164" fontId="77" fillId="0" borderId="0" xfId="6" applyNumberFormat="1" applyFont="1" applyFill="1" applyAlignment="1" applyProtection="1">
      <alignment horizontal="right" vertical="center" indent="1"/>
    </xf>
    <xf numFmtId="0" fontId="47" fillId="0" borderId="0" xfId="0" applyFont="1" applyAlignment="1" applyProtection="1">
      <alignment horizontal="right" vertical="top"/>
      <protection locked="0"/>
    </xf>
    <xf numFmtId="0" fontId="68" fillId="0" borderId="0" xfId="0" applyFont="1" applyFill="1" applyBorder="1" applyAlignment="1" applyProtection="1">
      <alignment horizontal="right"/>
    </xf>
    <xf numFmtId="0" fontId="26" fillId="0" borderId="33" xfId="0" applyFont="1" applyFill="1" applyBorder="1" applyAlignment="1">
      <alignment horizontal="center" vertical="center" wrapText="1"/>
    </xf>
    <xf numFmtId="0" fontId="20" fillId="0" borderId="67" xfId="0" applyFont="1" applyFill="1" applyBorder="1" applyAlignment="1" applyProtection="1">
      <alignment horizontal="center" vertical="center" wrapText="1"/>
    </xf>
    <xf numFmtId="0" fontId="20" fillId="0" borderId="58" xfId="0" applyFont="1" applyFill="1" applyBorder="1" applyAlignment="1" applyProtection="1">
      <alignment horizontal="center" vertical="center" wrapText="1"/>
    </xf>
    <xf numFmtId="0" fontId="20" fillId="0" borderId="37" xfId="0" applyFont="1" applyFill="1" applyBorder="1" applyAlignment="1" applyProtection="1">
      <alignment horizontal="center" vertical="center" wrapText="1"/>
    </xf>
    <xf numFmtId="0" fontId="23" fillId="0" borderId="33" xfId="0" applyFont="1" applyFill="1" applyBorder="1" applyAlignment="1">
      <alignment horizontal="center" vertical="center"/>
    </xf>
    <xf numFmtId="0" fontId="69" fillId="0" borderId="53" xfId="0" applyFont="1" applyFill="1" applyBorder="1" applyAlignment="1" applyProtection="1">
      <alignment horizontal="center" vertical="center" wrapText="1"/>
    </xf>
    <xf numFmtId="0" fontId="69" fillId="0" borderId="33" xfId="0" applyFont="1" applyFill="1" applyBorder="1" applyAlignment="1" applyProtection="1">
      <alignment horizontal="center" vertical="center" wrapText="1"/>
    </xf>
    <xf numFmtId="0" fontId="69" fillId="0" borderId="24" xfId="0" applyFont="1" applyFill="1" applyBorder="1" applyAlignment="1" applyProtection="1">
      <alignment horizontal="center" vertical="center" wrapText="1"/>
    </xf>
    <xf numFmtId="0" fontId="70" fillId="0" borderId="0" xfId="0" applyFont="1" applyFill="1" applyAlignment="1">
      <alignment vertical="center"/>
    </xf>
    <xf numFmtId="0" fontId="0" fillId="0" borderId="58" xfId="0" applyFill="1" applyBorder="1"/>
    <xf numFmtId="0" fontId="21" fillId="0" borderId="68" xfId="0" applyFont="1" applyFill="1" applyBorder="1" applyAlignment="1" applyProtection="1">
      <alignment horizontal="left" vertical="center" wrapText="1"/>
      <protection locked="0"/>
    </xf>
    <xf numFmtId="164" fontId="21" fillId="0" borderId="69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70" xfId="0" applyFill="1" applyBorder="1"/>
    <xf numFmtId="0" fontId="21" fillId="0" borderId="71" xfId="0" applyFont="1" applyFill="1" applyBorder="1" applyAlignment="1" applyProtection="1">
      <alignment horizontal="left" vertical="center" wrapText="1"/>
      <protection locked="0"/>
    </xf>
    <xf numFmtId="0" fontId="0" fillId="0" borderId="72" xfId="0" applyFill="1" applyBorder="1"/>
    <xf numFmtId="0" fontId="21" fillId="0" borderId="73" xfId="0" applyFont="1" applyFill="1" applyBorder="1" applyAlignment="1" applyProtection="1">
      <alignment horizontal="left" vertical="center" wrapText="1"/>
      <protection locked="0"/>
    </xf>
    <xf numFmtId="0" fontId="21" fillId="0" borderId="34" xfId="0" applyFont="1" applyFill="1" applyBorder="1" applyAlignment="1" applyProtection="1">
      <alignment horizontal="left" vertical="center" wrapText="1"/>
      <protection locked="0"/>
    </xf>
    <xf numFmtId="0" fontId="0" fillId="0" borderId="33" xfId="0" applyFill="1" applyBorder="1" applyAlignment="1" applyProtection="1">
      <alignment vertical="center"/>
    </xf>
    <xf numFmtId="0" fontId="20" fillId="0" borderId="53" xfId="0" applyFont="1" applyFill="1" applyBorder="1" applyAlignment="1" applyProtection="1">
      <alignment vertical="center" wrapText="1"/>
    </xf>
    <xf numFmtId="164" fontId="20" fillId="0" borderId="33" xfId="0" applyNumberFormat="1" applyFont="1" applyFill="1" applyBorder="1" applyAlignment="1" applyProtection="1">
      <alignment vertical="center" wrapText="1"/>
    </xf>
    <xf numFmtId="164" fontId="22" fillId="0" borderId="2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right" vertical="center" wrapText="1" indent="1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164" fontId="17" fillId="0" borderId="3" xfId="0" applyNumberFormat="1" applyFont="1" applyFill="1" applyBorder="1" applyAlignment="1" applyProtection="1">
      <alignment vertical="center" wrapText="1"/>
      <protection locked="0"/>
    </xf>
    <xf numFmtId="164" fontId="17" fillId="0" borderId="3" xfId="0" applyNumberFormat="1" applyFont="1" applyFill="1" applyBorder="1" applyAlignment="1" applyProtection="1">
      <alignment vertical="center" wrapText="1"/>
    </xf>
    <xf numFmtId="164" fontId="17" fillId="0" borderId="63" xfId="0" applyNumberFormat="1" applyFont="1" applyFill="1" applyBorder="1" applyAlignment="1" applyProtection="1">
      <alignment vertical="center" wrapText="1"/>
      <protection locked="0"/>
    </xf>
    <xf numFmtId="0" fontId="17" fillId="0" borderId="8" xfId="0" applyFont="1" applyFill="1" applyBorder="1" applyAlignment="1" applyProtection="1">
      <alignment horizontal="right" vertical="center" wrapText="1" indent="1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164" fontId="17" fillId="0" borderId="18" xfId="0" applyNumberFormat="1" applyFont="1" applyFill="1" applyBorder="1" applyAlignment="1" applyProtection="1">
      <alignment vertical="center" wrapText="1"/>
      <protection locked="0"/>
    </xf>
    <xf numFmtId="0" fontId="0" fillId="6" borderId="0" xfId="0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70" fontId="26" fillId="0" borderId="63" xfId="0" applyNumberFormat="1" applyFont="1" applyFill="1" applyBorder="1" applyAlignment="1" applyProtection="1">
      <alignment horizontal="right" vertical="center"/>
      <protection locked="0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170" fontId="0" fillId="0" borderId="0" xfId="0" applyNumberFormat="1" applyFill="1"/>
    <xf numFmtId="0" fontId="78" fillId="0" borderId="0" xfId="0" applyFont="1" applyAlignment="1">
      <alignment horizontal="center" vertical="top" wrapText="1"/>
    </xf>
    <xf numFmtId="0" fontId="67" fillId="0" borderId="0" xfId="0" applyFont="1" applyAlignment="1">
      <alignment horizontal="center"/>
    </xf>
    <xf numFmtId="0" fontId="28" fillId="6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8" fillId="0" borderId="0" xfId="0" applyFont="1" applyAlignment="1">
      <alignment horizontal="center"/>
    </xf>
    <xf numFmtId="0" fontId="18" fillId="6" borderId="0" xfId="0" applyFont="1" applyFill="1" applyAlignment="1" applyProtection="1">
      <protection locked="0"/>
    </xf>
    <xf numFmtId="0" fontId="0" fillId="6" borderId="0" xfId="0" applyFill="1" applyAlignment="1" applyProtection="1">
      <protection locked="0"/>
    </xf>
    <xf numFmtId="0" fontId="18" fillId="6" borderId="0" xfId="0" applyFont="1" applyFill="1" applyAlignment="1" applyProtection="1">
      <alignment horizontal="center"/>
      <protection locked="0"/>
    </xf>
    <xf numFmtId="0" fontId="46" fillId="0" borderId="0" xfId="6" applyFont="1" applyFill="1" applyAlignment="1" applyProtection="1">
      <alignment horizontal="right"/>
      <protection locked="0"/>
    </xf>
    <xf numFmtId="0" fontId="46" fillId="0" borderId="0" xfId="0" applyFont="1" applyAlignment="1" applyProtection="1">
      <alignment horizontal="right"/>
      <protection locked="0"/>
    </xf>
    <xf numFmtId="0" fontId="18" fillId="0" borderId="0" xfId="6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6" applyFont="1" applyFill="1" applyAlignment="1" applyProtection="1">
      <alignment horizontal="center" vertical="center"/>
      <protection locked="0"/>
    </xf>
    <xf numFmtId="164" fontId="29" fillId="0" borderId="21" xfId="6" applyNumberFormat="1" applyFont="1" applyFill="1" applyBorder="1" applyAlignment="1" applyProtection="1">
      <alignment horizontal="left" vertical="center"/>
    </xf>
    <xf numFmtId="0" fontId="7" fillId="0" borderId="15" xfId="6" applyFont="1" applyFill="1" applyBorder="1" applyAlignment="1" applyProtection="1">
      <alignment horizontal="center" vertical="center" wrapText="1"/>
    </xf>
    <xf numFmtId="0" fontId="7" fillId="0" borderId="28" xfId="6" applyFont="1" applyFill="1" applyBorder="1" applyAlignment="1" applyProtection="1">
      <alignment horizontal="center" vertical="center" wrapText="1"/>
    </xf>
    <xf numFmtId="0" fontId="7" fillId="0" borderId="16" xfId="6" applyFont="1" applyFill="1" applyBorder="1" applyAlignment="1" applyProtection="1">
      <alignment horizontal="center" vertical="center" wrapText="1"/>
    </xf>
    <xf numFmtId="0" fontId="7" fillId="0" borderId="22" xfId="6" applyFont="1" applyFill="1" applyBorder="1" applyAlignment="1" applyProtection="1">
      <alignment horizontal="center" vertical="center" wrapText="1"/>
    </xf>
    <xf numFmtId="0" fontId="7" fillId="0" borderId="74" xfId="6" applyFont="1" applyFill="1" applyBorder="1" applyAlignment="1" applyProtection="1">
      <alignment horizontal="center" vertical="center" wrapText="1"/>
    </xf>
    <xf numFmtId="0" fontId="7" fillId="0" borderId="4" xfId="6" applyFont="1" applyFill="1" applyBorder="1" applyAlignment="1" applyProtection="1">
      <alignment horizontal="center" vertical="center" wrapText="1"/>
    </xf>
    <xf numFmtId="0" fontId="7" fillId="0" borderId="35" xfId="6" applyFont="1" applyFill="1" applyBorder="1" applyAlignment="1" applyProtection="1">
      <alignment horizontal="center" vertical="center" wrapText="1"/>
    </xf>
    <xf numFmtId="0" fontId="18" fillId="0" borderId="0" xfId="6" applyFont="1" applyFill="1" applyAlignment="1" applyProtection="1">
      <alignment horizontal="center"/>
    </xf>
    <xf numFmtId="164" fontId="6" fillId="0" borderId="0" xfId="6" applyNumberFormat="1" applyFont="1" applyFill="1" applyBorder="1" applyAlignment="1" applyProtection="1">
      <alignment horizontal="center" vertical="center"/>
      <protection locked="0"/>
    </xf>
    <xf numFmtId="164" fontId="6" fillId="0" borderId="0" xfId="6" applyNumberFormat="1" applyFont="1" applyFill="1" applyBorder="1" applyAlignment="1" applyProtection="1">
      <alignment horizontal="center" vertical="center"/>
    </xf>
    <xf numFmtId="164" fontId="29" fillId="0" borderId="21" xfId="6" applyNumberFormat="1" applyFont="1" applyFill="1" applyBorder="1" applyAlignment="1" applyProtection="1">
      <alignment horizontal="left" vertical="center"/>
      <protection locked="0"/>
    </xf>
    <xf numFmtId="164" fontId="29" fillId="0" borderId="21" xfId="6" applyNumberFormat="1" applyFont="1" applyFill="1" applyBorder="1" applyAlignment="1" applyProtection="1">
      <alignment horizontal="left"/>
    </xf>
    <xf numFmtId="164" fontId="25" fillId="0" borderId="58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47" xfId="0" applyNumberFormat="1" applyFont="1" applyFill="1" applyBorder="1" applyAlignment="1" applyProtection="1">
      <alignment horizontal="center" vertical="center" wrapText="1"/>
      <protection locked="0"/>
    </xf>
    <xf numFmtId="164" fontId="79" fillId="0" borderId="54" xfId="0" applyNumberFormat="1" applyFont="1" applyFill="1" applyBorder="1" applyAlignment="1" applyProtection="1">
      <alignment horizontal="center" vertical="center" wrapText="1"/>
    </xf>
    <xf numFmtId="164" fontId="46" fillId="0" borderId="0" xfId="0" applyNumberFormat="1" applyFont="1" applyFill="1" applyAlignment="1" applyProtection="1">
      <alignment horizontal="center" textRotation="180" wrapText="1"/>
      <protection locked="0"/>
    </xf>
    <xf numFmtId="164" fontId="18" fillId="0" borderId="0" xfId="0" applyNumberFormat="1" applyFont="1" applyFill="1" applyAlignment="1" applyProtection="1">
      <alignment horizontal="center" vertical="center" wrapText="1"/>
      <protection locked="0"/>
    </xf>
    <xf numFmtId="164" fontId="46" fillId="0" borderId="0" xfId="0" applyNumberFormat="1" applyFont="1" applyFill="1" applyAlignment="1" applyProtection="1">
      <alignment horizontal="right" vertical="center" wrapText="1"/>
      <protection locked="0"/>
    </xf>
    <xf numFmtId="0" fontId="46" fillId="0" borderId="0" xfId="0" applyFont="1" applyAlignment="1" applyProtection="1">
      <alignment horizontal="right" vertical="center" wrapText="1"/>
      <protection locked="0"/>
    </xf>
    <xf numFmtId="0" fontId="46" fillId="0" borderId="0" xfId="0" applyFont="1" applyFill="1" applyAlignment="1">
      <alignment horizontal="right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 applyProtection="1">
      <alignment horizontal="center"/>
      <protection locked="0"/>
    </xf>
    <xf numFmtId="16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3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0" xfId="0" applyNumberFormat="1" applyFont="1" applyFill="1" applyAlignment="1" applyProtection="1">
      <alignment horizontal="left" vertical="center" wrapText="1"/>
      <protection locked="0"/>
    </xf>
    <xf numFmtId="164" fontId="16" fillId="0" borderId="33" xfId="0" applyNumberFormat="1" applyFont="1" applyFill="1" applyBorder="1" applyAlignment="1">
      <alignment horizontal="center" vertical="center"/>
    </xf>
    <xf numFmtId="164" fontId="16" fillId="0" borderId="33" xfId="0" applyNumberFormat="1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textRotation="180"/>
    </xf>
    <xf numFmtId="164" fontId="5" fillId="0" borderId="21" xfId="0" applyNumberFormat="1" applyFont="1" applyFill="1" applyBorder="1" applyAlignment="1" applyProtection="1">
      <alignment horizontal="right" vertical="center"/>
      <protection locked="0"/>
    </xf>
    <xf numFmtId="164" fontId="7" fillId="0" borderId="67" xfId="0" applyNumberFormat="1" applyFont="1" applyFill="1" applyBorder="1" applyAlignment="1">
      <alignment horizontal="center" vertical="center"/>
    </xf>
    <xf numFmtId="164" fontId="7" fillId="0" borderId="32" xfId="0" applyNumberFormat="1" applyFont="1" applyFill="1" applyBorder="1" applyAlignment="1">
      <alignment horizontal="center" vertical="center"/>
    </xf>
    <xf numFmtId="164" fontId="7" fillId="0" borderId="46" xfId="0" applyNumberFormat="1" applyFont="1" applyFill="1" applyBorder="1" applyAlignment="1">
      <alignment horizontal="center" vertical="center"/>
    </xf>
    <xf numFmtId="164" fontId="25" fillId="0" borderId="33" xfId="0" applyNumberFormat="1" applyFont="1" applyFill="1" applyBorder="1" applyAlignment="1">
      <alignment horizontal="center" vertical="center" wrapText="1"/>
    </xf>
    <xf numFmtId="164" fontId="7" fillId="0" borderId="58" xfId="0" applyNumberFormat="1" applyFont="1" applyFill="1" applyBorder="1" applyAlignment="1">
      <alignment horizontal="center" vertical="center" wrapText="1"/>
    </xf>
    <xf numFmtId="164" fontId="7" fillId="0" borderId="34" xfId="0" applyNumberFormat="1" applyFont="1" applyFill="1" applyBorder="1" applyAlignment="1">
      <alignment horizontal="center" vertical="center" wrapText="1"/>
    </xf>
    <xf numFmtId="164" fontId="26" fillId="0" borderId="53" xfId="0" applyNumberFormat="1" applyFont="1" applyFill="1" applyBorder="1" applyAlignment="1">
      <alignment horizontal="left" vertical="center" wrapText="1" indent="2"/>
    </xf>
    <xf numFmtId="164" fontId="26" fillId="0" borderId="56" xfId="0" applyNumberFormat="1" applyFont="1" applyFill="1" applyBorder="1" applyAlignment="1">
      <alignment horizontal="left" vertical="center" wrapText="1" indent="2"/>
    </xf>
    <xf numFmtId="164" fontId="0" fillId="0" borderId="75" xfId="0" applyNumberFormat="1" applyFill="1" applyBorder="1" applyAlignment="1" applyProtection="1">
      <alignment horizontal="left" vertical="center" wrapText="1"/>
      <protection locked="0"/>
    </xf>
    <xf numFmtId="164" fontId="0" fillId="0" borderId="76" xfId="0" applyNumberForma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4" fontId="26" fillId="0" borderId="53" xfId="0" applyNumberFormat="1" applyFont="1" applyFill="1" applyBorder="1" applyAlignment="1">
      <alignment horizontal="center" vertical="center" wrapText="1"/>
    </xf>
    <xf numFmtId="164" fontId="26" fillId="0" borderId="56" xfId="0" applyNumberFormat="1" applyFont="1" applyFill="1" applyBorder="1" applyAlignment="1">
      <alignment horizontal="center" vertical="center" wrapText="1"/>
    </xf>
    <xf numFmtId="164" fontId="0" fillId="0" borderId="48" xfId="0" applyNumberFormat="1" applyFill="1" applyBorder="1" applyAlignment="1" applyProtection="1">
      <alignment horizontal="left" vertical="center" wrapText="1"/>
      <protection locked="0"/>
    </xf>
    <xf numFmtId="164" fontId="0" fillId="0" borderId="77" xfId="0" applyNumberFormat="1" applyFill="1" applyBorder="1" applyAlignment="1" applyProtection="1">
      <alignment horizontal="left" vertical="center" wrapText="1"/>
      <protection locked="0"/>
    </xf>
    <xf numFmtId="164" fontId="7" fillId="0" borderId="33" xfId="0" applyNumberFormat="1" applyFont="1" applyFill="1" applyBorder="1" applyAlignment="1">
      <alignment horizontal="center" vertical="center" wrapText="1"/>
    </xf>
    <xf numFmtId="166" fontId="38" fillId="0" borderId="54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21" xfId="0" applyNumberFormat="1" applyFont="1" applyFill="1" applyBorder="1" applyAlignment="1">
      <alignment horizontal="right" vertical="center"/>
    </xf>
    <xf numFmtId="0" fontId="7" fillId="0" borderId="53" xfId="0" applyFont="1" applyFill="1" applyBorder="1" applyAlignment="1" applyProtection="1">
      <alignment horizontal="center" vertical="center" wrapText="1"/>
    </xf>
    <xf numFmtId="0" fontId="7" fillId="0" borderId="56" xfId="0" applyFont="1" applyFill="1" applyBorder="1" applyAlignment="1" applyProtection="1">
      <alignment horizontal="center" vertical="center" wrapText="1"/>
    </xf>
    <xf numFmtId="0" fontId="7" fillId="0" borderId="24" xfId="0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right" vertical="top"/>
      <protection locked="0"/>
    </xf>
    <xf numFmtId="0" fontId="33" fillId="0" borderId="21" xfId="0" applyFont="1" applyBorder="1" applyAlignment="1" applyProtection="1">
      <protection locked="0"/>
    </xf>
    <xf numFmtId="0" fontId="6" fillId="0" borderId="43" xfId="0" applyFont="1" applyFill="1" applyBorder="1" applyAlignment="1" applyProtection="1">
      <alignment horizontal="center" vertical="center"/>
      <protection locked="0"/>
    </xf>
    <xf numFmtId="0" fontId="6" fillId="0" borderId="56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7" fillId="0" borderId="53" xfId="0" applyFont="1" applyFill="1" applyBorder="1" applyAlignment="1" applyProtection="1">
      <alignment horizontal="left" vertical="center" wrapText="1" indent="1"/>
    </xf>
    <xf numFmtId="0" fontId="7" fillId="0" borderId="23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0" xfId="0" applyFont="1" applyAlignment="1">
      <alignment vertical="center" wrapText="1"/>
    </xf>
    <xf numFmtId="0" fontId="46" fillId="0" borderId="0" xfId="0" applyFont="1" applyFill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19" xfId="0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/>
      <protection locked="0"/>
    </xf>
    <xf numFmtId="0" fontId="46" fillId="0" borderId="0" xfId="0" applyFont="1" applyFill="1" applyBorder="1" applyAlignment="1">
      <alignment horizontal="center" textRotation="180"/>
    </xf>
    <xf numFmtId="0" fontId="50" fillId="0" borderId="21" xfId="0" applyFont="1" applyFill="1" applyBorder="1" applyAlignment="1" applyProtection="1">
      <alignment horizontal="center" vertical="center"/>
    </xf>
    <xf numFmtId="0" fontId="70" fillId="0" borderId="54" xfId="0" applyFont="1" applyFill="1" applyBorder="1" applyAlignment="1"/>
    <xf numFmtId="0" fontId="7" fillId="0" borderId="11" xfId="6" applyFont="1" applyFill="1" applyBorder="1" applyAlignment="1" applyProtection="1">
      <alignment horizontal="center" vertical="center" wrapText="1"/>
      <protection locked="0"/>
    </xf>
    <xf numFmtId="0" fontId="7" fillId="0" borderId="12" xfId="6" applyFont="1" applyFill="1" applyBorder="1" applyAlignment="1" applyProtection="1">
      <alignment horizontal="center" vertical="center" wrapText="1"/>
      <protection locked="0"/>
    </xf>
    <xf numFmtId="0" fontId="7" fillId="0" borderId="4" xfId="6" applyFont="1" applyFill="1" applyBorder="1" applyAlignment="1" applyProtection="1">
      <alignment horizontal="center" vertical="center" wrapText="1"/>
      <protection locked="0"/>
    </xf>
    <xf numFmtId="0" fontId="7" fillId="0" borderId="20" xfId="6" applyFont="1" applyFill="1" applyBorder="1" applyAlignment="1" applyProtection="1">
      <alignment horizontal="center" vertical="center" wrapText="1"/>
      <protection locked="0"/>
    </xf>
    <xf numFmtId="0" fontId="7" fillId="0" borderId="16" xfId="6" applyFont="1" applyFill="1" applyBorder="1" applyAlignment="1" applyProtection="1">
      <alignment horizontal="center" vertical="center" wrapText="1"/>
      <protection locked="0"/>
    </xf>
    <xf numFmtId="0" fontId="7" fillId="0" borderId="22" xfId="6" applyFont="1" applyFill="1" applyBorder="1" applyAlignment="1" applyProtection="1">
      <alignment horizontal="center" vertical="center" wrapText="1"/>
      <protection locked="0"/>
    </xf>
    <xf numFmtId="164" fontId="25" fillId="0" borderId="4" xfId="6" applyNumberFormat="1" applyFont="1" applyFill="1" applyBorder="1" applyAlignment="1" applyProtection="1">
      <alignment horizontal="center" vertical="center"/>
      <protection locked="0"/>
    </xf>
    <xf numFmtId="164" fontId="25" fillId="0" borderId="35" xfId="6" applyNumberFormat="1" applyFont="1" applyFill="1" applyBorder="1" applyAlignment="1" applyProtection="1">
      <alignment horizontal="center" vertical="center"/>
      <protection locked="0"/>
    </xf>
    <xf numFmtId="0" fontId="7" fillId="0" borderId="11" xfId="6" applyFont="1" applyFill="1" applyBorder="1" applyAlignment="1" applyProtection="1">
      <alignment horizontal="center" vertical="center" wrapText="1"/>
    </xf>
    <xf numFmtId="0" fontId="7" fillId="0" borderId="12" xfId="6" applyFont="1" applyFill="1" applyBorder="1" applyAlignment="1" applyProtection="1">
      <alignment horizontal="center" vertical="center" wrapText="1"/>
    </xf>
    <xf numFmtId="0" fontId="7" fillId="0" borderId="20" xfId="6" applyFont="1" applyFill="1" applyBorder="1" applyAlignment="1" applyProtection="1">
      <alignment horizontal="center" vertical="center" wrapText="1"/>
    </xf>
    <xf numFmtId="164" fontId="25" fillId="0" borderId="4" xfId="6" applyNumberFormat="1" applyFont="1" applyFill="1" applyBorder="1" applyAlignment="1" applyProtection="1">
      <alignment horizontal="center" vertical="center"/>
    </xf>
    <xf numFmtId="164" fontId="25" fillId="0" borderId="35" xfId="6" applyNumberFormat="1" applyFont="1" applyFill="1" applyBorder="1" applyAlignment="1" applyProtection="1">
      <alignment horizontal="center" vertical="center"/>
    </xf>
    <xf numFmtId="0" fontId="25" fillId="0" borderId="53" xfId="0" applyFont="1" applyFill="1" applyBorder="1" applyAlignment="1">
      <alignment horizontal="left" vertical="center" indent="2"/>
    </xf>
    <xf numFmtId="0" fontId="25" fillId="0" borderId="23" xfId="0" applyFont="1" applyFill="1" applyBorder="1" applyAlignment="1">
      <alignment horizontal="left" vertical="center" indent="2"/>
    </xf>
    <xf numFmtId="0" fontId="46" fillId="0" borderId="0" xfId="0" applyFont="1" applyFill="1" applyAlignment="1" applyProtection="1">
      <alignment horizontal="right"/>
      <protection locked="0"/>
    </xf>
    <xf numFmtId="0" fontId="37" fillId="0" borderId="0" xfId="8" applyFont="1" applyFill="1" applyAlignment="1" applyProtection="1">
      <alignment horizontal="center"/>
    </xf>
    <xf numFmtId="0" fontId="46" fillId="0" borderId="0" xfId="7" applyFont="1" applyFill="1" applyAlignment="1" applyProtection="1">
      <alignment horizontal="right" vertical="center" wrapText="1"/>
      <protection locked="0"/>
    </xf>
    <xf numFmtId="0" fontId="14" fillId="0" borderId="0" xfId="7" applyFill="1" applyAlignment="1" applyProtection="1">
      <alignment horizontal="right" vertical="center" wrapText="1"/>
      <protection locked="0"/>
    </xf>
    <xf numFmtId="0" fontId="18" fillId="0" borderId="0" xfId="7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6" fillId="0" borderId="0" xfId="7" applyFont="1" applyFill="1" applyAlignment="1" applyProtection="1">
      <alignment horizontal="center" vertical="center" wrapText="1"/>
      <protection locked="0"/>
    </xf>
    <xf numFmtId="0" fontId="29" fillId="0" borderId="0" xfId="7" applyFont="1" applyFill="1" applyBorder="1" applyAlignment="1" applyProtection="1">
      <alignment horizontal="right" vertical="center"/>
      <protection locked="0"/>
    </xf>
    <xf numFmtId="0" fontId="18" fillId="0" borderId="11" xfId="7" applyFont="1" applyFill="1" applyBorder="1" applyAlignment="1" applyProtection="1">
      <alignment horizontal="center" vertical="center" wrapText="1"/>
      <protection locked="0"/>
    </xf>
    <xf numFmtId="0" fontId="18" fillId="0" borderId="8" xfId="7" applyFont="1" applyFill="1" applyBorder="1" applyAlignment="1" applyProtection="1">
      <alignment horizontal="center" vertical="center" wrapText="1"/>
      <protection locked="0"/>
    </xf>
    <xf numFmtId="0" fontId="54" fillId="0" borderId="4" xfId="7" applyFont="1" applyFill="1" applyBorder="1" applyAlignment="1" applyProtection="1">
      <alignment horizontal="center" vertical="center" textRotation="90"/>
      <protection locked="0"/>
    </xf>
    <xf numFmtId="0" fontId="54" fillId="0" borderId="2" xfId="7" applyFont="1" applyFill="1" applyBorder="1" applyAlignment="1" applyProtection="1">
      <alignment horizontal="center" vertical="center" textRotation="90"/>
      <protection locked="0"/>
    </xf>
    <xf numFmtId="0" fontId="5" fillId="0" borderId="35" xfId="7" applyFont="1" applyFill="1" applyBorder="1" applyAlignment="1" applyProtection="1">
      <alignment horizontal="center" vertical="center" wrapText="1"/>
      <protection locked="0"/>
    </xf>
    <xf numFmtId="0" fontId="5" fillId="0" borderId="17" xfId="7" applyFont="1" applyFill="1" applyBorder="1" applyAlignment="1" applyProtection="1">
      <alignment horizontal="center" vertical="center"/>
      <protection locked="0"/>
    </xf>
    <xf numFmtId="0" fontId="37" fillId="0" borderId="0" xfId="8" applyFont="1" applyFill="1" applyAlignment="1" applyProtection="1">
      <alignment horizontal="left"/>
    </xf>
    <xf numFmtId="0" fontId="47" fillId="0" borderId="0" xfId="8" applyFont="1" applyFill="1" applyAlignment="1" applyProtection="1">
      <alignment horizontal="right"/>
      <protection locked="0"/>
    </xf>
    <xf numFmtId="0" fontId="50" fillId="0" borderId="0" xfId="8" applyFont="1" applyFill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50" fillId="0" borderId="0" xfId="8" applyFont="1" applyFill="1" applyAlignment="1" applyProtection="1">
      <alignment horizontal="center" vertical="center" wrapText="1"/>
      <protection locked="0"/>
    </xf>
    <xf numFmtId="0" fontId="50" fillId="0" borderId="0" xfId="8" applyFont="1" applyFill="1" applyAlignment="1" applyProtection="1">
      <alignment horizontal="center" vertical="center"/>
      <protection locked="0"/>
    </xf>
    <xf numFmtId="0" fontId="52" fillId="0" borderId="0" xfId="8" applyFont="1" applyFill="1" applyBorder="1" applyAlignment="1" applyProtection="1">
      <alignment horizontal="right"/>
      <protection locked="0"/>
    </xf>
    <xf numFmtId="0" fontId="53" fillId="0" borderId="15" xfId="8" applyFont="1" applyFill="1" applyBorder="1" applyAlignment="1" applyProtection="1">
      <alignment horizontal="center" vertical="center" wrapText="1"/>
      <protection locked="0"/>
    </xf>
    <xf numFmtId="0" fontId="53" fillId="0" borderId="7" xfId="8" applyFont="1" applyFill="1" applyBorder="1" applyAlignment="1" applyProtection="1">
      <alignment horizontal="center" vertical="center" wrapText="1"/>
      <protection locked="0"/>
    </xf>
    <xf numFmtId="0" fontId="53" fillId="0" borderId="9" xfId="8" applyFont="1" applyFill="1" applyBorder="1" applyAlignment="1" applyProtection="1">
      <alignment horizontal="center" vertical="center" wrapText="1"/>
      <protection locked="0"/>
    </xf>
    <xf numFmtId="0" fontId="54" fillId="0" borderId="16" xfId="7" applyFont="1" applyFill="1" applyBorder="1" applyAlignment="1" applyProtection="1">
      <alignment horizontal="center" vertical="center" textRotation="90"/>
      <protection locked="0"/>
    </xf>
    <xf numFmtId="0" fontId="54" fillId="0" borderId="1" xfId="7" applyFont="1" applyFill="1" applyBorder="1" applyAlignment="1" applyProtection="1">
      <alignment horizontal="center" vertical="center" textRotation="90"/>
      <protection locked="0"/>
    </xf>
    <xf numFmtId="0" fontId="54" fillId="0" borderId="3" xfId="7" applyFont="1" applyFill="1" applyBorder="1" applyAlignment="1" applyProtection="1">
      <alignment horizontal="center" vertical="center" textRotation="90"/>
      <protection locked="0"/>
    </xf>
    <xf numFmtId="0" fontId="52" fillId="0" borderId="4" xfId="8" applyFont="1" applyFill="1" applyBorder="1" applyAlignment="1" applyProtection="1">
      <alignment horizontal="center" vertical="center" wrapText="1"/>
      <protection locked="0"/>
    </xf>
    <xf numFmtId="0" fontId="52" fillId="0" borderId="2" xfId="8" applyFont="1" applyFill="1" applyBorder="1" applyAlignment="1" applyProtection="1">
      <alignment horizontal="center" vertical="center" wrapText="1"/>
      <protection locked="0"/>
    </xf>
    <xf numFmtId="0" fontId="52" fillId="0" borderId="64" xfId="8" applyFont="1" applyFill="1" applyBorder="1" applyAlignment="1" applyProtection="1">
      <alignment horizontal="center" vertical="center" wrapText="1"/>
      <protection locked="0"/>
    </xf>
    <xf numFmtId="0" fontId="52" fillId="0" borderId="63" xfId="8" applyFont="1" applyFill="1" applyBorder="1" applyAlignment="1" applyProtection="1">
      <alignment horizontal="center" vertical="center" wrapText="1"/>
      <protection locked="0"/>
    </xf>
    <xf numFmtId="0" fontId="52" fillId="0" borderId="2" xfId="8" applyFont="1" applyFill="1" applyBorder="1" applyAlignment="1" applyProtection="1">
      <alignment horizontal="center" wrapText="1"/>
      <protection locked="0"/>
    </xf>
    <xf numFmtId="0" fontId="52" fillId="0" borderId="17" xfId="8" applyFont="1" applyFill="1" applyBorder="1" applyAlignment="1" applyProtection="1">
      <alignment horizontal="center" wrapText="1"/>
      <protection locked="0"/>
    </xf>
    <xf numFmtId="0" fontId="50" fillId="0" borderId="0" xfId="8" applyFont="1" applyFill="1" applyAlignment="1">
      <alignment horizontal="center" vertical="center" wrapText="1"/>
    </xf>
    <xf numFmtId="0" fontId="50" fillId="0" borderId="0" xfId="8" applyFont="1" applyFill="1" applyAlignment="1">
      <alignment horizontal="center" vertical="center"/>
    </xf>
    <xf numFmtId="0" fontId="20" fillId="0" borderId="53" xfId="8" applyFont="1" applyFill="1" applyBorder="1" applyAlignment="1">
      <alignment horizontal="left"/>
    </xf>
    <xf numFmtId="0" fontId="20" fillId="0" borderId="23" xfId="8" applyFont="1" applyFill="1" applyBorder="1" applyAlignment="1">
      <alignment horizontal="left"/>
    </xf>
    <xf numFmtId="3" fontId="37" fillId="0" borderId="0" xfId="8" applyNumberFormat="1" applyFont="1" applyFill="1" applyAlignment="1">
      <alignment horizontal="center"/>
    </xf>
    <xf numFmtId="0" fontId="47" fillId="0" borderId="0" xfId="8" applyFont="1" applyFill="1" applyAlignment="1">
      <alignment horizontal="right"/>
    </xf>
    <xf numFmtId="0" fontId="50" fillId="0" borderId="0" xfId="8" applyFont="1" applyFill="1" applyAlignment="1">
      <alignment horizontal="center"/>
    </xf>
    <xf numFmtId="0" fontId="46" fillId="0" borderId="0" xfId="0" applyFont="1" applyAlignment="1" applyProtection="1">
      <alignment horizontal="center" textRotation="180"/>
      <protection locked="0"/>
    </xf>
    <xf numFmtId="0" fontId="60" fillId="0" borderId="13" xfId="0" applyFont="1" applyBorder="1" applyAlignment="1" applyProtection="1">
      <alignment wrapText="1"/>
    </xf>
    <xf numFmtId="0" fontId="60" fillId="0" borderId="14" xfId="0" applyFont="1" applyBorder="1" applyAlignment="1" applyProtection="1">
      <alignment wrapText="1"/>
    </xf>
    <xf numFmtId="0" fontId="18" fillId="0" borderId="0" xfId="0" applyFont="1" applyAlignment="1" applyProtection="1">
      <alignment horizontal="center"/>
      <protection locked="0"/>
    </xf>
    <xf numFmtId="0" fontId="60" fillId="0" borderId="0" xfId="0" applyFont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46" fillId="0" borderId="0" xfId="0" applyFont="1" applyAlignment="1">
      <alignment horizontal="right"/>
    </xf>
  </cellXfs>
  <cellStyles count="10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_KVRENMUNKA" xfId="6"/>
    <cellStyle name="Normál_VAGYONK" xfId="7"/>
    <cellStyle name="Normál_VAGYONKIM" xfId="8"/>
    <cellStyle name="Százalék 2" xfId="9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6"/>
  <sheetViews>
    <sheetView topLeftCell="A49" zoomScale="120" zoomScaleNormal="120" workbookViewId="0">
      <selection activeCell="C9" sqref="C9"/>
    </sheetView>
  </sheetViews>
  <sheetFormatPr defaultRowHeight="12.75" x14ac:dyDescent="0.2"/>
  <cols>
    <col min="1" max="1" width="34.83203125" customWidth="1"/>
    <col min="2" max="2" width="91.1640625" customWidth="1"/>
    <col min="3" max="3" width="35.33203125" customWidth="1"/>
  </cols>
  <sheetData>
    <row r="2" spans="1:3" ht="18.75" x14ac:dyDescent="0.2">
      <c r="A2" s="655" t="s">
        <v>735</v>
      </c>
      <c r="B2" s="655"/>
      <c r="C2" s="655"/>
    </row>
    <row r="3" spans="1:3" ht="15" x14ac:dyDescent="0.25">
      <c r="A3" s="600"/>
      <c r="B3" s="601"/>
      <c r="C3" s="600"/>
    </row>
    <row r="4" spans="1:3" ht="14.25" x14ac:dyDescent="0.2">
      <c r="A4" s="602" t="s">
        <v>736</v>
      </c>
      <c r="B4" s="603" t="s">
        <v>737</v>
      </c>
      <c r="C4" s="602" t="s">
        <v>738</v>
      </c>
    </row>
    <row r="5" spans="1:3" x14ac:dyDescent="0.2">
      <c r="A5" s="604"/>
      <c r="B5" s="604"/>
      <c r="C5" s="604"/>
    </row>
    <row r="6" spans="1:3" ht="18.75" x14ac:dyDescent="0.3">
      <c r="A6" s="656" t="s">
        <v>770</v>
      </c>
      <c r="B6" s="656"/>
      <c r="C6" s="656"/>
    </row>
    <row r="7" spans="1:3" x14ac:dyDescent="0.2">
      <c r="A7" s="604" t="s">
        <v>739</v>
      </c>
      <c r="B7" s="604" t="s">
        <v>740</v>
      </c>
      <c r="C7" s="605" t="str">
        <f ca="1">HYPERLINK(SUBSTITUTE(CELL("address",Z_ALAPADATOK!A1),"'",""),SUBSTITUTE(MID(CELL("address",Z_ALAPADATOK!A1),SEARCH("]",CELL("address",Z_ALAPADATOK!A1),1)+1,LEN(CELL("address",Z_ALAPADATOK!A1))-SEARCH("]",CELL("address",Z_ALAPADATOK!A1),1)),"'",""))</f>
        <v>Z_ALAPADATOK!$A$1</v>
      </c>
    </row>
    <row r="8" spans="1:3" x14ac:dyDescent="0.2">
      <c r="A8" s="604" t="s">
        <v>741</v>
      </c>
      <c r="B8" s="604" t="s">
        <v>778</v>
      </c>
      <c r="C8" s="605" t="str">
        <f ca="1">HYPERLINK(SUBSTITUTE(CELL("address",Z_ÖSSZEFÜGGÉSEK!A1),"'",""),SUBSTITUTE(MID(CELL("address",Z_ÖSSZEFÜGGÉSEK!A1),SEARCH("]",CELL("address",Z_ÖSSZEFÜGGÉSEK!A1),1)+1,LEN(CELL("address",Z_ÖSSZEFÜGGÉSEK!A1))-SEARCH("]",CELL("address",Z_ÖSSZEFÜGGÉSEK!A1),1)),"'",""))</f>
        <v>Z_ÖSSZEFÜGGÉSEK!$A$1</v>
      </c>
    </row>
    <row r="9" spans="1:3" x14ac:dyDescent="0.2">
      <c r="A9" s="604" t="s">
        <v>742</v>
      </c>
      <c r="B9" s="604" t="str">
        <f>CONCATENATE(LOWER('Z_1.1.sz.mell.'!A3))</f>
        <v>2018. évi zárszámadásának pénzügyi mérlege</v>
      </c>
      <c r="C9" s="605" t="str">
        <f ca="1">HYPERLINK(SUBSTITUTE(CELL("address",'Z_1.1.sz.mell.'!A1),"'",""),SUBSTITUTE(MID(CELL("address",'Z_1.1.sz.mell.'!A1),SEARCH("]",CELL("address",'Z_1.1.sz.mell.'!A1),1)+1,LEN(CELL("address",'Z_1.1.sz.mell.'!A1))-SEARCH("]",CELL("address",'Z_1.1.sz.mell.'!A1),1)),"'",""))</f>
        <v>Z_1.1.sz.mell.!$A$1</v>
      </c>
    </row>
    <row r="10" spans="1:3" x14ac:dyDescent="0.2">
      <c r="A10" s="604" t="s">
        <v>743</v>
      </c>
      <c r="B10" s="604" t="str">
        <f>'Z_1.2.sz.mell.'!A3</f>
        <v>2018. ÉVI ZÁRSZÁMADSÁS</v>
      </c>
      <c r="C10" s="605" t="str">
        <f ca="1">HYPERLINK(SUBSTITUTE(CELL("address",'Z_1.2.sz.mell.'!A1),"'",""),SUBSTITUTE(MID(CELL("address",'Z_1.2.sz.mell.'!A1),SEARCH("]",CELL("address",'Z_1.2.sz.mell.'!A1),1)+1,LEN(CELL("address",'Z_1.2.sz.mell.'!A1))-SEARCH("]",CELL("address",'Z_1.2.sz.mell.'!A1),1)),"'",""))</f>
        <v>Z_1.2.sz.mell.!$A$1</v>
      </c>
    </row>
    <row r="11" spans="1:3" x14ac:dyDescent="0.2">
      <c r="A11" s="604" t="s">
        <v>744</v>
      </c>
      <c r="B11" s="604" t="str">
        <f>'Z_1.3.sz.mell.'!A3</f>
        <v>2018. ÉVI ZÁRSZÁMADSÁS</v>
      </c>
      <c r="C11" s="605" t="str">
        <f ca="1">HYPERLINK(SUBSTITUTE(CELL("address",'Z_1.3.sz.mell.'!A1),"'",""),SUBSTITUTE(MID(CELL("address",'Z_1.3.sz.mell.'!A1),SEARCH("]",CELL("address",'Z_1.3.sz.mell.'!A1),1)+1,LEN(CELL("address",'Z_1.3.sz.mell.'!A1))-SEARCH("]",CELL("address",'Z_1.3.sz.mell.'!A1),1)),"'",""))</f>
        <v>Z_1.3.sz.mell.!$A$1</v>
      </c>
    </row>
    <row r="12" spans="1:3" x14ac:dyDescent="0.2">
      <c r="A12" s="604" t="s">
        <v>745</v>
      </c>
      <c r="B12" s="604" t="e">
        <f>#REF!</f>
        <v>#REF!</v>
      </c>
      <c r="C12" s="60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3" spans="1:3" x14ac:dyDescent="0.2">
      <c r="A13" s="604" t="s">
        <v>516</v>
      </c>
      <c r="B13" s="604" t="s">
        <v>746</v>
      </c>
      <c r="C13" s="605" t="str">
        <f ca="1">HYPERLINK(SUBSTITUTE(CELL("address",'Z_2.1.sz.mell'!A1),"'",""),SUBSTITUTE(MID(CELL("address",'Z_2.1.sz.mell'!A1),SEARCH("]",CELL("address",'Z_2.1.sz.mell'!A1),1)+1,LEN(CELL("address",'Z_2.1.sz.mell'!A1))-SEARCH("]",CELL("address",'Z_2.1.sz.mell'!A1),1)),"'",""))</f>
        <v>Z_2.1.sz.mell!$A$1</v>
      </c>
    </row>
    <row r="14" spans="1:3" x14ac:dyDescent="0.2">
      <c r="A14" s="604" t="s">
        <v>418</v>
      </c>
      <c r="B14" s="604" t="s">
        <v>747</v>
      </c>
      <c r="C14" s="605" t="str">
        <f ca="1">HYPERLINK(SUBSTITUTE(CELL("address",'Z_2.2.sz.mell'!A1),"'",""),SUBSTITUTE(MID(CELL("address",'Z_2.2.sz.mell'!A1),SEARCH("]",CELL("address",'Z_2.2.sz.mell'!A1),1)+1,LEN(CELL("address",'Z_2.2.sz.mell'!A1))-SEARCH("]",CELL("address",'Z_2.2.sz.mell'!A1),1)),"'",""))</f>
        <v>Z_2.2.sz.mell!$A$1</v>
      </c>
    </row>
    <row r="15" spans="1:3" x14ac:dyDescent="0.2">
      <c r="A15" s="604" t="s">
        <v>748</v>
      </c>
      <c r="B15" s="604" t="s">
        <v>749</v>
      </c>
      <c r="C15" s="605" t="str">
        <f ca="1">HYPERLINK(SUBSTITUTE(CELL("address",Z_ELLENŐRZÉS!A1),"'",""),SUBSTITUTE(MID(CELL("address",Z_ELLENŐRZÉS!A1),SEARCH("]",CELL("address",Z_ELLENŐRZÉS!A1),1)+1,LEN(CELL("address",Z_ELLENŐRZÉS!A1))-SEARCH("]",CELL("address",Z_ELLENŐRZÉS!A1),1)),"'",""))</f>
        <v>Z_ELLENŐRZÉS!$A$1</v>
      </c>
    </row>
    <row r="16" spans="1:3" x14ac:dyDescent="0.2">
      <c r="A16" s="604" t="s">
        <v>750</v>
      </c>
      <c r="B16" s="604" t="s">
        <v>751</v>
      </c>
      <c r="C16" s="605" t="str">
        <f ca="1">HYPERLINK(SUBSTITUTE(CELL("address",'Z_3.sz.mell.'!A1),"'",""),SUBSTITUTE(MID(CELL("address",'Z_3.sz.mell.'!A1),SEARCH("]",CELL("address",'Z_3.sz.mell.'!A1),1)+1,LEN(CELL("address",'Z_3.sz.mell.'!A1))-SEARCH("]",CELL("address",'Z_3.sz.mell.'!A1),1)),"'",""))</f>
        <v>Z_3.sz.mell.!$A$1</v>
      </c>
    </row>
    <row r="17" spans="1:3" x14ac:dyDescent="0.2">
      <c r="A17" s="604" t="s">
        <v>752</v>
      </c>
      <c r="B17" s="604" t="s">
        <v>753</v>
      </c>
      <c r="C17" s="605" t="str">
        <f ca="1">HYPERLINK(SUBSTITUTE(CELL("address",'Z_4.sz.mell.'!A1),"'",""),SUBSTITUTE(MID(CELL("address",'Z_4.sz.mell.'!A1),SEARCH("]",CELL("address",'Z_4.sz.mell.'!A1),1)+1,LEN(CELL("address",'Z_4.sz.mell.'!A1))-SEARCH("]",CELL("address",'Z_4.sz.mell.'!A1),1)),"'",""))</f>
        <v>Z_4.sz.mell.!$A$1</v>
      </c>
    </row>
    <row r="18" spans="1:3" x14ac:dyDescent="0.2">
      <c r="A18" s="604" t="s">
        <v>754</v>
      </c>
      <c r="B18" s="604" t="str">
        <f>'Z_5.sz.mell.'!A2</f>
        <v>Európai uniós támogatással megvalósuló projektek</v>
      </c>
      <c r="C18" s="605" t="str">
        <f ca="1">HYPERLINK(SUBSTITUTE(CELL("address",'Z_5.sz.mell.'!A1),"'",""),SUBSTITUTE(MID(CELL("address",'Z_5.sz.mell.'!A1),SEARCH("]",CELL("address",'Z_5.sz.mell.'!A1),1)+1,LEN(CELL("address",'Z_5.sz.mell.'!A1))-SEARCH("]",CELL("address",'Z_5.sz.mell.'!A1),1)),"'",""))</f>
        <v>Z_5.sz.mell.!$A$1</v>
      </c>
    </row>
    <row r="19" spans="1:3" x14ac:dyDescent="0.2">
      <c r="A19" s="604" t="s">
        <v>524</v>
      </c>
      <c r="B19" s="604" t="s">
        <v>755</v>
      </c>
      <c r="C19" s="605" t="str">
        <f ca="1">HYPERLINK(SUBSTITUTE(CELL("address",'Z_6.1.sz.mell'!A1),"'",""),SUBSTITUTE(MID(CELL("address",'Z_6.1.sz.mell'!A1),SEARCH("]",CELL("address",'Z_6.1.sz.mell'!A1),1)+1,LEN(CELL("address",'Z_6.1.sz.mell'!A1))-SEARCH("]",CELL("address",'Z_6.1.sz.mell'!A1),1)),"'",""))</f>
        <v>Z_6.1.sz.mell!$A$1</v>
      </c>
    </row>
    <row r="20" spans="1:3" x14ac:dyDescent="0.2">
      <c r="A20" s="604" t="s">
        <v>453</v>
      </c>
      <c r="B20" s="604" t="s">
        <v>756</v>
      </c>
      <c r="C20" s="605" t="str">
        <f ca="1">HYPERLINK(SUBSTITUTE(CELL("address",'Z_6.1.1.sz.mell'!A1),"'",""),SUBSTITUTE(MID(CELL("address",'Z_6.1.1.sz.mell'!A1),SEARCH("]",CELL("address",'Z_6.1.1.sz.mell'!A1),1)+1,LEN(CELL("address",'Z_6.1.1.sz.mell'!A1))-SEARCH("]",CELL("address",'Z_6.1.1.sz.mell'!A1),1)),"'",""))</f>
        <v>Z_6.1.1.sz.mell!$A$1</v>
      </c>
    </row>
    <row r="21" spans="1:3" x14ac:dyDescent="0.2">
      <c r="A21" s="604" t="s">
        <v>454</v>
      </c>
      <c r="B21" s="604" t="s">
        <v>322</v>
      </c>
      <c r="C21" s="605" t="str">
        <f ca="1">HYPERLINK(SUBSTITUTE(CELL("address",'Z_6.1.2.sz.mell'!A1),"'",""),SUBSTITUTE(MID(CELL("address",'Z_6.1.2.sz.mell'!A1),SEARCH("]",CELL("address",'Z_6.1.2.sz.mell'!A1),1)+1,LEN(CELL("address",'Z_6.1.2.sz.mell'!A1))-SEARCH("]",CELL("address",'Z_6.1.2.sz.mell'!A1),1)),"'",""))</f>
        <v>Z_6.1.2.sz.mell!$A$1</v>
      </c>
    </row>
    <row r="22" spans="1:3" x14ac:dyDescent="0.2">
      <c r="A22" s="604" t="s">
        <v>757</v>
      </c>
      <c r="B22" s="604" t="s">
        <v>758</v>
      </c>
      <c r="C22" s="60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3" spans="1:3" x14ac:dyDescent="0.2">
      <c r="A23" s="604" t="s">
        <v>759</v>
      </c>
      <c r="B23" s="604" t="str">
        <f>Z_ALAPADATOK!A11</f>
        <v>Kajárpéci Közös Önkormányzati Hivatal</v>
      </c>
      <c r="C23" s="605" t="str">
        <f ca="1">HYPERLINK(SUBSTITUTE(CELL("address",'Z_6.2.sz.mell'!A1),"'",""),SUBSTITUTE(MID(CELL("address",'Z_6.2.sz.mell'!A1),SEARCH("]",CELL("address",'Z_6.2.sz.mell'!A1),1)+1,LEN(CELL("address",'Z_6.2.sz.mell'!A1))-SEARCH("]",CELL("address",'Z_6.2.sz.mell'!A1),1)),"'",""))</f>
        <v>Z_6.2.sz.mell!$A$1</v>
      </c>
    </row>
    <row r="24" spans="1:3" x14ac:dyDescent="0.2">
      <c r="A24" s="604" t="s">
        <v>760</v>
      </c>
      <c r="B24" t="str">
        <f>Z_ALAPADATOK!B13</f>
        <v>1 kvi név</v>
      </c>
      <c r="C24" s="60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5" spans="1:3" x14ac:dyDescent="0.2">
      <c r="A25" s="604" t="s">
        <v>761</v>
      </c>
      <c r="B25" t="str">
        <f>Z_ALAPADATOK!B15</f>
        <v>2 kvi név</v>
      </c>
      <c r="C25" s="60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6" spans="1:3" x14ac:dyDescent="0.2">
      <c r="A26" s="604" t="s">
        <v>762</v>
      </c>
      <c r="B26" t="str">
        <f>Z_ALAPADATOK!B17</f>
        <v>3 kvi név</v>
      </c>
      <c r="C26" s="60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7" spans="1:3" x14ac:dyDescent="0.2">
      <c r="A27" s="604" t="s">
        <v>763</v>
      </c>
      <c r="B27" t="str">
        <f>Z_ALAPADATOK!B19</f>
        <v>4 kvi név</v>
      </c>
      <c r="C27" s="60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8" spans="1:3" x14ac:dyDescent="0.2">
      <c r="A28" s="604" t="s">
        <v>764</v>
      </c>
      <c r="B28" t="str">
        <f>Z_ALAPADATOK!B21</f>
        <v>5 kvi név</v>
      </c>
      <c r="C28" s="60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9" spans="1:3" x14ac:dyDescent="0.2">
      <c r="A29" s="604" t="s">
        <v>765</v>
      </c>
      <c r="B29" t="str">
        <f>Z_ALAPADATOK!B23</f>
        <v>6 kvi név</v>
      </c>
      <c r="C29" s="60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0" spans="1:3" x14ac:dyDescent="0.2">
      <c r="A30" s="604" t="s">
        <v>766</v>
      </c>
      <c r="B30" t="str">
        <f>Z_ALAPADATOK!B25</f>
        <v>7 kvi név</v>
      </c>
      <c r="C30" s="60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1" spans="1:3" x14ac:dyDescent="0.2">
      <c r="A31" s="604" t="s">
        <v>767</v>
      </c>
      <c r="B31" t="str">
        <f>Z_ALAPADATOK!B27</f>
        <v>8 kvi név</v>
      </c>
      <c r="C31" s="60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2" spans="1:3" x14ac:dyDescent="0.2">
      <c r="A32" s="604" t="s">
        <v>768</v>
      </c>
      <c r="B32" t="str">
        <f>Z_ALAPADATOK!B29</f>
        <v>9 kvi név</v>
      </c>
      <c r="C32" s="60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3" spans="1:3" x14ac:dyDescent="0.2">
      <c r="A33" s="604" t="s">
        <v>769</v>
      </c>
      <c r="B33" t="str">
        <f>Z_ALAPADATOK!B31</f>
        <v>10 kvi név</v>
      </c>
      <c r="C33" s="60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4" spans="1:3" x14ac:dyDescent="0.2">
      <c r="A34" s="604" t="s">
        <v>796</v>
      </c>
      <c r="B34" t="str">
        <f>PROPER('Z_7.sz.mell'!A3)</f>
        <v>Költségvetési Szervek Maradványának Alakulása</v>
      </c>
      <c r="C34" s="605" t="str">
        <f ca="1">HYPERLINK(SUBSTITUTE(CELL("address",'Z_7.sz.mell'!A1),"'",""),SUBSTITUTE(MID(CELL("address",'Z_7.sz.mell'!A1),SEARCH("]",CELL("address",'Z_7.sz.mell'!A1),1)+1,LEN(CELL("address",'Z_7.sz.mell'!A1))-SEARCH("]",CELL("address",'Z_7.sz.mell'!A1),1)),"'",""))</f>
        <v>Z_7.sz.mell!$A$1</v>
      </c>
    </row>
    <row r="35" spans="1:3" x14ac:dyDescent="0.2">
      <c r="A35" s="604" t="s">
        <v>797</v>
      </c>
      <c r="B35" t="str">
        <f>'Z_8.sz.mell'!B1</f>
        <v>2018. évi általános működés és ágazati feladatok támogatásának alakulása jogcímenként</v>
      </c>
      <c r="C35" s="605" t="str">
        <f ca="1">HYPERLINK(SUBSTITUTE(CELL("address",'Z_8.sz.mell'!A1),"'",""),SUBSTITUTE(MID(CELL("address",'Z_8.sz.mell'!A1),SEARCH("]",CELL("address",'Z_8.sz.mell'!A1),1)+1,LEN(CELL("address",'Z_8.sz.mell'!A1))-SEARCH("]",CELL("address",'Z_8.sz.mell'!A1),1)),"'",""))</f>
        <v>Z_8.sz.mell!$A$1</v>
      </c>
    </row>
    <row r="36" spans="1:3" x14ac:dyDescent="0.2">
      <c r="A36" s="604" t="s">
        <v>719</v>
      </c>
      <c r="B36" t="str">
        <f>CONCATENATE(PROPER('Z_1.tájékoztató_t.'!A2)," ",LOWER('Z_1.tájékoztató_t.'!A3))</f>
        <v>Kajárpéc Közésgi Önkormányzat 2019. évi zárszámadásának pénzügyi mérlege</v>
      </c>
      <c r="C36" s="605" t="str">
        <f ca="1">HYPERLINK(SUBSTITUTE(CELL("address",'Z_1.tájékoztató_t.'!A1),"'",""),SUBSTITUTE(MID(CELL("address",'Z_1.tájékoztató_t.'!A1),SEARCH("]",CELL("address",'Z_1.tájékoztató_t.'!A1),1)+1,LEN(CELL("address",'Z_1.tájékoztató_t.'!A1))-SEARCH("]",CELL("address",'Z_1.tájékoztató_t.'!A1),1)),"'",""))</f>
        <v>Z_1.tájékoztató_t.!$A$1</v>
      </c>
    </row>
    <row r="37" spans="1:3" x14ac:dyDescent="0.2">
      <c r="A37" s="604" t="s">
        <v>720</v>
      </c>
      <c r="B37" t="e">
        <f>#REF!</f>
        <v>#REF!</v>
      </c>
      <c r="C37" s="60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8" spans="1:3" x14ac:dyDescent="0.2">
      <c r="A38" s="604" t="s">
        <v>721</v>
      </c>
      <c r="B38" t="e">
        <f>#REF!</f>
        <v>#REF!</v>
      </c>
      <c r="C38" s="60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9" spans="1:3" x14ac:dyDescent="0.2">
      <c r="A39" s="604" t="s">
        <v>722</v>
      </c>
      <c r="B39" t="e">
        <f>#REF!</f>
        <v>#REF!</v>
      </c>
      <c r="C39" s="60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40" spans="1:3" x14ac:dyDescent="0.2">
      <c r="A40" s="604" t="s">
        <v>723</v>
      </c>
      <c r="B40" t="e">
        <f>#REF!</f>
        <v>#REF!</v>
      </c>
      <c r="C40" s="60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41" spans="1:3" x14ac:dyDescent="0.2">
      <c r="A41" s="604" t="s">
        <v>725</v>
      </c>
      <c r="B41" t="str">
        <f>CONCATENATE(PROPER('Z_6.tájékoztató_t.'!A3)," ",LOWER('Z_6.tájékoztató_t.'!A4))</f>
        <v>K I M U T A T Á S a 2018. évi céljelleggel juttatott támogatások felhasználásáról</v>
      </c>
      <c r="C41" s="605" t="str">
        <f ca="1">HYPERLINK(SUBSTITUTE(CELL("address",'Z_6.tájékoztató_t.'!A1),"'",""),SUBSTITUTE(MID(CELL("address",'Z_6.tájékoztató_t.'!A1),SEARCH("]",CELL("address",'Z_6.tájékoztató_t.'!A1),1)+1,LEN(CELL("address",'Z_6.tájékoztató_t.'!A1))-SEARCH("]",CELL("address",'Z_6.tájékoztató_t.'!A1),1)),"'",""))</f>
        <v>Z_6.tájékoztató_t.!$A$1</v>
      </c>
    </row>
    <row r="42" spans="1:3" x14ac:dyDescent="0.2">
      <c r="A42" s="604" t="s">
        <v>727</v>
      </c>
      <c r="B42" t="str">
        <f>CONCATENATE(PROPER('Z_7.1.tájékoztató_t.'!A2)," ",'Z_7.1.tájékoztató_t.'!A3)</f>
        <v>Vagyonkimutatás a könyvviteli mérlegben értékkel szerplő eszközökről</v>
      </c>
      <c r="C42" s="605" t="str">
        <f ca="1">HYPERLINK(SUBSTITUTE(CELL("address",'Z_7.1.tájékoztató_t.'!A1),"'",""),SUBSTITUTE(MID(CELL("address",'Z_7.1.tájékoztató_t.'!A1),SEARCH("]",CELL("address",'Z_7.1.tájékoztató_t.'!A1),1)+1,LEN(CELL("address",'Z_7.1.tájékoztató_t.'!A1))-SEARCH("]",CELL("address",'Z_7.1.tájékoztató_t.'!A1),1)),"'",""))</f>
        <v>Z_7.1.tájékoztató_t.!$A$1</v>
      </c>
    </row>
    <row r="43" spans="1:3" x14ac:dyDescent="0.2">
      <c r="A43" s="604" t="s">
        <v>730</v>
      </c>
      <c r="B43" t="str">
        <f>CONCATENATE(PROPER('Z_7.2.tájékoztató_t.'!A3)," ",'Z_7.2.tájékoztató_t.'!A4)</f>
        <v>Vagyonkimutatás a könyvviteli mérlegben értékkel szereplő forrásokról</v>
      </c>
      <c r="C43" s="605" t="str">
        <f ca="1">HYPERLINK(SUBSTITUTE(CELL("address",'Z_7.2.tájékoztató_t.'!A1),"'",""),SUBSTITUTE(MID(CELL("address",'Z_7.2.tájékoztató_t.'!A1),SEARCH("]",CELL("address",'Z_7.2.tájékoztató_t.'!A1),1)+1,LEN(CELL("address",'Z_7.2.tájékoztató_t.'!A1))-SEARCH("]",CELL("address",'Z_7.2.tájékoztató_t.'!A1),1)),"'",""))</f>
        <v>Z_7.2.tájékoztató_t.!$A$1</v>
      </c>
    </row>
    <row r="44" spans="1:3" x14ac:dyDescent="0.2">
      <c r="A44" s="604" t="s">
        <v>731</v>
      </c>
      <c r="B44" t="str">
        <f>CONCATENATE(PROPER('Z_7.3.tájékoztató_t.'!A3)," ",'Z_7.3.tájékoztató_t.'!A4)</f>
        <v>Vagyonkimutatás az érték nélkül nyilvántartott eszkzözkről</v>
      </c>
      <c r="C44" s="605" t="str">
        <f ca="1">HYPERLINK(SUBSTITUTE(CELL("address",'Z_7.3.tájékoztató_t.'!A1),"'",""),SUBSTITUTE(MID(CELL("address",'Z_7.3.tájékoztató_t.'!A1),SEARCH("]",CELL("address",'Z_7.3.tájékoztató_t.'!A1),1)+1,LEN(CELL("address",'Z_7.3.tájékoztató_t.'!A1))-SEARCH("]",CELL("address",'Z_7.3.tájékoztató_t.'!A1),1)),"'",""))</f>
        <v>Z_7.3.tájékoztató_t.!$A$1</v>
      </c>
    </row>
    <row r="45" spans="1:3" x14ac:dyDescent="0.2">
      <c r="A45" s="604" t="s">
        <v>733</v>
      </c>
      <c r="B45" t="str">
        <f>CONCATENATE('Z_8.tájékoztató_t.'!A2,'Z_8.tájékoztató_t.'!A3)</f>
        <v>Kajárpéc Közésgi Önkormányzat tulajdonában álló gazdálkodó szervezetek működéséből származókötelezettségek és részesedések alakulása 2018-ban</v>
      </c>
      <c r="C45" s="605" t="str">
        <f ca="1">HYPERLINK(SUBSTITUTE(CELL("address",'Z_8.tájékoztató_t.'!A1),"'",""),SUBSTITUTE(MID(CELL("address",'Z_8.tájékoztató_t.'!A1),SEARCH("]",CELL("address",'Z_8.tájékoztató_t.'!A1),1)+1,LEN(CELL("address",'Z_8.tájékoztató_t.'!A1))-SEARCH("]",CELL("address",'Z_8.tájékoztató_t.'!A1),1)),"'",""))</f>
        <v>Z_8.tájékoztató_t.!$A$1</v>
      </c>
    </row>
    <row r="46" spans="1:3" x14ac:dyDescent="0.2">
      <c r="A46" s="604" t="s">
        <v>734</v>
      </c>
      <c r="B46" t="s">
        <v>771</v>
      </c>
      <c r="C46" s="605" t="str">
        <f ca="1">HYPERLINK(SUBSTITUTE(CELL("address",'Z_9.tájékoztató_t.'!A1),"'",""),SUBSTITUTE(MID(CELL("address",'Z_9.tájékoztató_t.'!A1),SEARCH("]",CELL("address",'Z_9.tájékoztató_t.'!A1),1)+1,LEN(CELL("address",'Z_9.tájékoztató_t.'!A1))-SEARCH("]",CELL("address",'Z_9.tájékoztató_t.'!A1),1)),"'",""))</f>
        <v>Z_9.tájékoztató_t.!$A$1</v>
      </c>
    </row>
  </sheetData>
  <sheetProtection sheet="1"/>
  <mergeCells count="2">
    <mergeCell ref="A2:C2"/>
    <mergeCell ref="A6:C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5"/>
  <sheetViews>
    <sheetView zoomScale="120" zoomScaleNormal="120" workbookViewId="0">
      <selection activeCell="F10" sqref="F10"/>
    </sheetView>
  </sheetViews>
  <sheetFormatPr defaultRowHeight="12.75" x14ac:dyDescent="0.2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3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86"/>
      <c r="B1" s="686" t="str">
        <f>CONCATENATE("3. melléklet ",Z_ALAPADATOK!A7," ",Z_ALAPADATOK!B7," ",Z_ALAPADATOK!C7," ",Z_ALAPADATOK!D7," ",Z_ALAPADATOK!E7," ",Z_ALAPADATOK!F7," ",Z_ALAPADATOK!G7," ",Z_ALAPADATOK!H7)</f>
        <v>3. melléklet a 6 / 2019. ( IV.25 ) önkormányzati rendelethez</v>
      </c>
      <c r="C1" s="687"/>
      <c r="D1" s="687"/>
      <c r="E1" s="687"/>
      <c r="F1" s="687"/>
      <c r="G1" s="687"/>
    </row>
    <row r="2" spans="1:7" x14ac:dyDescent="0.2">
      <c r="A2" s="386"/>
      <c r="B2" s="387"/>
      <c r="C2" s="387"/>
      <c r="D2" s="387"/>
      <c r="E2" s="387"/>
      <c r="F2" s="387"/>
      <c r="G2" s="387"/>
    </row>
    <row r="3" spans="1:7" ht="25.5" customHeight="1" x14ac:dyDescent="0.2">
      <c r="A3" s="685" t="s">
        <v>520</v>
      </c>
      <c r="B3" s="685"/>
      <c r="C3" s="685"/>
      <c r="D3" s="685"/>
      <c r="E3" s="685"/>
      <c r="F3" s="685"/>
      <c r="G3" s="685"/>
    </row>
    <row r="4" spans="1:7" ht="22.5" customHeight="1" thickBot="1" x14ac:dyDescent="0.3">
      <c r="A4" s="386"/>
      <c r="B4" s="387"/>
      <c r="C4" s="387"/>
      <c r="D4" s="387"/>
      <c r="E4" s="387"/>
      <c r="F4" s="387"/>
      <c r="G4" s="388" t="e">
        <f>'Z_2.2.sz.mell'!I2</f>
        <v>#REF!</v>
      </c>
    </row>
    <row r="5" spans="1:7" s="29" customFormat="1" ht="44.45" customHeight="1" thickBot="1" x14ac:dyDescent="0.25">
      <c r="A5" s="389" t="s">
        <v>48</v>
      </c>
      <c r="B5" s="355" t="s">
        <v>49</v>
      </c>
      <c r="C5" s="355" t="s">
        <v>50</v>
      </c>
      <c r="D5" s="355" t="str">
        <f>+CONCATENATE("Felhasználás   ",LEFT(Z_ÖSSZEFÜGGÉSEK!A6,4)-1,". XII. 31-ig")</f>
        <v>Felhasználás   2017. XII. 31-ig</v>
      </c>
      <c r="E5" s="355" t="str">
        <f>+CONCATENATE(LEFT(Z_ÖSSZEFÜGGÉSEK!A6,4),". évi",CHAR(10),"módosított előirányzat")</f>
        <v>2018. évi
módosított előirányzat</v>
      </c>
      <c r="F5" s="355" t="str">
        <f>+CONCATENATE("Teljesítés",CHAR(10),LEFT(Z_ÖSSZEFÜGGÉSEK!A6,4),". XII. 31-ig")</f>
        <v>Teljesítés
2018. XII. 31-ig</v>
      </c>
      <c r="G5" s="356" t="str">
        <f>+CONCATENATE("Összes teljesítés",CHAR(10),LEFT(Z_ÖSSZEFÜGGÉSEK!A6,4),". XII. 31-ig")</f>
        <v>Összes teljesítés
2018. XII. 31-ig</v>
      </c>
    </row>
    <row r="6" spans="1:7" s="33" customFormat="1" ht="12" customHeight="1" thickBot="1" x14ac:dyDescent="0.25">
      <c r="A6" s="390" t="s">
        <v>383</v>
      </c>
      <c r="B6" s="391" t="s">
        <v>384</v>
      </c>
      <c r="C6" s="391" t="s">
        <v>385</v>
      </c>
      <c r="D6" s="391" t="s">
        <v>387</v>
      </c>
      <c r="E6" s="391" t="s">
        <v>386</v>
      </c>
      <c r="F6" s="391" t="s">
        <v>388</v>
      </c>
      <c r="G6" s="392" t="s">
        <v>437</v>
      </c>
    </row>
    <row r="7" spans="1:7" ht="15.95" customHeight="1" x14ac:dyDescent="0.2">
      <c r="A7" s="213" t="s">
        <v>823</v>
      </c>
      <c r="B7" s="21">
        <v>7000000</v>
      </c>
      <c r="C7" s="215" t="s">
        <v>824</v>
      </c>
      <c r="D7" s="21">
        <v>3414394</v>
      </c>
      <c r="E7" s="21">
        <v>3585606</v>
      </c>
      <c r="F7" s="444">
        <v>3585606</v>
      </c>
      <c r="G7" s="34">
        <f>D7+F7</f>
        <v>7000000</v>
      </c>
    </row>
    <row r="8" spans="1:7" ht="15.95" customHeight="1" x14ac:dyDescent="0.2">
      <c r="A8" s="213" t="s">
        <v>825</v>
      </c>
      <c r="B8" s="21">
        <v>5306389</v>
      </c>
      <c r="C8" s="215" t="s">
        <v>826</v>
      </c>
      <c r="D8" s="21">
        <v>0</v>
      </c>
      <c r="E8" s="21">
        <v>5306389</v>
      </c>
      <c r="F8" s="444">
        <v>5306389</v>
      </c>
      <c r="G8" s="34">
        <f>D8+F8</f>
        <v>5306389</v>
      </c>
    </row>
    <row r="9" spans="1:7" ht="15.95" customHeight="1" x14ac:dyDescent="0.2">
      <c r="A9" s="213"/>
      <c r="B9" s="21"/>
      <c r="C9" s="215"/>
      <c r="D9" s="21"/>
      <c r="E9" s="21"/>
      <c r="F9" s="21"/>
      <c r="G9" s="34">
        <f t="shared" ref="G9:G24" si="0">B9-D9-F9</f>
        <v>0</v>
      </c>
    </row>
    <row r="10" spans="1:7" ht="15.95" customHeight="1" x14ac:dyDescent="0.2">
      <c r="A10" s="214"/>
      <c r="B10" s="21"/>
      <c r="C10" s="215"/>
      <c r="D10" s="21"/>
      <c r="E10" s="21"/>
      <c r="F10" s="21"/>
      <c r="G10" s="34">
        <f t="shared" si="0"/>
        <v>0</v>
      </c>
    </row>
    <row r="11" spans="1:7" ht="15.95" customHeight="1" x14ac:dyDescent="0.2">
      <c r="A11" s="213"/>
      <c r="B11" s="21"/>
      <c r="C11" s="215"/>
      <c r="D11" s="21"/>
      <c r="E11" s="21"/>
      <c r="F11" s="21"/>
      <c r="G11" s="34">
        <f t="shared" si="0"/>
        <v>0</v>
      </c>
    </row>
    <row r="12" spans="1:7" ht="15.95" customHeight="1" x14ac:dyDescent="0.2">
      <c r="A12" s="214"/>
      <c r="B12" s="21"/>
      <c r="C12" s="215"/>
      <c r="D12" s="21"/>
      <c r="E12" s="21"/>
      <c r="F12" s="21"/>
      <c r="G12" s="34">
        <f t="shared" si="0"/>
        <v>0</v>
      </c>
    </row>
    <row r="13" spans="1:7" ht="15.95" customHeight="1" x14ac:dyDescent="0.2">
      <c r="A13" s="213"/>
      <c r="B13" s="21"/>
      <c r="C13" s="215"/>
      <c r="D13" s="21"/>
      <c r="E13" s="21"/>
      <c r="F13" s="21"/>
      <c r="G13" s="34">
        <f t="shared" si="0"/>
        <v>0</v>
      </c>
    </row>
    <row r="14" spans="1:7" ht="15.95" customHeight="1" x14ac:dyDescent="0.2">
      <c r="A14" s="213"/>
      <c r="B14" s="21"/>
      <c r="C14" s="215"/>
      <c r="D14" s="21"/>
      <c r="E14" s="21"/>
      <c r="F14" s="21"/>
      <c r="G14" s="34">
        <f t="shared" si="0"/>
        <v>0</v>
      </c>
    </row>
    <row r="15" spans="1:7" ht="15.95" customHeight="1" x14ac:dyDescent="0.2">
      <c r="A15" s="213"/>
      <c r="B15" s="21"/>
      <c r="C15" s="215"/>
      <c r="D15" s="21"/>
      <c r="E15" s="21"/>
      <c r="F15" s="21"/>
      <c r="G15" s="34">
        <f t="shared" si="0"/>
        <v>0</v>
      </c>
    </row>
    <row r="16" spans="1:7" ht="15.95" customHeight="1" x14ac:dyDescent="0.2">
      <c r="A16" s="213"/>
      <c r="B16" s="21"/>
      <c r="C16" s="215"/>
      <c r="D16" s="21"/>
      <c r="E16" s="21"/>
      <c r="F16" s="21"/>
      <c r="G16" s="34">
        <f t="shared" si="0"/>
        <v>0</v>
      </c>
    </row>
    <row r="17" spans="1:7" ht="15.95" customHeight="1" x14ac:dyDescent="0.2">
      <c r="A17" s="213"/>
      <c r="B17" s="21"/>
      <c r="C17" s="215"/>
      <c r="D17" s="21"/>
      <c r="E17" s="21"/>
      <c r="F17" s="21"/>
      <c r="G17" s="34">
        <f t="shared" si="0"/>
        <v>0</v>
      </c>
    </row>
    <row r="18" spans="1:7" ht="15.95" customHeight="1" x14ac:dyDescent="0.2">
      <c r="A18" s="213"/>
      <c r="B18" s="21"/>
      <c r="C18" s="215"/>
      <c r="D18" s="21"/>
      <c r="E18" s="21"/>
      <c r="F18" s="21"/>
      <c r="G18" s="34">
        <f t="shared" si="0"/>
        <v>0</v>
      </c>
    </row>
    <row r="19" spans="1:7" ht="15.95" customHeight="1" x14ac:dyDescent="0.2">
      <c r="A19" s="213"/>
      <c r="B19" s="21"/>
      <c r="C19" s="215"/>
      <c r="D19" s="21"/>
      <c r="E19" s="21"/>
      <c r="F19" s="21"/>
      <c r="G19" s="34">
        <f t="shared" si="0"/>
        <v>0</v>
      </c>
    </row>
    <row r="20" spans="1:7" ht="15.95" customHeight="1" x14ac:dyDescent="0.2">
      <c r="A20" s="213"/>
      <c r="B20" s="21"/>
      <c r="C20" s="215"/>
      <c r="D20" s="21"/>
      <c r="E20" s="21"/>
      <c r="F20" s="21"/>
      <c r="G20" s="34">
        <f t="shared" si="0"/>
        <v>0</v>
      </c>
    </row>
    <row r="21" spans="1:7" ht="15.95" customHeight="1" x14ac:dyDescent="0.2">
      <c r="A21" s="213"/>
      <c r="B21" s="21"/>
      <c r="C21" s="215"/>
      <c r="D21" s="21"/>
      <c r="E21" s="21"/>
      <c r="F21" s="21"/>
      <c r="G21" s="34">
        <f t="shared" si="0"/>
        <v>0</v>
      </c>
    </row>
    <row r="22" spans="1:7" ht="15.95" customHeight="1" x14ac:dyDescent="0.2">
      <c r="A22" s="213"/>
      <c r="B22" s="21"/>
      <c r="C22" s="215"/>
      <c r="D22" s="21"/>
      <c r="E22" s="21"/>
      <c r="F22" s="21"/>
      <c r="G22" s="34">
        <f t="shared" si="0"/>
        <v>0</v>
      </c>
    </row>
    <row r="23" spans="1:7" ht="15.95" customHeight="1" x14ac:dyDescent="0.2">
      <c r="A23" s="213"/>
      <c r="B23" s="21"/>
      <c r="C23" s="215"/>
      <c r="D23" s="21"/>
      <c r="E23" s="21"/>
      <c r="F23" s="21"/>
      <c r="G23" s="34">
        <f t="shared" si="0"/>
        <v>0</v>
      </c>
    </row>
    <row r="24" spans="1:7" ht="15.95" customHeight="1" thickBot="1" x14ac:dyDescent="0.25">
      <c r="A24" s="35"/>
      <c r="B24" s="22"/>
      <c r="C24" s="216"/>
      <c r="D24" s="22"/>
      <c r="E24" s="22"/>
      <c r="F24" s="22"/>
      <c r="G24" s="36">
        <f t="shared" si="0"/>
        <v>0</v>
      </c>
    </row>
    <row r="25" spans="1:7" s="39" customFormat="1" ht="18" customHeight="1" thickBot="1" x14ac:dyDescent="0.25">
      <c r="A25" s="69" t="s">
        <v>47</v>
      </c>
      <c r="B25" s="37">
        <f>SUM(B7:B24)</f>
        <v>12306389</v>
      </c>
      <c r="C25" s="55"/>
      <c r="D25" s="37">
        <f>SUM(D7:D24)</f>
        <v>3414394</v>
      </c>
      <c r="E25" s="37"/>
      <c r="F25" s="37">
        <f>SUM(F7:F24)</f>
        <v>8891995</v>
      </c>
      <c r="G25" s="38">
        <f>SUM(G7:G24)</f>
        <v>12306389</v>
      </c>
    </row>
  </sheetData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zoomScale="120" zoomScaleNormal="120" workbookViewId="0">
      <selection activeCell="F11" sqref="F11"/>
    </sheetView>
  </sheetViews>
  <sheetFormatPr defaultRowHeight="12.75" x14ac:dyDescent="0.2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86"/>
      <c r="B1" s="686" t="str">
        <f>CONCATENATE("4. melléklet ",Z_ALAPADATOK!A7," ",Z_ALAPADATOK!B7," ",Z_ALAPADATOK!C7," ",Z_ALAPADATOK!D7," ",Z_ALAPADATOK!E7," ",Z_ALAPADATOK!F7," ",Z_ALAPADATOK!G7," ",Z_ALAPADATOK!H7)</f>
        <v>4. melléklet a 6 / 2019. ( IV.25 ) önkormányzati rendelethez</v>
      </c>
      <c r="C1" s="686"/>
      <c r="D1" s="686"/>
      <c r="E1" s="686"/>
      <c r="F1" s="686"/>
      <c r="G1" s="686"/>
    </row>
    <row r="2" spans="1:7" x14ac:dyDescent="0.2">
      <c r="A2" s="386"/>
      <c r="B2" s="387"/>
      <c r="C2" s="387"/>
      <c r="D2" s="387"/>
      <c r="E2" s="387"/>
      <c r="F2" s="387"/>
      <c r="G2" s="387"/>
    </row>
    <row r="3" spans="1:7" ht="24.75" customHeight="1" x14ac:dyDescent="0.2">
      <c r="A3" s="685" t="s">
        <v>521</v>
      </c>
      <c r="B3" s="685"/>
      <c r="C3" s="685"/>
      <c r="D3" s="685"/>
      <c r="E3" s="685"/>
      <c r="F3" s="685"/>
      <c r="G3" s="685"/>
    </row>
    <row r="4" spans="1:7" ht="23.25" customHeight="1" thickBot="1" x14ac:dyDescent="0.3">
      <c r="A4" s="386"/>
      <c r="B4" s="387"/>
      <c r="C4" s="387"/>
      <c r="D4" s="387"/>
      <c r="E4" s="387"/>
      <c r="F4" s="387"/>
      <c r="G4" s="388" t="e">
        <f>'Z_3.sz.mell.'!G4</f>
        <v>#REF!</v>
      </c>
    </row>
    <row r="5" spans="1:7" s="29" customFormat="1" ht="48.75" customHeight="1" thickBot="1" x14ac:dyDescent="0.25">
      <c r="A5" s="389" t="s">
        <v>51</v>
      </c>
      <c r="B5" s="355" t="s">
        <v>49</v>
      </c>
      <c r="C5" s="355" t="s">
        <v>50</v>
      </c>
      <c r="D5" s="355" t="str">
        <f>+'Z_3.sz.mell.'!D5</f>
        <v>Felhasználás   2017. XII. 31-ig</v>
      </c>
      <c r="E5" s="355" t="str">
        <f>+CONCATENATE(LEFT(Z_ÖSSZEFÜGGÉSEK!A6,4),". évi",CHAR(10),"módosított előirányzat")</f>
        <v>2018. évi
módosított előirányzat</v>
      </c>
      <c r="F5" s="355" t="str">
        <f>+CONCATENATE("Teljesítés",CHAR(10),LEFT(Z_ÖSSZEFÜGGÉSEK!A6,4),". XII. 31-ig")</f>
        <v>Teljesítés
2018. XII. 31-ig</v>
      </c>
      <c r="G5" s="356" t="str">
        <f>+CONCATENATE("Összes teljesítés",CHAR(10),LEFT(Z_ÖSSZEFÜGGÉSEK!A6,4),". XII. 31-ig")</f>
        <v>Összes teljesítés
2018. XII. 31-ig</v>
      </c>
    </row>
    <row r="6" spans="1:7" s="33" customFormat="1" ht="15.2" customHeight="1" thickBot="1" x14ac:dyDescent="0.25">
      <c r="A6" s="390" t="s">
        <v>383</v>
      </c>
      <c r="B6" s="391" t="s">
        <v>384</v>
      </c>
      <c r="C6" s="391" t="s">
        <v>385</v>
      </c>
      <c r="D6" s="391" t="s">
        <v>387</v>
      </c>
      <c r="E6" s="391" t="s">
        <v>386</v>
      </c>
      <c r="F6" s="391" t="s">
        <v>388</v>
      </c>
      <c r="G6" s="392" t="s">
        <v>437</v>
      </c>
    </row>
    <row r="7" spans="1:7" ht="15.95" customHeight="1" x14ac:dyDescent="0.2">
      <c r="A7" s="40" t="s">
        <v>827</v>
      </c>
      <c r="B7" s="41">
        <v>5000000</v>
      </c>
      <c r="C7" s="217" t="s">
        <v>826</v>
      </c>
      <c r="D7" s="41"/>
      <c r="E7" s="41">
        <v>5000000</v>
      </c>
      <c r="F7" s="41">
        <v>5000000</v>
      </c>
      <c r="G7" s="42">
        <f>D7+F7</f>
        <v>5000000</v>
      </c>
    </row>
    <row r="8" spans="1:7" ht="15.95" customHeight="1" x14ac:dyDescent="0.2">
      <c r="A8" s="40" t="s">
        <v>828</v>
      </c>
      <c r="B8" s="41">
        <v>1689215</v>
      </c>
      <c r="C8" s="217" t="s">
        <v>826</v>
      </c>
      <c r="D8" s="41"/>
      <c r="E8" s="41">
        <v>1689215</v>
      </c>
      <c r="F8" s="41">
        <v>1689215</v>
      </c>
      <c r="G8" s="42">
        <f>D8+F8</f>
        <v>1689215</v>
      </c>
    </row>
    <row r="9" spans="1:7" ht="15.95" customHeight="1" x14ac:dyDescent="0.2">
      <c r="A9" s="40" t="s">
        <v>829</v>
      </c>
      <c r="B9" s="41">
        <v>42740376</v>
      </c>
      <c r="C9" s="217" t="s">
        <v>824</v>
      </c>
      <c r="D9" s="41"/>
      <c r="E9" s="41">
        <v>42740376</v>
      </c>
      <c r="F9" s="41">
        <v>42740376</v>
      </c>
      <c r="G9" s="42">
        <f>D9+F9</f>
        <v>42740376</v>
      </c>
    </row>
    <row r="10" spans="1:7" ht="15.95" customHeight="1" x14ac:dyDescent="0.2">
      <c r="A10" s="40" t="s">
        <v>830</v>
      </c>
      <c r="B10" s="41">
        <v>15114778</v>
      </c>
      <c r="C10" s="217" t="s">
        <v>826</v>
      </c>
      <c r="D10" s="41"/>
      <c r="E10" s="41">
        <v>15114778</v>
      </c>
      <c r="F10" s="41">
        <v>15114778</v>
      </c>
      <c r="G10" s="42">
        <f>D10+F10</f>
        <v>15114778</v>
      </c>
    </row>
    <row r="11" spans="1:7" ht="15.95" customHeight="1" x14ac:dyDescent="0.2">
      <c r="A11" s="40"/>
      <c r="B11" s="41"/>
      <c r="C11" s="217"/>
      <c r="D11" s="41"/>
      <c r="E11" s="41"/>
      <c r="F11" s="41"/>
      <c r="G11" s="42">
        <f t="shared" ref="G11:G25" si="0">B11-D11-F11</f>
        <v>0</v>
      </c>
    </row>
    <row r="12" spans="1:7" ht="15.95" customHeight="1" x14ac:dyDescent="0.2">
      <c r="A12" s="40"/>
      <c r="B12" s="41"/>
      <c r="C12" s="217"/>
      <c r="D12" s="41"/>
      <c r="E12" s="41"/>
      <c r="F12" s="41"/>
      <c r="G12" s="42">
        <f t="shared" si="0"/>
        <v>0</v>
      </c>
    </row>
    <row r="13" spans="1:7" ht="15.95" customHeight="1" x14ac:dyDescent="0.2">
      <c r="A13" s="40"/>
      <c r="B13" s="41"/>
      <c r="C13" s="217"/>
      <c r="D13" s="41"/>
      <c r="E13" s="41"/>
      <c r="F13" s="41"/>
      <c r="G13" s="42">
        <f t="shared" si="0"/>
        <v>0</v>
      </c>
    </row>
    <row r="14" spans="1:7" ht="15.95" customHeight="1" x14ac:dyDescent="0.2">
      <c r="A14" s="40"/>
      <c r="B14" s="41"/>
      <c r="C14" s="217"/>
      <c r="D14" s="41"/>
      <c r="E14" s="41"/>
      <c r="F14" s="41"/>
      <c r="G14" s="42">
        <f t="shared" si="0"/>
        <v>0</v>
      </c>
    </row>
    <row r="15" spans="1:7" ht="15.95" customHeight="1" x14ac:dyDescent="0.2">
      <c r="A15" s="40"/>
      <c r="B15" s="41"/>
      <c r="C15" s="217"/>
      <c r="D15" s="41"/>
      <c r="E15" s="41"/>
      <c r="F15" s="41"/>
      <c r="G15" s="42">
        <f t="shared" si="0"/>
        <v>0</v>
      </c>
    </row>
    <row r="16" spans="1:7" ht="15.95" customHeight="1" x14ac:dyDescent="0.2">
      <c r="A16" s="40"/>
      <c r="B16" s="41"/>
      <c r="C16" s="217"/>
      <c r="D16" s="41"/>
      <c r="E16" s="41"/>
      <c r="F16" s="41"/>
      <c r="G16" s="42">
        <f t="shared" si="0"/>
        <v>0</v>
      </c>
    </row>
    <row r="17" spans="1:7" ht="15.95" customHeight="1" x14ac:dyDescent="0.2">
      <c r="A17" s="40"/>
      <c r="B17" s="41"/>
      <c r="C17" s="217"/>
      <c r="D17" s="41"/>
      <c r="E17" s="41"/>
      <c r="F17" s="41"/>
      <c r="G17" s="42">
        <f t="shared" si="0"/>
        <v>0</v>
      </c>
    </row>
    <row r="18" spans="1:7" ht="15.95" customHeight="1" x14ac:dyDescent="0.2">
      <c r="A18" s="40"/>
      <c r="B18" s="41"/>
      <c r="C18" s="217"/>
      <c r="D18" s="41"/>
      <c r="E18" s="41"/>
      <c r="F18" s="41"/>
      <c r="G18" s="42">
        <f t="shared" si="0"/>
        <v>0</v>
      </c>
    </row>
    <row r="19" spans="1:7" ht="15.95" customHeight="1" x14ac:dyDescent="0.2">
      <c r="A19" s="40"/>
      <c r="B19" s="41"/>
      <c r="C19" s="217"/>
      <c r="D19" s="41"/>
      <c r="E19" s="41"/>
      <c r="F19" s="41"/>
      <c r="G19" s="42">
        <f t="shared" si="0"/>
        <v>0</v>
      </c>
    </row>
    <row r="20" spans="1:7" ht="15.95" customHeight="1" x14ac:dyDescent="0.2">
      <c r="A20" s="40"/>
      <c r="B20" s="41"/>
      <c r="C20" s="217"/>
      <c r="D20" s="41"/>
      <c r="E20" s="41"/>
      <c r="F20" s="41"/>
      <c r="G20" s="42">
        <f t="shared" si="0"/>
        <v>0</v>
      </c>
    </row>
    <row r="21" spans="1:7" ht="15.95" customHeight="1" x14ac:dyDescent="0.2">
      <c r="A21" s="40"/>
      <c r="B21" s="41"/>
      <c r="C21" s="217"/>
      <c r="D21" s="41"/>
      <c r="E21" s="41"/>
      <c r="F21" s="41"/>
      <c r="G21" s="42">
        <f t="shared" si="0"/>
        <v>0</v>
      </c>
    </row>
    <row r="22" spans="1:7" ht="15.95" customHeight="1" x14ac:dyDescent="0.2">
      <c r="A22" s="40"/>
      <c r="B22" s="41"/>
      <c r="C22" s="217"/>
      <c r="D22" s="41"/>
      <c r="E22" s="41"/>
      <c r="F22" s="41"/>
      <c r="G22" s="42">
        <f t="shared" si="0"/>
        <v>0</v>
      </c>
    </row>
    <row r="23" spans="1:7" ht="15.95" customHeight="1" x14ac:dyDescent="0.2">
      <c r="A23" s="40"/>
      <c r="B23" s="41"/>
      <c r="C23" s="217"/>
      <c r="D23" s="41"/>
      <c r="E23" s="41"/>
      <c r="F23" s="41"/>
      <c r="G23" s="42">
        <f t="shared" si="0"/>
        <v>0</v>
      </c>
    </row>
    <row r="24" spans="1:7" ht="15.95" customHeight="1" x14ac:dyDescent="0.2">
      <c r="A24" s="40"/>
      <c r="B24" s="41"/>
      <c r="C24" s="217"/>
      <c r="D24" s="41"/>
      <c r="E24" s="41"/>
      <c r="F24" s="41"/>
      <c r="G24" s="42">
        <f t="shared" si="0"/>
        <v>0</v>
      </c>
    </row>
    <row r="25" spans="1:7" ht="15.95" customHeight="1" thickBot="1" x14ac:dyDescent="0.25">
      <c r="A25" s="43"/>
      <c r="B25" s="44"/>
      <c r="C25" s="218"/>
      <c r="D25" s="44"/>
      <c r="E25" s="44"/>
      <c r="F25" s="44"/>
      <c r="G25" s="45">
        <f t="shared" si="0"/>
        <v>0</v>
      </c>
    </row>
    <row r="26" spans="1:7" s="39" customFormat="1" ht="18" customHeight="1" thickBot="1" x14ac:dyDescent="0.25">
      <c r="A26" s="69" t="s">
        <v>47</v>
      </c>
      <c r="B26" s="70">
        <f>SUM(B7:B25)</f>
        <v>64544369</v>
      </c>
      <c r="C26" s="56"/>
      <c r="D26" s="70">
        <f>SUM(D7:D25)</f>
        <v>0</v>
      </c>
      <c r="E26" s="70"/>
      <c r="F26" s="70">
        <f>SUM(F7:F25)</f>
        <v>64544369</v>
      </c>
      <c r="G26" s="46">
        <f>SUM(G7:G25)</f>
        <v>64544369</v>
      </c>
    </row>
  </sheetData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&amp;R&amp;"Times New Roman CE,Félkövér dőlt"&amp;11 4. melléklet&amp;"Times New Roman CE,Normál"&amp;10
  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0"/>
  <sheetViews>
    <sheetView zoomScale="120" zoomScaleNormal="120" zoomScaleSheetLayoutView="100" workbookViewId="0">
      <selection activeCell="P11" sqref="P11"/>
    </sheetView>
  </sheetViews>
  <sheetFormatPr defaultRowHeight="12.75" x14ac:dyDescent="0.2"/>
  <cols>
    <col min="1" max="1" width="28.5" style="31" customWidth="1"/>
    <col min="2" max="13" width="10" style="31" customWidth="1"/>
    <col min="14" max="14" width="4" style="31" customWidth="1"/>
    <col min="15" max="16384" width="9.33203125" style="31"/>
  </cols>
  <sheetData>
    <row r="1" spans="1:14" ht="15" x14ac:dyDescent="0.25">
      <c r="A1" s="688" t="str">
        <f>CONCATENATE("5. melléklet ",Z_ALAPADATOK!A7," ",Z_ALAPADATOK!B7," ",Z_ALAPADATOK!C7," ",Z_ALAPADATOK!D7," ",Z_ALAPADATOK!E7," ",Z_ALAPADATOK!F7," ",Z_ALAPADATOK!G7," ",Z_ALAPADATOK!H7)</f>
        <v>5. melléklet a 6 / 2019. ( IV.25 ) önkormányzati rendelethez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</row>
    <row r="2" spans="1:14" ht="15.75" x14ac:dyDescent="0.25">
      <c r="A2" s="689" t="s">
        <v>522</v>
      </c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</row>
    <row r="3" spans="1:14" ht="15.75" x14ac:dyDescent="0.25">
      <c r="A3" s="690" t="s">
        <v>523</v>
      </c>
      <c r="B3" s="659"/>
      <c r="C3" s="659"/>
      <c r="D3" s="659"/>
      <c r="E3" s="659"/>
      <c r="F3" s="659"/>
      <c r="G3" s="659"/>
      <c r="H3" s="659"/>
      <c r="I3" s="659"/>
      <c r="J3" s="659"/>
      <c r="K3" s="659"/>
      <c r="L3" s="659"/>
      <c r="M3" s="659"/>
    </row>
    <row r="4" spans="1:14" ht="15.75" customHeight="1" x14ac:dyDescent="0.2">
      <c r="A4" s="693" t="s">
        <v>438</v>
      </c>
      <c r="B4" s="693"/>
      <c r="C4" s="693"/>
      <c r="D4" s="708"/>
      <c r="E4" s="708"/>
      <c r="F4" s="708"/>
      <c r="G4" s="708"/>
      <c r="H4" s="708"/>
      <c r="I4" s="708"/>
      <c r="J4" s="708"/>
      <c r="K4" s="708"/>
      <c r="L4" s="708"/>
      <c r="M4" s="708"/>
      <c r="N4" s="696"/>
    </row>
    <row r="5" spans="1:14" ht="15.75" thickBot="1" x14ac:dyDescent="0.25">
      <c r="A5" s="385"/>
      <c r="B5" s="385"/>
      <c r="C5" s="385"/>
      <c r="D5" s="385"/>
      <c r="E5" s="385"/>
      <c r="F5" s="385"/>
      <c r="G5" s="385"/>
      <c r="H5" s="385"/>
      <c r="I5" s="385"/>
      <c r="J5" s="385"/>
      <c r="K5" s="385"/>
      <c r="L5" s="697" t="e">
        <f>'Z_4.sz.mell.'!G4</f>
        <v>#REF!</v>
      </c>
      <c r="M5" s="697"/>
      <c r="N5" s="696"/>
    </row>
    <row r="6" spans="1:14" ht="13.5" thickBot="1" x14ac:dyDescent="0.25">
      <c r="A6" s="698" t="s">
        <v>84</v>
      </c>
      <c r="B6" s="701" t="s">
        <v>439</v>
      </c>
      <c r="C6" s="701"/>
      <c r="D6" s="701"/>
      <c r="E6" s="701"/>
      <c r="F6" s="701"/>
      <c r="G6" s="701"/>
      <c r="H6" s="701"/>
      <c r="I6" s="701"/>
      <c r="J6" s="702" t="s">
        <v>440</v>
      </c>
      <c r="K6" s="702"/>
      <c r="L6" s="702"/>
      <c r="M6" s="702"/>
      <c r="N6" s="696"/>
    </row>
    <row r="7" spans="1:14" ht="15.2" customHeight="1" thickBot="1" x14ac:dyDescent="0.25">
      <c r="A7" s="699"/>
      <c r="B7" s="694" t="s">
        <v>441</v>
      </c>
      <c r="C7" s="695" t="s">
        <v>442</v>
      </c>
      <c r="D7" s="713" t="s">
        <v>443</v>
      </c>
      <c r="E7" s="713"/>
      <c r="F7" s="713"/>
      <c r="G7" s="713"/>
      <c r="H7" s="713"/>
      <c r="I7" s="713"/>
      <c r="J7" s="703"/>
      <c r="K7" s="703"/>
      <c r="L7" s="703"/>
      <c r="M7" s="703"/>
      <c r="N7" s="696"/>
    </row>
    <row r="8" spans="1:14" ht="21.75" thickBot="1" x14ac:dyDescent="0.25">
      <c r="A8" s="699"/>
      <c r="B8" s="694"/>
      <c r="C8" s="695"/>
      <c r="D8" s="274" t="s">
        <v>441</v>
      </c>
      <c r="E8" s="274" t="s">
        <v>442</v>
      </c>
      <c r="F8" s="274" t="s">
        <v>441</v>
      </c>
      <c r="G8" s="274" t="s">
        <v>442</v>
      </c>
      <c r="H8" s="274" t="s">
        <v>441</v>
      </c>
      <c r="I8" s="274" t="s">
        <v>442</v>
      </c>
      <c r="J8" s="703"/>
      <c r="K8" s="703"/>
      <c r="L8" s="703"/>
      <c r="M8" s="703"/>
      <c r="N8" s="696"/>
    </row>
    <row r="9" spans="1:14" ht="32.25" thickBot="1" x14ac:dyDescent="0.25">
      <c r="A9" s="700"/>
      <c r="B9" s="695" t="s">
        <v>444</v>
      </c>
      <c r="C9" s="695"/>
      <c r="D9" s="695" t="str">
        <f>+CONCATENATE(LEFT(Z_ÖSSZEFÜGGÉSEK!A6,4),". előtt")</f>
        <v>2018. előtt</v>
      </c>
      <c r="E9" s="695"/>
      <c r="F9" s="692" t="str">
        <f>+CONCATENATE(LEFT(Z_ÖSSZEFÜGGÉSEK!A6,4),". XII.31.")</f>
        <v>2018. XII.31.</v>
      </c>
      <c r="G9" s="692"/>
      <c r="H9" s="694" t="str">
        <f>+CONCATENATE(LEFT(Z_ÖSSZEFÜGGÉSEK!A6,4),". után")</f>
        <v>2018. után</v>
      </c>
      <c r="I9" s="694"/>
      <c r="J9" s="358" t="str">
        <f>+D9</f>
        <v>2018. előtt</v>
      </c>
      <c r="K9" s="357" t="str">
        <f>+F9</f>
        <v>2018. XII.31.</v>
      </c>
      <c r="L9" s="273" t="s">
        <v>37</v>
      </c>
      <c r="M9" s="357" t="str">
        <f>+CONCATENATE("Teljesítés %-a ",LEFT(Z_ÖSSZEFÜGGÉSEK!A6,4),". XII. 31-ig")</f>
        <v>Teljesítés %-a 2018. XII. 31-ig</v>
      </c>
      <c r="N9" s="696"/>
    </row>
    <row r="10" spans="1:14" ht="13.5" thickBot="1" x14ac:dyDescent="0.25">
      <c r="A10" s="275" t="s">
        <v>383</v>
      </c>
      <c r="B10" s="273" t="s">
        <v>384</v>
      </c>
      <c r="C10" s="273" t="s">
        <v>385</v>
      </c>
      <c r="D10" s="276" t="s">
        <v>387</v>
      </c>
      <c r="E10" s="274" t="s">
        <v>386</v>
      </c>
      <c r="F10" s="274" t="s">
        <v>388</v>
      </c>
      <c r="G10" s="274" t="s">
        <v>389</v>
      </c>
      <c r="H10" s="273" t="s">
        <v>390</v>
      </c>
      <c r="I10" s="276" t="s">
        <v>417</v>
      </c>
      <c r="J10" s="276" t="s">
        <v>445</v>
      </c>
      <c r="K10" s="276" t="s">
        <v>446</v>
      </c>
      <c r="L10" s="276" t="s">
        <v>447</v>
      </c>
      <c r="M10" s="277" t="s">
        <v>448</v>
      </c>
      <c r="N10" s="696"/>
    </row>
    <row r="11" spans="1:14" x14ac:dyDescent="0.2">
      <c r="A11" s="278" t="s">
        <v>85</v>
      </c>
      <c r="B11" s="319"/>
      <c r="C11" s="320"/>
      <c r="D11" s="320"/>
      <c r="E11" s="321"/>
      <c r="F11" s="320"/>
      <c r="G11" s="320"/>
      <c r="H11" s="320"/>
      <c r="I11" s="320"/>
      <c r="J11" s="320"/>
      <c r="K11" s="320"/>
      <c r="L11" s="322">
        <f t="shared" ref="L11:L17" si="0">+J11+K11</f>
        <v>0</v>
      </c>
      <c r="M11" s="323" t="str">
        <f>IF((C11&lt;&gt;0),ROUND((L11/C11)*100,1),"")</f>
        <v/>
      </c>
      <c r="N11" s="696"/>
    </row>
    <row r="12" spans="1:14" x14ac:dyDescent="0.2">
      <c r="A12" s="280" t="s">
        <v>97</v>
      </c>
      <c r="B12" s="324"/>
      <c r="C12" s="325"/>
      <c r="D12" s="325"/>
      <c r="E12" s="325"/>
      <c r="F12" s="325"/>
      <c r="G12" s="325"/>
      <c r="H12" s="325"/>
      <c r="I12" s="325"/>
      <c r="J12" s="325"/>
      <c r="K12" s="325"/>
      <c r="L12" s="326">
        <f t="shared" si="0"/>
        <v>0</v>
      </c>
      <c r="M12" s="327" t="str">
        <f t="shared" ref="M12:M17" si="1">IF((C12&lt;&gt;0),ROUND((L12/C12)*100,1),"")</f>
        <v/>
      </c>
      <c r="N12" s="696"/>
    </row>
    <row r="13" spans="1:14" x14ac:dyDescent="0.2">
      <c r="A13" s="281" t="s">
        <v>86</v>
      </c>
      <c r="B13" s="328"/>
      <c r="C13" s="335"/>
      <c r="D13" s="329"/>
      <c r="E13" s="329"/>
      <c r="F13" s="329"/>
      <c r="G13" s="329"/>
      <c r="H13" s="329"/>
      <c r="I13" s="329"/>
      <c r="J13" s="329"/>
      <c r="K13" s="329"/>
      <c r="L13" s="326">
        <f t="shared" si="0"/>
        <v>0</v>
      </c>
      <c r="M13" s="327" t="str">
        <f t="shared" si="1"/>
        <v/>
      </c>
      <c r="N13" s="696"/>
    </row>
    <row r="14" spans="1:14" x14ac:dyDescent="0.2">
      <c r="A14" s="281" t="s">
        <v>98</v>
      </c>
      <c r="B14" s="328"/>
      <c r="C14" s="329"/>
      <c r="D14" s="329"/>
      <c r="E14" s="329"/>
      <c r="F14" s="329"/>
      <c r="G14" s="329"/>
      <c r="H14" s="329"/>
      <c r="I14" s="329"/>
      <c r="J14" s="329"/>
      <c r="K14" s="329"/>
      <c r="L14" s="326">
        <f t="shared" si="0"/>
        <v>0</v>
      </c>
      <c r="M14" s="327" t="str">
        <f t="shared" si="1"/>
        <v/>
      </c>
      <c r="N14" s="696"/>
    </row>
    <row r="15" spans="1:14" x14ac:dyDescent="0.2">
      <c r="A15" s="281" t="s">
        <v>87</v>
      </c>
      <c r="B15" s="328"/>
      <c r="C15" s="329"/>
      <c r="D15" s="329"/>
      <c r="E15" s="329"/>
      <c r="F15" s="329"/>
      <c r="G15" s="329"/>
      <c r="H15" s="329"/>
      <c r="I15" s="329"/>
      <c r="J15" s="329"/>
      <c r="K15" s="329"/>
      <c r="L15" s="326">
        <f t="shared" si="0"/>
        <v>0</v>
      </c>
      <c r="M15" s="327" t="str">
        <f t="shared" si="1"/>
        <v/>
      </c>
      <c r="N15" s="696"/>
    </row>
    <row r="16" spans="1:14" x14ac:dyDescent="0.2">
      <c r="A16" s="281" t="s">
        <v>88</v>
      </c>
      <c r="B16" s="328"/>
      <c r="C16" s="329"/>
      <c r="D16" s="329"/>
      <c r="E16" s="329"/>
      <c r="F16" s="329"/>
      <c r="G16" s="329"/>
      <c r="H16" s="329"/>
      <c r="I16" s="329"/>
      <c r="J16" s="329"/>
      <c r="K16" s="329"/>
      <c r="L16" s="326">
        <f t="shared" si="0"/>
        <v>0</v>
      </c>
      <c r="M16" s="327" t="str">
        <f t="shared" si="1"/>
        <v/>
      </c>
      <c r="N16" s="696"/>
    </row>
    <row r="17" spans="1:14" ht="15.2" customHeight="1" thickBot="1" x14ac:dyDescent="0.25">
      <c r="A17" s="282"/>
      <c r="B17" s="330"/>
      <c r="C17" s="331"/>
      <c r="D17" s="331"/>
      <c r="E17" s="331"/>
      <c r="F17" s="331"/>
      <c r="G17" s="331"/>
      <c r="H17" s="331"/>
      <c r="I17" s="331"/>
      <c r="J17" s="331"/>
      <c r="K17" s="331"/>
      <c r="L17" s="326">
        <f t="shared" si="0"/>
        <v>0</v>
      </c>
      <c r="M17" s="332" t="str">
        <f t="shared" si="1"/>
        <v/>
      </c>
      <c r="N17" s="696"/>
    </row>
    <row r="18" spans="1:14" ht="13.5" thickBot="1" x14ac:dyDescent="0.25">
      <c r="A18" s="284" t="s">
        <v>90</v>
      </c>
      <c r="B18" s="333">
        <f>B11+SUM(B13:B17)</f>
        <v>0</v>
      </c>
      <c r="C18" s="333">
        <f t="shared" ref="C18:L18" si="2">C11+SUM(C13:C17)</f>
        <v>0</v>
      </c>
      <c r="D18" s="333">
        <f t="shared" si="2"/>
        <v>0</v>
      </c>
      <c r="E18" s="333">
        <f t="shared" si="2"/>
        <v>0</v>
      </c>
      <c r="F18" s="333">
        <f t="shared" si="2"/>
        <v>0</v>
      </c>
      <c r="G18" s="333">
        <f t="shared" si="2"/>
        <v>0</v>
      </c>
      <c r="H18" s="333">
        <f t="shared" si="2"/>
        <v>0</v>
      </c>
      <c r="I18" s="333">
        <f t="shared" si="2"/>
        <v>0</v>
      </c>
      <c r="J18" s="333">
        <f t="shared" si="2"/>
        <v>0</v>
      </c>
      <c r="K18" s="333">
        <f t="shared" si="2"/>
        <v>0</v>
      </c>
      <c r="L18" s="333">
        <f t="shared" si="2"/>
        <v>0</v>
      </c>
      <c r="M18" s="334" t="str">
        <f>IF((C18&lt;&gt;0),ROUND((L18/C18)*100,1),"")</f>
        <v/>
      </c>
      <c r="N18" s="696"/>
    </row>
    <row r="19" spans="1:14" x14ac:dyDescent="0.2">
      <c r="A19" s="285"/>
      <c r="B19" s="286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696"/>
    </row>
    <row r="20" spans="1:14" ht="13.5" thickBot="1" x14ac:dyDescent="0.25">
      <c r="A20" s="288" t="s">
        <v>89</v>
      </c>
      <c r="B20" s="289"/>
      <c r="C20" s="290"/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696"/>
    </row>
    <row r="21" spans="1:14" x14ac:dyDescent="0.2">
      <c r="A21" s="291" t="s">
        <v>93</v>
      </c>
      <c r="B21" s="336"/>
      <c r="C21" s="337"/>
      <c r="D21" s="337"/>
      <c r="E21" s="338"/>
      <c r="F21" s="337"/>
      <c r="G21" s="337"/>
      <c r="H21" s="337"/>
      <c r="I21" s="337"/>
      <c r="J21" s="337"/>
      <c r="K21" s="337"/>
      <c r="L21" s="339">
        <f>+J21+K21</f>
        <v>0</v>
      </c>
      <c r="M21" s="340" t="str">
        <f t="shared" ref="M21:M26" si="3">IF((C21&lt;&gt;0),ROUND((L21/C21)*100,1),"")</f>
        <v/>
      </c>
      <c r="N21" s="696"/>
    </row>
    <row r="22" spans="1:14" x14ac:dyDescent="0.2">
      <c r="A22" s="292" t="s">
        <v>94</v>
      </c>
      <c r="B22" s="341"/>
      <c r="C22" s="335"/>
      <c r="D22" s="335"/>
      <c r="E22" s="335"/>
      <c r="F22" s="335"/>
      <c r="G22" s="335"/>
      <c r="H22" s="335"/>
      <c r="I22" s="335"/>
      <c r="J22" s="335"/>
      <c r="K22" s="335"/>
      <c r="L22" s="342">
        <f>+J22+K22</f>
        <v>0</v>
      </c>
      <c r="M22" s="343" t="str">
        <f t="shared" si="3"/>
        <v/>
      </c>
      <c r="N22" s="696"/>
    </row>
    <row r="23" spans="1:14" x14ac:dyDescent="0.2">
      <c r="A23" s="292" t="s">
        <v>95</v>
      </c>
      <c r="B23" s="344"/>
      <c r="C23" s="335"/>
      <c r="D23" s="335"/>
      <c r="E23" s="335"/>
      <c r="F23" s="335"/>
      <c r="G23" s="335"/>
      <c r="H23" s="335"/>
      <c r="I23" s="335"/>
      <c r="J23" s="335"/>
      <c r="K23" s="335"/>
      <c r="L23" s="342">
        <f>+J23+K23</f>
        <v>0</v>
      </c>
      <c r="M23" s="343" t="str">
        <f t="shared" si="3"/>
        <v/>
      </c>
      <c r="N23" s="696"/>
    </row>
    <row r="24" spans="1:14" x14ac:dyDescent="0.2">
      <c r="A24" s="292" t="s">
        <v>96</v>
      </c>
      <c r="B24" s="344"/>
      <c r="C24" s="335"/>
      <c r="D24" s="335"/>
      <c r="E24" s="335"/>
      <c r="F24" s="335"/>
      <c r="G24" s="335"/>
      <c r="H24" s="335"/>
      <c r="I24" s="335"/>
      <c r="J24" s="335"/>
      <c r="K24" s="335"/>
      <c r="L24" s="342">
        <f>+J24+K24</f>
        <v>0</v>
      </c>
      <c r="M24" s="343" t="str">
        <f t="shared" si="3"/>
        <v/>
      </c>
      <c r="N24" s="696"/>
    </row>
    <row r="25" spans="1:14" ht="13.5" thickBot="1" x14ac:dyDescent="0.25">
      <c r="A25" s="293"/>
      <c r="B25" s="345"/>
      <c r="C25" s="346"/>
      <c r="D25" s="346"/>
      <c r="E25" s="346"/>
      <c r="F25" s="346"/>
      <c r="G25" s="346"/>
      <c r="H25" s="346"/>
      <c r="I25" s="346"/>
      <c r="J25" s="346"/>
      <c r="K25" s="346"/>
      <c r="L25" s="342">
        <f>+J25+K25</f>
        <v>0</v>
      </c>
      <c r="M25" s="347" t="str">
        <f t="shared" si="3"/>
        <v/>
      </c>
      <c r="N25" s="696"/>
    </row>
    <row r="26" spans="1:14" ht="13.5" thickBot="1" x14ac:dyDescent="0.25">
      <c r="A26" s="294" t="s">
        <v>75</v>
      </c>
      <c r="B26" s="348">
        <f t="shared" ref="B26:L26" si="4">SUM(B21:B25)</f>
        <v>0</v>
      </c>
      <c r="C26" s="348">
        <f t="shared" si="4"/>
        <v>0</v>
      </c>
      <c r="D26" s="348">
        <f t="shared" si="4"/>
        <v>0</v>
      </c>
      <c r="E26" s="348">
        <f t="shared" si="4"/>
        <v>0</v>
      </c>
      <c r="F26" s="348">
        <f t="shared" si="4"/>
        <v>0</v>
      </c>
      <c r="G26" s="348">
        <f t="shared" si="4"/>
        <v>0</v>
      </c>
      <c r="H26" s="348">
        <f t="shared" si="4"/>
        <v>0</v>
      </c>
      <c r="I26" s="348">
        <f t="shared" si="4"/>
        <v>0</v>
      </c>
      <c r="J26" s="348">
        <f t="shared" si="4"/>
        <v>0</v>
      </c>
      <c r="K26" s="348">
        <f t="shared" si="4"/>
        <v>0</v>
      </c>
      <c r="L26" s="348">
        <f t="shared" si="4"/>
        <v>0</v>
      </c>
      <c r="M26" s="349" t="str">
        <f t="shared" si="3"/>
        <v/>
      </c>
      <c r="N26" s="696"/>
    </row>
    <row r="27" spans="1:14" x14ac:dyDescent="0.2">
      <c r="A27" s="714" t="s">
        <v>518</v>
      </c>
      <c r="B27" s="714"/>
      <c r="C27" s="714"/>
      <c r="D27" s="714"/>
      <c r="E27" s="714"/>
      <c r="F27" s="714"/>
      <c r="G27" s="714"/>
      <c r="H27" s="714"/>
      <c r="I27" s="714"/>
      <c r="J27" s="714"/>
      <c r="K27" s="714"/>
      <c r="L27" s="714"/>
      <c r="M27" s="714"/>
      <c r="N27" s="696"/>
    </row>
    <row r="28" spans="1:14" ht="5.25" customHeight="1" x14ac:dyDescent="0.2">
      <c r="A28" s="295"/>
      <c r="B28" s="295"/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N28" s="696"/>
    </row>
    <row r="29" spans="1:14" ht="15.75" x14ac:dyDescent="0.2">
      <c r="A29" s="691" t="str">
        <f>+CONCATENATE("Önkormányzaton kívüli EU-s projekthez történő hozzájárulás ",LEFT(Z_ÖSSZEFÜGGÉSEK!A6,4),". XII. 31.  előirányzata és teljesítése")</f>
        <v>Önkormányzaton kívüli EU-s projekthez történő hozzájárulás 2018. XII. 31.  előirányzata és teljesítése</v>
      </c>
      <c r="B29" s="691"/>
      <c r="C29" s="691"/>
      <c r="D29" s="691"/>
      <c r="E29" s="691"/>
      <c r="F29" s="691"/>
      <c r="G29" s="691"/>
      <c r="H29" s="691"/>
      <c r="I29" s="691"/>
      <c r="J29" s="691"/>
      <c r="K29" s="691"/>
      <c r="L29" s="691"/>
      <c r="M29" s="691"/>
      <c r="N29" s="696"/>
    </row>
    <row r="30" spans="1:14" ht="12" customHeight="1" thickBot="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715" t="e">
        <f>L5</f>
        <v>#REF!</v>
      </c>
      <c r="M30" s="715"/>
      <c r="N30" s="696"/>
    </row>
    <row r="31" spans="1:14" ht="21.75" thickBot="1" x14ac:dyDescent="0.25">
      <c r="A31" s="709" t="s">
        <v>91</v>
      </c>
      <c r="B31" s="710"/>
      <c r="C31" s="710"/>
      <c r="D31" s="710"/>
      <c r="E31" s="710"/>
      <c r="F31" s="710"/>
      <c r="G31" s="710"/>
      <c r="H31" s="710"/>
      <c r="I31" s="710"/>
      <c r="J31" s="710"/>
      <c r="K31" s="296" t="s">
        <v>449</v>
      </c>
      <c r="L31" s="296" t="s">
        <v>450</v>
      </c>
      <c r="M31" s="296" t="s">
        <v>440</v>
      </c>
      <c r="N31" s="696"/>
    </row>
    <row r="32" spans="1:14" x14ac:dyDescent="0.2">
      <c r="A32" s="711"/>
      <c r="B32" s="712"/>
      <c r="C32" s="712"/>
      <c r="D32" s="712"/>
      <c r="E32" s="712"/>
      <c r="F32" s="712"/>
      <c r="G32" s="712"/>
      <c r="H32" s="712"/>
      <c r="I32" s="712"/>
      <c r="J32" s="712"/>
      <c r="K32" s="279"/>
      <c r="L32" s="297"/>
      <c r="M32" s="297"/>
      <c r="N32" s="696"/>
    </row>
    <row r="33" spans="1:14" ht="13.5" thickBot="1" x14ac:dyDescent="0.25">
      <c r="A33" s="706"/>
      <c r="B33" s="707"/>
      <c r="C33" s="707"/>
      <c r="D33" s="707"/>
      <c r="E33" s="707"/>
      <c r="F33" s="707"/>
      <c r="G33" s="707"/>
      <c r="H33" s="707"/>
      <c r="I33" s="707"/>
      <c r="J33" s="707"/>
      <c r="K33" s="298"/>
      <c r="L33" s="283"/>
      <c r="M33" s="283"/>
      <c r="N33" s="696"/>
    </row>
    <row r="34" spans="1:14" ht="13.5" thickBot="1" x14ac:dyDescent="0.25">
      <c r="A34" s="704" t="s">
        <v>517</v>
      </c>
      <c r="B34" s="705"/>
      <c r="C34" s="705"/>
      <c r="D34" s="705"/>
      <c r="E34" s="705"/>
      <c r="F34" s="705"/>
      <c r="G34" s="705"/>
      <c r="H34" s="705"/>
      <c r="I34" s="705"/>
      <c r="J34" s="705"/>
      <c r="K34" s="299">
        <f>SUM(K32:K33)</f>
        <v>0</v>
      </c>
      <c r="L34" s="299">
        <f>SUM(L32:L33)</f>
        <v>0</v>
      </c>
      <c r="M34" s="299">
        <f>SUM(M32:M33)</f>
        <v>0</v>
      </c>
      <c r="N34" s="696"/>
    </row>
    <row r="35" spans="1:14" x14ac:dyDescent="0.2">
      <c r="N35" s="696"/>
    </row>
    <row r="50" spans="1:1" x14ac:dyDescent="0.2">
      <c r="A50" s="32"/>
    </row>
  </sheetData>
  <sheetProtection sheet="1"/>
  <mergeCells count="24">
    <mergeCell ref="N4:N35"/>
    <mergeCell ref="L5:M5"/>
    <mergeCell ref="A6:A9"/>
    <mergeCell ref="B6:I6"/>
    <mergeCell ref="J6:M8"/>
    <mergeCell ref="A34:J34"/>
    <mergeCell ref="A33:J33"/>
    <mergeCell ref="D4:M4"/>
    <mergeCell ref="A31:J31"/>
    <mergeCell ref="H9:I9"/>
    <mergeCell ref="A32:J32"/>
    <mergeCell ref="D7:I7"/>
    <mergeCell ref="D9:E9"/>
    <mergeCell ref="A27:M27"/>
    <mergeCell ref="C7:C8"/>
    <mergeCell ref="L30:M30"/>
    <mergeCell ref="A1:M1"/>
    <mergeCell ref="A2:M2"/>
    <mergeCell ref="A3:M3"/>
    <mergeCell ref="A29:M29"/>
    <mergeCell ref="F9:G9"/>
    <mergeCell ref="A4:C4"/>
    <mergeCell ref="B7:B8"/>
    <mergeCell ref="B9:C9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9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8"/>
  <sheetViews>
    <sheetView zoomScale="120" zoomScaleNormal="120" zoomScaleSheetLayoutView="100" workbookViewId="0">
      <selection activeCell="I12" sqref="I12"/>
    </sheetView>
  </sheetViews>
  <sheetFormatPr defaultRowHeight="12.75" x14ac:dyDescent="0.2"/>
  <cols>
    <col min="1" max="1" width="16.1640625" style="148" customWidth="1"/>
    <col min="2" max="2" width="63.83203125" style="149" customWidth="1"/>
    <col min="3" max="3" width="14.1640625" style="150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70"/>
      <c r="B1" s="720" t="str">
        <f>CONCATENATE("6.1. melléklet ",Z_ALAPADATOK!A7," ",Z_ALAPADATOK!B7," ",Z_ALAPADATOK!C7," ",Z_ALAPADATOK!D7," ",Z_ALAPADATOK!E7," ",Z_ALAPADATOK!F7," ",Z_ALAPADATOK!G7," ",Z_ALAPADATOK!H7)</f>
        <v>6.1. melléklet a 6 / 2019. ( IV.25 ) önkormányzati rendelethez</v>
      </c>
      <c r="C1" s="721"/>
      <c r="D1" s="721"/>
      <c r="E1" s="721"/>
    </row>
    <row r="2" spans="1:5" s="50" customFormat="1" ht="21.2" customHeight="1" thickBot="1" x14ac:dyDescent="0.25">
      <c r="A2" s="379" t="s">
        <v>45</v>
      </c>
      <c r="B2" s="719" t="str">
        <f>CONCATENATE(Z_ALAPADATOK!A3)</f>
        <v>Kajárpéc Közésgi Önkormányzat</v>
      </c>
      <c r="C2" s="719"/>
      <c r="D2" s="719"/>
      <c r="E2" s="380" t="s">
        <v>39</v>
      </c>
    </row>
    <row r="3" spans="1:5" s="50" customFormat="1" ht="24.75" thickBot="1" x14ac:dyDescent="0.25">
      <c r="A3" s="379" t="s">
        <v>137</v>
      </c>
      <c r="B3" s="719" t="s">
        <v>302</v>
      </c>
      <c r="C3" s="719"/>
      <c r="D3" s="719"/>
      <c r="E3" s="381" t="s">
        <v>39</v>
      </c>
    </row>
    <row r="4" spans="1:5" s="51" customFormat="1" ht="15.95" customHeight="1" thickBot="1" x14ac:dyDescent="0.3">
      <c r="A4" s="373"/>
      <c r="B4" s="373"/>
      <c r="C4" s="374"/>
      <c r="D4" s="375"/>
      <c r="E4" s="384" t="e">
        <f>'Z_4.sz.mell.'!G4</f>
        <v>#REF!</v>
      </c>
    </row>
    <row r="5" spans="1:5" ht="24.75" thickBot="1" x14ac:dyDescent="0.25">
      <c r="A5" s="376" t="s">
        <v>138</v>
      </c>
      <c r="B5" s="377" t="s">
        <v>487</v>
      </c>
      <c r="C5" s="377" t="s">
        <v>451</v>
      </c>
      <c r="D5" s="378" t="s">
        <v>452</v>
      </c>
      <c r="E5" s="359" t="str">
        <f>+CONCATENATE("Teljesítés",CHAR(10),LEFT(Z_ÖSSZEFÜGGÉSEK!A6,4),". XII. 31.")</f>
        <v>Teljesítés
2018. XII. 31.</v>
      </c>
    </row>
    <row r="6" spans="1:5" s="47" customFormat="1" ht="12.95" customHeight="1" thickBot="1" x14ac:dyDescent="0.25">
      <c r="A6" s="71" t="s">
        <v>383</v>
      </c>
      <c r="B6" s="72" t="s">
        <v>384</v>
      </c>
      <c r="C6" s="72" t="s">
        <v>385</v>
      </c>
      <c r="D6" s="300" t="s">
        <v>387</v>
      </c>
      <c r="E6" s="73" t="s">
        <v>386</v>
      </c>
    </row>
    <row r="7" spans="1:5" s="47" customFormat="1" ht="15.95" customHeight="1" thickBot="1" x14ac:dyDescent="0.25">
      <c r="A7" s="716" t="s">
        <v>40</v>
      </c>
      <c r="B7" s="717"/>
      <c r="C7" s="717"/>
      <c r="D7" s="717"/>
      <c r="E7" s="718"/>
    </row>
    <row r="8" spans="1:5" s="47" customFormat="1" ht="12" customHeight="1" thickBot="1" x14ac:dyDescent="0.25">
      <c r="A8" s="25" t="s">
        <v>6</v>
      </c>
      <c r="B8" s="19" t="s">
        <v>160</v>
      </c>
      <c r="C8" s="155">
        <f>+C9+C10+C11+C12+C13+C14</f>
        <v>111876645</v>
      </c>
      <c r="D8" s="243">
        <f>+D9+D10+D11+D12+D13+D14</f>
        <v>114402555</v>
      </c>
      <c r="E8" s="92">
        <f>+E9+E10+E11+E12+E13+E14</f>
        <v>114402555</v>
      </c>
    </row>
    <row r="9" spans="1:5" s="52" customFormat="1" ht="12" customHeight="1" x14ac:dyDescent="0.2">
      <c r="A9" s="185" t="s">
        <v>64</v>
      </c>
      <c r="B9" s="168" t="s">
        <v>161</v>
      </c>
      <c r="C9" s="157">
        <v>97189685</v>
      </c>
      <c r="D9" s="244">
        <v>97231897</v>
      </c>
      <c r="E9" s="94">
        <v>97231897</v>
      </c>
    </row>
    <row r="10" spans="1:5" s="53" customFormat="1" ht="12" customHeight="1" x14ac:dyDescent="0.2">
      <c r="A10" s="186" t="s">
        <v>65</v>
      </c>
      <c r="B10" s="169" t="s">
        <v>162</v>
      </c>
      <c r="C10" s="156"/>
      <c r="D10" s="245"/>
      <c r="E10" s="93"/>
    </row>
    <row r="11" spans="1:5" s="53" customFormat="1" ht="12" customHeight="1" x14ac:dyDescent="0.2">
      <c r="A11" s="186" t="s">
        <v>66</v>
      </c>
      <c r="B11" s="169" t="s">
        <v>163</v>
      </c>
      <c r="C11" s="156">
        <v>12394560</v>
      </c>
      <c r="D11" s="245">
        <v>12169060</v>
      </c>
      <c r="E11" s="93">
        <v>12169060</v>
      </c>
    </row>
    <row r="12" spans="1:5" s="53" customFormat="1" ht="12" customHeight="1" x14ac:dyDescent="0.2">
      <c r="A12" s="186" t="s">
        <v>67</v>
      </c>
      <c r="B12" s="169" t="s">
        <v>164</v>
      </c>
      <c r="C12" s="156">
        <v>1800000</v>
      </c>
      <c r="D12" s="245">
        <v>1800000</v>
      </c>
      <c r="E12" s="93">
        <v>1800000</v>
      </c>
    </row>
    <row r="13" spans="1:5" s="53" customFormat="1" ht="12" customHeight="1" x14ac:dyDescent="0.2">
      <c r="A13" s="186" t="s">
        <v>99</v>
      </c>
      <c r="B13" s="169" t="s">
        <v>391</v>
      </c>
      <c r="C13" s="156">
        <v>492400</v>
      </c>
      <c r="D13" s="245">
        <v>3201598</v>
      </c>
      <c r="E13" s="93">
        <v>3201598</v>
      </c>
    </row>
    <row r="14" spans="1:5" s="52" customFormat="1" ht="12" customHeight="1" thickBot="1" x14ac:dyDescent="0.25">
      <c r="A14" s="187" t="s">
        <v>68</v>
      </c>
      <c r="B14" s="170" t="s">
        <v>332</v>
      </c>
      <c r="C14" s="156"/>
      <c r="D14" s="245"/>
      <c r="E14" s="93"/>
    </row>
    <row r="15" spans="1:5" s="52" customFormat="1" ht="12" customHeight="1" thickBot="1" x14ac:dyDescent="0.25">
      <c r="A15" s="25" t="s">
        <v>7</v>
      </c>
      <c r="B15" s="99" t="s">
        <v>165</v>
      </c>
      <c r="C15" s="155">
        <f>+C16+C17+C18+C19+C20</f>
        <v>12514251</v>
      </c>
      <c r="D15" s="243">
        <f>+D16+D17+D18+D19+D20</f>
        <v>25764285</v>
      </c>
      <c r="E15" s="92">
        <f>+E16+E17+E18+E19+E20</f>
        <v>22924473</v>
      </c>
    </row>
    <row r="16" spans="1:5" s="52" customFormat="1" ht="12" customHeight="1" x14ac:dyDescent="0.2">
      <c r="A16" s="185" t="s">
        <v>70</v>
      </c>
      <c r="B16" s="168" t="s">
        <v>166</v>
      </c>
      <c r="C16" s="157"/>
      <c r="D16" s="244"/>
      <c r="E16" s="94"/>
    </row>
    <row r="17" spans="1:5" s="52" customFormat="1" ht="12" customHeight="1" x14ac:dyDescent="0.2">
      <c r="A17" s="186" t="s">
        <v>71</v>
      </c>
      <c r="B17" s="169" t="s">
        <v>167</v>
      </c>
      <c r="C17" s="156"/>
      <c r="D17" s="245"/>
      <c r="E17" s="93"/>
    </row>
    <row r="18" spans="1:5" s="52" customFormat="1" ht="12" customHeight="1" x14ac:dyDescent="0.2">
      <c r="A18" s="186" t="s">
        <v>72</v>
      </c>
      <c r="B18" s="169" t="s">
        <v>324</v>
      </c>
      <c r="C18" s="156"/>
      <c r="D18" s="245"/>
      <c r="E18" s="93"/>
    </row>
    <row r="19" spans="1:5" s="52" customFormat="1" ht="12" customHeight="1" x14ac:dyDescent="0.2">
      <c r="A19" s="186" t="s">
        <v>73</v>
      </c>
      <c r="B19" s="169" t="s">
        <v>325</v>
      </c>
      <c r="C19" s="156"/>
      <c r="D19" s="245"/>
      <c r="E19" s="93"/>
    </row>
    <row r="20" spans="1:5" s="52" customFormat="1" ht="12" customHeight="1" x14ac:dyDescent="0.2">
      <c r="A20" s="186" t="s">
        <v>74</v>
      </c>
      <c r="B20" s="169" t="s">
        <v>168</v>
      </c>
      <c r="C20" s="156">
        <v>12514251</v>
      </c>
      <c r="D20" s="245">
        <v>25764285</v>
      </c>
      <c r="E20" s="93">
        <v>22924473</v>
      </c>
    </row>
    <row r="21" spans="1:5" s="53" customFormat="1" ht="12" customHeight="1" thickBot="1" x14ac:dyDescent="0.25">
      <c r="A21" s="187" t="s">
        <v>81</v>
      </c>
      <c r="B21" s="170" t="s">
        <v>169</v>
      </c>
      <c r="C21" s="158"/>
      <c r="D21" s="246"/>
      <c r="E21" s="95"/>
    </row>
    <row r="22" spans="1:5" s="53" customFormat="1" ht="12" customHeight="1" thickBot="1" x14ac:dyDescent="0.25">
      <c r="A22" s="25" t="s">
        <v>8</v>
      </c>
      <c r="B22" s="19" t="s">
        <v>170</v>
      </c>
      <c r="C22" s="155">
        <f>+C23+C24+C25+C26+C27</f>
        <v>9041731</v>
      </c>
      <c r="D22" s="243">
        <f>+D23+D24+D25+D26+D27</f>
        <v>11497731</v>
      </c>
      <c r="E22" s="92">
        <f>+E23+E24+E25+E26+E27</f>
        <v>11497731</v>
      </c>
    </row>
    <row r="23" spans="1:5" s="53" customFormat="1" ht="12" customHeight="1" x14ac:dyDescent="0.2">
      <c r="A23" s="185" t="s">
        <v>53</v>
      </c>
      <c r="B23" s="168" t="s">
        <v>171</v>
      </c>
      <c r="C23" s="157">
        <v>9041731</v>
      </c>
      <c r="D23" s="244">
        <v>11497731</v>
      </c>
      <c r="E23" s="94">
        <v>11497731</v>
      </c>
    </row>
    <row r="24" spans="1:5" s="52" customFormat="1" ht="12" customHeight="1" x14ac:dyDescent="0.2">
      <c r="A24" s="186" t="s">
        <v>54</v>
      </c>
      <c r="B24" s="169" t="s">
        <v>172</v>
      </c>
      <c r="C24" s="156"/>
      <c r="D24" s="245"/>
      <c r="E24" s="93"/>
    </row>
    <row r="25" spans="1:5" s="53" customFormat="1" ht="12" customHeight="1" x14ac:dyDescent="0.2">
      <c r="A25" s="186" t="s">
        <v>55</v>
      </c>
      <c r="B25" s="169" t="s">
        <v>326</v>
      </c>
      <c r="C25" s="156"/>
      <c r="D25" s="245"/>
      <c r="E25" s="93"/>
    </row>
    <row r="26" spans="1:5" s="53" customFormat="1" ht="12" customHeight="1" x14ac:dyDescent="0.2">
      <c r="A26" s="186" t="s">
        <v>56</v>
      </c>
      <c r="B26" s="169" t="s">
        <v>327</v>
      </c>
      <c r="C26" s="156"/>
      <c r="D26" s="245"/>
      <c r="E26" s="93"/>
    </row>
    <row r="27" spans="1:5" s="53" customFormat="1" ht="12" customHeight="1" x14ac:dyDescent="0.2">
      <c r="A27" s="186" t="s">
        <v>112</v>
      </c>
      <c r="B27" s="169" t="s">
        <v>173</v>
      </c>
      <c r="C27" s="156"/>
      <c r="D27" s="245"/>
      <c r="E27" s="93"/>
    </row>
    <row r="28" spans="1:5" s="53" customFormat="1" ht="12" customHeight="1" thickBot="1" x14ac:dyDescent="0.25">
      <c r="A28" s="187" t="s">
        <v>113</v>
      </c>
      <c r="B28" s="170" t="s">
        <v>174</v>
      </c>
      <c r="C28" s="158"/>
      <c r="D28" s="246"/>
      <c r="E28" s="95"/>
    </row>
    <row r="29" spans="1:5" s="53" customFormat="1" ht="12" customHeight="1" thickBot="1" x14ac:dyDescent="0.25">
      <c r="A29" s="25" t="s">
        <v>114</v>
      </c>
      <c r="B29" s="19" t="s">
        <v>478</v>
      </c>
      <c r="C29" s="161">
        <f>SUM(C30:C36)</f>
        <v>20700000</v>
      </c>
      <c r="D29" s="161">
        <f>SUM(D30:D36)</f>
        <v>20700000</v>
      </c>
      <c r="E29" s="197">
        <f>SUM(E30:E36)</f>
        <v>23262724</v>
      </c>
    </row>
    <row r="30" spans="1:5" s="53" customFormat="1" ht="12" customHeight="1" x14ac:dyDescent="0.2">
      <c r="A30" s="185" t="s">
        <v>175</v>
      </c>
      <c r="B30" s="168" t="s">
        <v>479</v>
      </c>
      <c r="C30" s="157"/>
      <c r="D30" s="157"/>
      <c r="E30" s="94"/>
    </row>
    <row r="31" spans="1:5" s="53" customFormat="1" ht="12" customHeight="1" x14ac:dyDescent="0.2">
      <c r="A31" s="186" t="s">
        <v>176</v>
      </c>
      <c r="B31" s="169" t="s">
        <v>480</v>
      </c>
      <c r="C31" s="156"/>
      <c r="D31" s="156"/>
      <c r="E31" s="93"/>
    </row>
    <row r="32" spans="1:5" s="53" customFormat="1" ht="12" customHeight="1" x14ac:dyDescent="0.2">
      <c r="A32" s="186" t="s">
        <v>177</v>
      </c>
      <c r="B32" s="169" t="s">
        <v>481</v>
      </c>
      <c r="C32" s="156">
        <v>13500000</v>
      </c>
      <c r="D32" s="156">
        <v>13500000</v>
      </c>
      <c r="E32" s="93">
        <v>16402953</v>
      </c>
    </row>
    <row r="33" spans="1:5" s="53" customFormat="1" ht="12" customHeight="1" x14ac:dyDescent="0.2">
      <c r="A33" s="186" t="s">
        <v>178</v>
      </c>
      <c r="B33" s="169" t="s">
        <v>482</v>
      </c>
      <c r="C33" s="156"/>
      <c r="D33" s="156"/>
      <c r="E33" s="93"/>
    </row>
    <row r="34" spans="1:5" s="53" customFormat="1" ht="12" customHeight="1" x14ac:dyDescent="0.2">
      <c r="A34" s="186" t="s">
        <v>483</v>
      </c>
      <c r="B34" s="169" t="s">
        <v>179</v>
      </c>
      <c r="C34" s="156">
        <v>6400000</v>
      </c>
      <c r="D34" s="156">
        <v>6400000</v>
      </c>
      <c r="E34" s="93">
        <v>6815965</v>
      </c>
    </row>
    <row r="35" spans="1:5" s="53" customFormat="1" ht="12" customHeight="1" x14ac:dyDescent="0.2">
      <c r="A35" s="186" t="s">
        <v>484</v>
      </c>
      <c r="B35" s="169" t="s">
        <v>820</v>
      </c>
      <c r="C35" s="156">
        <v>300000</v>
      </c>
      <c r="D35" s="156">
        <v>300000</v>
      </c>
      <c r="E35" s="93"/>
    </row>
    <row r="36" spans="1:5" s="53" customFormat="1" ht="12" customHeight="1" thickBot="1" x14ac:dyDescent="0.25">
      <c r="A36" s="187" t="s">
        <v>485</v>
      </c>
      <c r="B36" s="312" t="s">
        <v>180</v>
      </c>
      <c r="C36" s="158">
        <v>500000</v>
      </c>
      <c r="D36" s="158">
        <v>500000</v>
      </c>
      <c r="E36" s="95">
        <v>43806</v>
      </c>
    </row>
    <row r="37" spans="1:5" s="53" customFormat="1" ht="12" customHeight="1" thickBot="1" x14ac:dyDescent="0.25">
      <c r="A37" s="25" t="s">
        <v>10</v>
      </c>
      <c r="B37" s="19" t="s">
        <v>333</v>
      </c>
      <c r="C37" s="155">
        <f>SUM(C38:C48)</f>
        <v>6974429</v>
      </c>
      <c r="D37" s="243">
        <f>SUM(D38:D48)</f>
        <v>9574429</v>
      </c>
      <c r="E37" s="92">
        <f>SUM(E38:E48)</f>
        <v>10227384</v>
      </c>
    </row>
    <row r="38" spans="1:5" s="53" customFormat="1" ht="12" customHeight="1" x14ac:dyDescent="0.2">
      <c r="A38" s="185" t="s">
        <v>57</v>
      </c>
      <c r="B38" s="168" t="s">
        <v>183</v>
      </c>
      <c r="C38" s="157"/>
      <c r="D38" s="244"/>
      <c r="E38" s="94">
        <v>9913</v>
      </c>
    </row>
    <row r="39" spans="1:5" s="53" customFormat="1" ht="12" customHeight="1" x14ac:dyDescent="0.2">
      <c r="A39" s="186" t="s">
        <v>58</v>
      </c>
      <c r="B39" s="169" t="s">
        <v>184</v>
      </c>
      <c r="C39" s="156">
        <v>1855700</v>
      </c>
      <c r="D39" s="245">
        <v>4211037</v>
      </c>
      <c r="E39" s="93">
        <v>5576208</v>
      </c>
    </row>
    <row r="40" spans="1:5" s="53" customFormat="1" ht="12" customHeight="1" x14ac:dyDescent="0.2">
      <c r="A40" s="186" t="s">
        <v>59</v>
      </c>
      <c r="B40" s="169" t="s">
        <v>185</v>
      </c>
      <c r="C40" s="156">
        <v>405337</v>
      </c>
      <c r="D40" s="245">
        <v>400000</v>
      </c>
      <c r="E40" s="93">
        <v>371019</v>
      </c>
    </row>
    <row r="41" spans="1:5" s="53" customFormat="1" ht="12" customHeight="1" x14ac:dyDescent="0.2">
      <c r="A41" s="186" t="s">
        <v>116</v>
      </c>
      <c r="B41" s="169" t="s">
        <v>186</v>
      </c>
      <c r="C41" s="156">
        <v>95680</v>
      </c>
      <c r="D41" s="245">
        <v>95680</v>
      </c>
      <c r="E41" s="93">
        <v>47840</v>
      </c>
    </row>
    <row r="42" spans="1:5" s="53" customFormat="1" ht="12" customHeight="1" x14ac:dyDescent="0.2">
      <c r="A42" s="186" t="s">
        <v>117</v>
      </c>
      <c r="B42" s="169" t="s">
        <v>187</v>
      </c>
      <c r="C42" s="156">
        <v>3253100</v>
      </c>
      <c r="D42" s="245">
        <v>3253100</v>
      </c>
      <c r="E42" s="93">
        <v>2907425</v>
      </c>
    </row>
    <row r="43" spans="1:5" s="53" customFormat="1" ht="12" customHeight="1" x14ac:dyDescent="0.2">
      <c r="A43" s="186" t="s">
        <v>118</v>
      </c>
      <c r="B43" s="169" t="s">
        <v>188</v>
      </c>
      <c r="C43" s="156">
        <v>1013612</v>
      </c>
      <c r="D43" s="245">
        <v>1263612</v>
      </c>
      <c r="E43" s="93">
        <v>1003965</v>
      </c>
    </row>
    <row r="44" spans="1:5" s="53" customFormat="1" ht="12" customHeight="1" x14ac:dyDescent="0.2">
      <c r="A44" s="186" t="s">
        <v>119</v>
      </c>
      <c r="B44" s="169" t="s">
        <v>189</v>
      </c>
      <c r="C44" s="156">
        <v>251000</v>
      </c>
      <c r="D44" s="245">
        <v>251000</v>
      </c>
      <c r="E44" s="93"/>
    </row>
    <row r="45" spans="1:5" s="53" customFormat="1" ht="12" customHeight="1" x14ac:dyDescent="0.2">
      <c r="A45" s="186" t="s">
        <v>120</v>
      </c>
      <c r="B45" s="169" t="s">
        <v>486</v>
      </c>
      <c r="C45" s="156">
        <v>100000</v>
      </c>
      <c r="D45" s="245">
        <v>100000</v>
      </c>
      <c r="E45" s="93">
        <v>107129</v>
      </c>
    </row>
    <row r="46" spans="1:5" s="53" customFormat="1" ht="12" customHeight="1" x14ac:dyDescent="0.2">
      <c r="A46" s="186" t="s">
        <v>181</v>
      </c>
      <c r="B46" s="169" t="s">
        <v>191</v>
      </c>
      <c r="C46" s="159"/>
      <c r="D46" s="301"/>
      <c r="E46" s="96">
        <v>95511</v>
      </c>
    </row>
    <row r="47" spans="1:5" s="53" customFormat="1" ht="12" customHeight="1" x14ac:dyDescent="0.2">
      <c r="A47" s="187" t="s">
        <v>182</v>
      </c>
      <c r="B47" s="170" t="s">
        <v>335</v>
      </c>
      <c r="C47" s="160"/>
      <c r="D47" s="302"/>
      <c r="E47" s="97">
        <v>58370</v>
      </c>
    </row>
    <row r="48" spans="1:5" s="53" customFormat="1" ht="12" customHeight="1" thickBot="1" x14ac:dyDescent="0.25">
      <c r="A48" s="187" t="s">
        <v>334</v>
      </c>
      <c r="B48" s="170" t="s">
        <v>192</v>
      </c>
      <c r="C48" s="160"/>
      <c r="D48" s="302"/>
      <c r="E48" s="97">
        <v>50004</v>
      </c>
    </row>
    <row r="49" spans="1:5" s="53" customFormat="1" ht="12" customHeight="1" thickBot="1" x14ac:dyDescent="0.25">
      <c r="A49" s="25" t="s">
        <v>11</v>
      </c>
      <c r="B49" s="19" t="s">
        <v>193</v>
      </c>
      <c r="C49" s="155">
        <f>SUM(C50:C54)</f>
        <v>0</v>
      </c>
      <c r="D49" s="243">
        <f>SUM(D50:D54)</f>
        <v>0</v>
      </c>
      <c r="E49" s="92">
        <f>SUM(E50:E54)</f>
        <v>0</v>
      </c>
    </row>
    <row r="50" spans="1:5" s="53" customFormat="1" ht="12" customHeight="1" x14ac:dyDescent="0.2">
      <c r="A50" s="185" t="s">
        <v>60</v>
      </c>
      <c r="B50" s="168" t="s">
        <v>197</v>
      </c>
      <c r="C50" s="208"/>
      <c r="D50" s="303"/>
      <c r="E50" s="98"/>
    </row>
    <row r="51" spans="1:5" s="53" customFormat="1" ht="12" customHeight="1" x14ac:dyDescent="0.2">
      <c r="A51" s="186" t="s">
        <v>61</v>
      </c>
      <c r="B51" s="169" t="s">
        <v>198</v>
      </c>
      <c r="C51" s="159"/>
      <c r="D51" s="301"/>
      <c r="E51" s="96"/>
    </row>
    <row r="52" spans="1:5" s="53" customFormat="1" ht="12" customHeight="1" x14ac:dyDescent="0.2">
      <c r="A52" s="186" t="s">
        <v>194</v>
      </c>
      <c r="B52" s="169" t="s">
        <v>199</v>
      </c>
      <c r="C52" s="159"/>
      <c r="D52" s="301"/>
      <c r="E52" s="96"/>
    </row>
    <row r="53" spans="1:5" s="53" customFormat="1" ht="12" customHeight="1" x14ac:dyDescent="0.2">
      <c r="A53" s="186" t="s">
        <v>195</v>
      </c>
      <c r="B53" s="169" t="s">
        <v>200</v>
      </c>
      <c r="C53" s="159"/>
      <c r="D53" s="301"/>
      <c r="E53" s="96"/>
    </row>
    <row r="54" spans="1:5" s="53" customFormat="1" ht="12" customHeight="1" thickBot="1" x14ac:dyDescent="0.25">
      <c r="A54" s="187" t="s">
        <v>196</v>
      </c>
      <c r="B54" s="170" t="s">
        <v>201</v>
      </c>
      <c r="C54" s="160"/>
      <c r="D54" s="302"/>
      <c r="E54" s="97"/>
    </row>
    <row r="55" spans="1:5" s="53" customFormat="1" ht="12" customHeight="1" thickBot="1" x14ac:dyDescent="0.25">
      <c r="A55" s="25" t="s">
        <v>121</v>
      </c>
      <c r="B55" s="19" t="s">
        <v>202</v>
      </c>
      <c r="C55" s="155">
        <f>SUM(C56:C58)</f>
        <v>0</v>
      </c>
      <c r="D55" s="243">
        <f>SUM(D56:D58)</f>
        <v>0</v>
      </c>
      <c r="E55" s="92">
        <f>SUM(E56:E58)</f>
        <v>0</v>
      </c>
    </row>
    <row r="56" spans="1:5" s="53" customFormat="1" ht="12" customHeight="1" x14ac:dyDescent="0.2">
      <c r="A56" s="185" t="s">
        <v>62</v>
      </c>
      <c r="B56" s="168" t="s">
        <v>203</v>
      </c>
      <c r="C56" s="157"/>
      <c r="D56" s="244"/>
      <c r="E56" s="94"/>
    </row>
    <row r="57" spans="1:5" s="53" customFormat="1" ht="12" customHeight="1" x14ac:dyDescent="0.2">
      <c r="A57" s="186" t="s">
        <v>63</v>
      </c>
      <c r="B57" s="169" t="s">
        <v>328</v>
      </c>
      <c r="C57" s="156"/>
      <c r="D57" s="245"/>
      <c r="E57" s="93"/>
    </row>
    <row r="58" spans="1:5" s="53" customFormat="1" ht="12" customHeight="1" x14ac:dyDescent="0.2">
      <c r="A58" s="186" t="s">
        <v>206</v>
      </c>
      <c r="B58" s="169" t="s">
        <v>204</v>
      </c>
      <c r="C58" s="156"/>
      <c r="D58" s="245"/>
      <c r="E58" s="93"/>
    </row>
    <row r="59" spans="1:5" s="53" customFormat="1" ht="12" customHeight="1" thickBot="1" x14ac:dyDescent="0.25">
      <c r="A59" s="187" t="s">
        <v>207</v>
      </c>
      <c r="B59" s="170" t="s">
        <v>205</v>
      </c>
      <c r="C59" s="158"/>
      <c r="D59" s="246"/>
      <c r="E59" s="95"/>
    </row>
    <row r="60" spans="1:5" s="53" customFormat="1" ht="12" customHeight="1" thickBot="1" x14ac:dyDescent="0.25">
      <c r="A60" s="25" t="s">
        <v>13</v>
      </c>
      <c r="B60" s="99" t="s">
        <v>208</v>
      </c>
      <c r="C60" s="155">
        <f>SUM(C61:C63)</f>
        <v>0</v>
      </c>
      <c r="D60" s="243">
        <f>SUM(D61:D63)</f>
        <v>0</v>
      </c>
      <c r="E60" s="92">
        <f>SUM(E61:E63)</f>
        <v>0</v>
      </c>
    </row>
    <row r="61" spans="1:5" s="53" customFormat="1" ht="12" customHeight="1" x14ac:dyDescent="0.2">
      <c r="A61" s="185" t="s">
        <v>122</v>
      </c>
      <c r="B61" s="168" t="s">
        <v>210</v>
      </c>
      <c r="C61" s="159"/>
      <c r="D61" s="301"/>
      <c r="E61" s="96"/>
    </row>
    <row r="62" spans="1:5" s="53" customFormat="1" ht="12" customHeight="1" x14ac:dyDescent="0.2">
      <c r="A62" s="186" t="s">
        <v>123</v>
      </c>
      <c r="B62" s="169" t="s">
        <v>329</v>
      </c>
      <c r="C62" s="159"/>
      <c r="D62" s="301"/>
      <c r="E62" s="96"/>
    </row>
    <row r="63" spans="1:5" s="53" customFormat="1" ht="12" customHeight="1" x14ac:dyDescent="0.2">
      <c r="A63" s="186" t="s">
        <v>142</v>
      </c>
      <c r="B63" s="169" t="s">
        <v>211</v>
      </c>
      <c r="C63" s="159"/>
      <c r="D63" s="301"/>
      <c r="E63" s="96"/>
    </row>
    <row r="64" spans="1:5" s="53" customFormat="1" ht="12" customHeight="1" thickBot="1" x14ac:dyDescent="0.25">
      <c r="A64" s="187" t="s">
        <v>209</v>
      </c>
      <c r="B64" s="170" t="s">
        <v>212</v>
      </c>
      <c r="C64" s="159"/>
      <c r="D64" s="301"/>
      <c r="E64" s="96"/>
    </row>
    <row r="65" spans="1:5" s="53" customFormat="1" ht="12" customHeight="1" thickBot="1" x14ac:dyDescent="0.25">
      <c r="A65" s="25" t="s">
        <v>14</v>
      </c>
      <c r="B65" s="19" t="s">
        <v>213</v>
      </c>
      <c r="C65" s="161">
        <f>+C8+C15+C22+C29+C37+C49+C55+C60</f>
        <v>161107056</v>
      </c>
      <c r="D65" s="247">
        <f>+D8+D15+D22+D29+D37+D49+D55+D60</f>
        <v>181939000</v>
      </c>
      <c r="E65" s="197">
        <f>+E8+E15+E22+E29+E37+E49+E55+E60</f>
        <v>182314867</v>
      </c>
    </row>
    <row r="66" spans="1:5" s="53" customFormat="1" ht="12" customHeight="1" thickBot="1" x14ac:dyDescent="0.2">
      <c r="A66" s="188" t="s">
        <v>298</v>
      </c>
      <c r="B66" s="99" t="s">
        <v>215</v>
      </c>
      <c r="C66" s="155">
        <f>SUM(C67:C69)</f>
        <v>0</v>
      </c>
      <c r="D66" s="243">
        <f>SUM(D67:D69)</f>
        <v>0</v>
      </c>
      <c r="E66" s="92">
        <f>SUM(E67:E69)</f>
        <v>0</v>
      </c>
    </row>
    <row r="67" spans="1:5" s="53" customFormat="1" ht="12" customHeight="1" x14ac:dyDescent="0.2">
      <c r="A67" s="185" t="s">
        <v>243</v>
      </c>
      <c r="B67" s="168" t="s">
        <v>216</v>
      </c>
      <c r="C67" s="159"/>
      <c r="D67" s="301"/>
      <c r="E67" s="96"/>
    </row>
    <row r="68" spans="1:5" s="53" customFormat="1" ht="12" customHeight="1" x14ac:dyDescent="0.2">
      <c r="A68" s="186" t="s">
        <v>252</v>
      </c>
      <c r="B68" s="169" t="s">
        <v>217</v>
      </c>
      <c r="C68" s="159"/>
      <c r="D68" s="301"/>
      <c r="E68" s="96"/>
    </row>
    <row r="69" spans="1:5" s="53" customFormat="1" ht="12" customHeight="1" thickBot="1" x14ac:dyDescent="0.25">
      <c r="A69" s="195" t="s">
        <v>253</v>
      </c>
      <c r="B69" s="367" t="s">
        <v>360</v>
      </c>
      <c r="C69" s="368"/>
      <c r="D69" s="304"/>
      <c r="E69" s="369"/>
    </row>
    <row r="70" spans="1:5" s="53" customFormat="1" ht="12" customHeight="1" thickBot="1" x14ac:dyDescent="0.2">
      <c r="A70" s="188" t="s">
        <v>219</v>
      </c>
      <c r="B70" s="99" t="s">
        <v>220</v>
      </c>
      <c r="C70" s="155">
        <f>SUM(C71:C74)</f>
        <v>0</v>
      </c>
      <c r="D70" s="155">
        <f>SUM(D71:D74)</f>
        <v>0</v>
      </c>
      <c r="E70" s="92">
        <f>SUM(E71:E74)</f>
        <v>0</v>
      </c>
    </row>
    <row r="71" spans="1:5" s="53" customFormat="1" ht="12" customHeight="1" x14ac:dyDescent="0.2">
      <c r="A71" s="185" t="s">
        <v>100</v>
      </c>
      <c r="B71" s="350" t="s">
        <v>221</v>
      </c>
      <c r="C71" s="159"/>
      <c r="D71" s="159"/>
      <c r="E71" s="96"/>
    </row>
    <row r="72" spans="1:5" s="53" customFormat="1" ht="12" customHeight="1" x14ac:dyDescent="0.2">
      <c r="A72" s="186" t="s">
        <v>101</v>
      </c>
      <c r="B72" s="350" t="s">
        <v>493</v>
      </c>
      <c r="C72" s="159"/>
      <c r="D72" s="159"/>
      <c r="E72" s="96"/>
    </row>
    <row r="73" spans="1:5" s="53" customFormat="1" ht="12" customHeight="1" x14ac:dyDescent="0.2">
      <c r="A73" s="186" t="s">
        <v>244</v>
      </c>
      <c r="B73" s="350" t="s">
        <v>222</v>
      </c>
      <c r="C73" s="159"/>
      <c r="D73" s="159"/>
      <c r="E73" s="96"/>
    </row>
    <row r="74" spans="1:5" s="53" customFormat="1" ht="12" customHeight="1" thickBot="1" x14ac:dyDescent="0.25">
      <c r="A74" s="187" t="s">
        <v>245</v>
      </c>
      <c r="B74" s="351" t="s">
        <v>494</v>
      </c>
      <c r="C74" s="159"/>
      <c r="D74" s="159"/>
      <c r="E74" s="96"/>
    </row>
    <row r="75" spans="1:5" s="53" customFormat="1" ht="12" customHeight="1" thickBot="1" x14ac:dyDescent="0.2">
      <c r="A75" s="188" t="s">
        <v>223</v>
      </c>
      <c r="B75" s="99" t="s">
        <v>224</v>
      </c>
      <c r="C75" s="155">
        <f>SUM(C76:C77)</f>
        <v>69318628</v>
      </c>
      <c r="D75" s="155">
        <f>SUM(D76:D77)</f>
        <v>69930996</v>
      </c>
      <c r="E75" s="92">
        <f>SUM(E76:E77)</f>
        <v>69930996</v>
      </c>
    </row>
    <row r="76" spans="1:5" s="53" customFormat="1" ht="12" customHeight="1" x14ac:dyDescent="0.2">
      <c r="A76" s="185" t="s">
        <v>246</v>
      </c>
      <c r="B76" s="168" t="s">
        <v>225</v>
      </c>
      <c r="C76" s="159">
        <v>69318628</v>
      </c>
      <c r="D76" s="159">
        <v>69930996</v>
      </c>
      <c r="E76" s="96">
        <v>69930996</v>
      </c>
    </row>
    <row r="77" spans="1:5" s="53" customFormat="1" ht="12" customHeight="1" thickBot="1" x14ac:dyDescent="0.25">
      <c r="A77" s="187" t="s">
        <v>247</v>
      </c>
      <c r="B77" s="170" t="s">
        <v>226</v>
      </c>
      <c r="C77" s="159"/>
      <c r="D77" s="159"/>
      <c r="E77" s="96"/>
    </row>
    <row r="78" spans="1:5" s="52" customFormat="1" ht="12" customHeight="1" thickBot="1" x14ac:dyDescent="0.2">
      <c r="A78" s="188" t="s">
        <v>227</v>
      </c>
      <c r="B78" s="99" t="s">
        <v>228</v>
      </c>
      <c r="C78" s="155">
        <f>SUM(C79:C81)</f>
        <v>0</v>
      </c>
      <c r="D78" s="155">
        <f>SUM(D79:D81)</f>
        <v>0</v>
      </c>
      <c r="E78" s="92">
        <f>SUM(E79:E81)</f>
        <v>4360332</v>
      </c>
    </row>
    <row r="79" spans="1:5" s="53" customFormat="1" ht="12" customHeight="1" x14ac:dyDescent="0.2">
      <c r="A79" s="185" t="s">
        <v>248</v>
      </c>
      <c r="B79" s="168" t="s">
        <v>229</v>
      </c>
      <c r="C79" s="159"/>
      <c r="D79" s="159"/>
      <c r="E79" s="96">
        <v>4360332</v>
      </c>
    </row>
    <row r="80" spans="1:5" s="53" customFormat="1" ht="12" customHeight="1" x14ac:dyDescent="0.2">
      <c r="A80" s="186" t="s">
        <v>249</v>
      </c>
      <c r="B80" s="169" t="s">
        <v>230</v>
      </c>
      <c r="C80" s="159"/>
      <c r="D80" s="159"/>
      <c r="E80" s="96"/>
    </row>
    <row r="81" spans="1:5" s="53" customFormat="1" ht="12" customHeight="1" thickBot="1" x14ac:dyDescent="0.25">
      <c r="A81" s="187" t="s">
        <v>250</v>
      </c>
      <c r="B81" s="170" t="s">
        <v>495</v>
      </c>
      <c r="C81" s="159"/>
      <c r="D81" s="159"/>
      <c r="E81" s="96"/>
    </row>
    <row r="82" spans="1:5" s="53" customFormat="1" ht="12" customHeight="1" thickBot="1" x14ac:dyDescent="0.2">
      <c r="A82" s="188" t="s">
        <v>231</v>
      </c>
      <c r="B82" s="99" t="s">
        <v>251</v>
      </c>
      <c r="C82" s="155">
        <f>SUM(C83:C86)</f>
        <v>0</v>
      </c>
      <c r="D82" s="155">
        <f>SUM(D83:D86)</f>
        <v>0</v>
      </c>
      <c r="E82" s="92">
        <f>SUM(E83:E86)</f>
        <v>0</v>
      </c>
    </row>
    <row r="83" spans="1:5" s="53" customFormat="1" ht="12" customHeight="1" x14ac:dyDescent="0.2">
      <c r="A83" s="189" t="s">
        <v>232</v>
      </c>
      <c r="B83" s="168" t="s">
        <v>233</v>
      </c>
      <c r="C83" s="159"/>
      <c r="D83" s="159"/>
      <c r="E83" s="96"/>
    </row>
    <row r="84" spans="1:5" s="53" customFormat="1" ht="12" customHeight="1" x14ac:dyDescent="0.2">
      <c r="A84" s="190" t="s">
        <v>234</v>
      </c>
      <c r="B84" s="169" t="s">
        <v>235</v>
      </c>
      <c r="C84" s="159"/>
      <c r="D84" s="159"/>
      <c r="E84" s="96"/>
    </row>
    <row r="85" spans="1:5" s="53" customFormat="1" ht="12" customHeight="1" x14ac:dyDescent="0.2">
      <c r="A85" s="190" t="s">
        <v>236</v>
      </c>
      <c r="B85" s="169" t="s">
        <v>237</v>
      </c>
      <c r="C85" s="159"/>
      <c r="D85" s="159"/>
      <c r="E85" s="96"/>
    </row>
    <row r="86" spans="1:5" s="52" customFormat="1" ht="12" customHeight="1" thickBot="1" x14ac:dyDescent="0.25">
      <c r="A86" s="191" t="s">
        <v>238</v>
      </c>
      <c r="B86" s="170" t="s">
        <v>239</v>
      </c>
      <c r="C86" s="159"/>
      <c r="D86" s="159"/>
      <c r="E86" s="96"/>
    </row>
    <row r="87" spans="1:5" s="52" customFormat="1" ht="12" customHeight="1" thickBot="1" x14ac:dyDescent="0.2">
      <c r="A87" s="188" t="s">
        <v>240</v>
      </c>
      <c r="B87" s="99" t="s">
        <v>374</v>
      </c>
      <c r="C87" s="211"/>
      <c r="D87" s="211"/>
      <c r="E87" s="212"/>
    </row>
    <row r="88" spans="1:5" s="52" customFormat="1" ht="12" customHeight="1" thickBot="1" x14ac:dyDescent="0.2">
      <c r="A88" s="188" t="s">
        <v>392</v>
      </c>
      <c r="B88" s="99" t="s">
        <v>241</v>
      </c>
      <c r="C88" s="211"/>
      <c r="D88" s="211"/>
      <c r="E88" s="212"/>
    </row>
    <row r="89" spans="1:5" s="52" customFormat="1" ht="12" customHeight="1" thickBot="1" x14ac:dyDescent="0.2">
      <c r="A89" s="188" t="s">
        <v>393</v>
      </c>
      <c r="B89" s="175" t="s">
        <v>377</v>
      </c>
      <c r="C89" s="161">
        <f>+C66+C70+C75+C78+C82+C88+C87</f>
        <v>69318628</v>
      </c>
      <c r="D89" s="161">
        <f>+D66+D70+D75+D78+D82+D88+D87</f>
        <v>69930996</v>
      </c>
      <c r="E89" s="197">
        <f>+E66+E70+E75+E78+E82+E88+E87</f>
        <v>74291328</v>
      </c>
    </row>
    <row r="90" spans="1:5" s="52" customFormat="1" ht="12" customHeight="1" thickBot="1" x14ac:dyDescent="0.2">
      <c r="A90" s="192" t="s">
        <v>394</v>
      </c>
      <c r="B90" s="176" t="s">
        <v>395</v>
      </c>
      <c r="C90" s="161">
        <f>+C65+C89</f>
        <v>230425684</v>
      </c>
      <c r="D90" s="161">
        <f>+D65+D89</f>
        <v>251869996</v>
      </c>
      <c r="E90" s="197">
        <f>+E65+E89</f>
        <v>256606195</v>
      </c>
    </row>
    <row r="91" spans="1:5" s="53" customFormat="1" ht="15.2" customHeight="1" thickBot="1" x14ac:dyDescent="0.25">
      <c r="A91" s="82"/>
      <c r="B91" s="83"/>
      <c r="C91" s="137"/>
    </row>
    <row r="92" spans="1:5" s="47" customFormat="1" ht="16.5" customHeight="1" thickBot="1" x14ac:dyDescent="0.25">
      <c r="A92" s="716" t="s">
        <v>41</v>
      </c>
      <c r="B92" s="717"/>
      <c r="C92" s="717"/>
      <c r="D92" s="717"/>
      <c r="E92" s="718"/>
    </row>
    <row r="93" spans="1:5" s="54" customFormat="1" ht="12" customHeight="1" thickBot="1" x14ac:dyDescent="0.25">
      <c r="A93" s="162" t="s">
        <v>6</v>
      </c>
      <c r="B93" s="24" t="s">
        <v>399</v>
      </c>
      <c r="C93" s="154">
        <f>+C94+C95+C96+C97+C98+C111</f>
        <v>88592926</v>
      </c>
      <c r="D93" s="154">
        <f>+D94+D95+D96+D97+D98+D111</f>
        <v>105158235</v>
      </c>
      <c r="E93" s="226">
        <f>+E94+E95+E96+E97+E98+E111</f>
        <v>81294203</v>
      </c>
    </row>
    <row r="94" spans="1:5" ht="12" customHeight="1" x14ac:dyDescent="0.2">
      <c r="A94" s="193" t="s">
        <v>64</v>
      </c>
      <c r="B94" s="8" t="s">
        <v>35</v>
      </c>
      <c r="C94" s="233">
        <v>19562523</v>
      </c>
      <c r="D94" s="233">
        <v>21122770</v>
      </c>
      <c r="E94" s="227">
        <v>21026893</v>
      </c>
    </row>
    <row r="95" spans="1:5" ht="12" customHeight="1" x14ac:dyDescent="0.2">
      <c r="A95" s="186" t="s">
        <v>65</v>
      </c>
      <c r="B95" s="6" t="s">
        <v>124</v>
      </c>
      <c r="C95" s="156">
        <v>3887979</v>
      </c>
      <c r="D95" s="156">
        <v>3887979</v>
      </c>
      <c r="E95" s="93">
        <v>3463589</v>
      </c>
    </row>
    <row r="96" spans="1:5" ht="12" customHeight="1" x14ac:dyDescent="0.2">
      <c r="A96" s="186" t="s">
        <v>66</v>
      </c>
      <c r="B96" s="6" t="s">
        <v>92</v>
      </c>
      <c r="C96" s="158">
        <v>51784793</v>
      </c>
      <c r="D96" s="156">
        <v>60706285</v>
      </c>
      <c r="E96" s="95">
        <v>49697831</v>
      </c>
    </row>
    <row r="97" spans="1:5" ht="12" customHeight="1" x14ac:dyDescent="0.2">
      <c r="A97" s="186" t="s">
        <v>67</v>
      </c>
      <c r="B97" s="9" t="s">
        <v>125</v>
      </c>
      <c r="C97" s="158">
        <v>2700000</v>
      </c>
      <c r="D97" s="246">
        <v>5091000</v>
      </c>
      <c r="E97" s="95">
        <v>2537250</v>
      </c>
    </row>
    <row r="98" spans="1:5" ht="12" customHeight="1" x14ac:dyDescent="0.2">
      <c r="A98" s="186" t="s">
        <v>76</v>
      </c>
      <c r="B98" s="17" t="s">
        <v>126</v>
      </c>
      <c r="C98" s="158">
        <v>10657631</v>
      </c>
      <c r="D98" s="246">
        <v>14350201</v>
      </c>
      <c r="E98" s="95">
        <v>4568640</v>
      </c>
    </row>
    <row r="99" spans="1:5" ht="12" customHeight="1" x14ac:dyDescent="0.2">
      <c r="A99" s="186" t="s">
        <v>68</v>
      </c>
      <c r="B99" s="6" t="s">
        <v>396</v>
      </c>
      <c r="C99" s="158"/>
      <c r="D99" s="246"/>
      <c r="E99" s="95"/>
    </row>
    <row r="100" spans="1:5" ht="12" customHeight="1" x14ac:dyDescent="0.2">
      <c r="A100" s="186" t="s">
        <v>69</v>
      </c>
      <c r="B100" s="62" t="s">
        <v>340</v>
      </c>
      <c r="C100" s="158"/>
      <c r="D100" s="246"/>
      <c r="E100" s="95"/>
    </row>
    <row r="101" spans="1:5" ht="12" customHeight="1" x14ac:dyDescent="0.2">
      <c r="A101" s="186" t="s">
        <v>77</v>
      </c>
      <c r="B101" s="62" t="s">
        <v>339</v>
      </c>
      <c r="C101" s="158"/>
      <c r="D101" s="246"/>
      <c r="E101" s="95"/>
    </row>
    <row r="102" spans="1:5" ht="12" customHeight="1" x14ac:dyDescent="0.2">
      <c r="A102" s="186" t="s">
        <v>78</v>
      </c>
      <c r="B102" s="62" t="s">
        <v>257</v>
      </c>
      <c r="C102" s="158"/>
      <c r="D102" s="246"/>
      <c r="E102" s="95"/>
    </row>
    <row r="103" spans="1:5" ht="12" customHeight="1" x14ac:dyDescent="0.2">
      <c r="A103" s="186" t="s">
        <v>79</v>
      </c>
      <c r="B103" s="63" t="s">
        <v>258</v>
      </c>
      <c r="C103" s="158"/>
      <c r="D103" s="246"/>
      <c r="E103" s="95"/>
    </row>
    <row r="104" spans="1:5" ht="12" customHeight="1" x14ac:dyDescent="0.2">
      <c r="A104" s="186" t="s">
        <v>80</v>
      </c>
      <c r="B104" s="63" t="s">
        <v>259</v>
      </c>
      <c r="C104" s="158"/>
      <c r="D104" s="246"/>
      <c r="E104" s="95"/>
    </row>
    <row r="105" spans="1:5" ht="12" customHeight="1" x14ac:dyDescent="0.2">
      <c r="A105" s="186" t="s">
        <v>82</v>
      </c>
      <c r="B105" s="62" t="s">
        <v>260</v>
      </c>
      <c r="C105" s="158"/>
      <c r="D105" s="246"/>
      <c r="E105" s="95"/>
    </row>
    <row r="106" spans="1:5" ht="12" customHeight="1" x14ac:dyDescent="0.2">
      <c r="A106" s="186" t="s">
        <v>127</v>
      </c>
      <c r="B106" s="62" t="s">
        <v>261</v>
      </c>
      <c r="C106" s="158"/>
      <c r="D106" s="246"/>
      <c r="E106" s="95"/>
    </row>
    <row r="107" spans="1:5" ht="12" customHeight="1" x14ac:dyDescent="0.2">
      <c r="A107" s="186" t="s">
        <v>255</v>
      </c>
      <c r="B107" s="63" t="s">
        <v>262</v>
      </c>
      <c r="C107" s="156"/>
      <c r="D107" s="246"/>
      <c r="E107" s="95"/>
    </row>
    <row r="108" spans="1:5" ht="12" customHeight="1" x14ac:dyDescent="0.2">
      <c r="A108" s="194" t="s">
        <v>256</v>
      </c>
      <c r="B108" s="64" t="s">
        <v>263</v>
      </c>
      <c r="C108" s="158"/>
      <c r="D108" s="246"/>
      <c r="E108" s="95"/>
    </row>
    <row r="109" spans="1:5" ht="12" customHeight="1" x14ac:dyDescent="0.2">
      <c r="A109" s="186" t="s">
        <v>337</v>
      </c>
      <c r="B109" s="64" t="s">
        <v>264</v>
      </c>
      <c r="C109" s="158"/>
      <c r="D109" s="246"/>
      <c r="E109" s="95"/>
    </row>
    <row r="110" spans="1:5" ht="12" customHeight="1" x14ac:dyDescent="0.2">
      <c r="A110" s="186" t="s">
        <v>338</v>
      </c>
      <c r="B110" s="63" t="s">
        <v>265</v>
      </c>
      <c r="C110" s="156"/>
      <c r="D110" s="245"/>
      <c r="E110" s="93"/>
    </row>
    <row r="111" spans="1:5" ht="12" customHeight="1" x14ac:dyDescent="0.2">
      <c r="A111" s="186" t="s">
        <v>342</v>
      </c>
      <c r="B111" s="9" t="s">
        <v>36</v>
      </c>
      <c r="C111" s="156"/>
      <c r="D111" s="245"/>
      <c r="E111" s="93"/>
    </row>
    <row r="112" spans="1:5" ht="12" customHeight="1" x14ac:dyDescent="0.2">
      <c r="A112" s="187" t="s">
        <v>343</v>
      </c>
      <c r="B112" s="6" t="s">
        <v>397</v>
      </c>
      <c r="C112" s="158"/>
      <c r="D112" s="246"/>
      <c r="E112" s="95"/>
    </row>
    <row r="113" spans="1:5" ht="12" customHeight="1" thickBot="1" x14ac:dyDescent="0.25">
      <c r="A113" s="195" t="s">
        <v>344</v>
      </c>
      <c r="B113" s="65" t="s">
        <v>398</v>
      </c>
      <c r="C113" s="234"/>
      <c r="D113" s="307"/>
      <c r="E113" s="228"/>
    </row>
    <row r="114" spans="1:5" ht="12" customHeight="1" thickBot="1" x14ac:dyDescent="0.25">
      <c r="A114" s="25" t="s">
        <v>7</v>
      </c>
      <c r="B114" s="23" t="s">
        <v>266</v>
      </c>
      <c r="C114" s="155">
        <f>+C115+C117+C119</f>
        <v>74732740</v>
      </c>
      <c r="D114" s="243">
        <f>+D115+D117+D119</f>
        <v>79475088</v>
      </c>
      <c r="E114" s="92">
        <f>+E115+E117+E119</f>
        <v>70402557</v>
      </c>
    </row>
    <row r="115" spans="1:5" ht="12" customHeight="1" x14ac:dyDescent="0.2">
      <c r="A115" s="185" t="s">
        <v>70</v>
      </c>
      <c r="B115" s="6" t="s">
        <v>141</v>
      </c>
      <c r="C115" s="157">
        <v>66713097</v>
      </c>
      <c r="D115" s="244">
        <v>11759782</v>
      </c>
      <c r="E115" s="94">
        <v>9576213</v>
      </c>
    </row>
    <row r="116" spans="1:5" ht="12" customHeight="1" x14ac:dyDescent="0.2">
      <c r="A116" s="185" t="s">
        <v>71</v>
      </c>
      <c r="B116" s="10" t="s">
        <v>270</v>
      </c>
      <c r="C116" s="157"/>
      <c r="D116" s="244"/>
      <c r="E116" s="94"/>
    </row>
    <row r="117" spans="1:5" ht="12" customHeight="1" x14ac:dyDescent="0.2">
      <c r="A117" s="185" t="s">
        <v>72</v>
      </c>
      <c r="B117" s="10" t="s">
        <v>128</v>
      </c>
      <c r="C117" s="156">
        <v>7019643</v>
      </c>
      <c r="D117" s="245">
        <v>66715306</v>
      </c>
      <c r="E117" s="93">
        <v>60826344</v>
      </c>
    </row>
    <row r="118" spans="1:5" ht="12" customHeight="1" x14ac:dyDescent="0.2">
      <c r="A118" s="185" t="s">
        <v>73</v>
      </c>
      <c r="B118" s="10" t="s">
        <v>271</v>
      </c>
      <c r="C118" s="156"/>
      <c r="D118" s="245"/>
      <c r="E118" s="93"/>
    </row>
    <row r="119" spans="1:5" ht="12" customHeight="1" x14ac:dyDescent="0.2">
      <c r="A119" s="185" t="s">
        <v>74</v>
      </c>
      <c r="B119" s="101" t="s">
        <v>143</v>
      </c>
      <c r="C119" s="156">
        <v>1000000</v>
      </c>
      <c r="D119" s="245">
        <v>1000000</v>
      </c>
      <c r="E119" s="93"/>
    </row>
    <row r="120" spans="1:5" ht="12" customHeight="1" x14ac:dyDescent="0.2">
      <c r="A120" s="185" t="s">
        <v>81</v>
      </c>
      <c r="B120" s="100" t="s">
        <v>330</v>
      </c>
      <c r="C120" s="156"/>
      <c r="D120" s="245"/>
      <c r="E120" s="93"/>
    </row>
    <row r="121" spans="1:5" ht="12" customHeight="1" x14ac:dyDescent="0.2">
      <c r="A121" s="185" t="s">
        <v>83</v>
      </c>
      <c r="B121" s="164" t="s">
        <v>276</v>
      </c>
      <c r="C121" s="156"/>
      <c r="D121" s="245"/>
      <c r="E121" s="93"/>
    </row>
    <row r="122" spans="1:5" ht="12" customHeight="1" x14ac:dyDescent="0.2">
      <c r="A122" s="185" t="s">
        <v>129</v>
      </c>
      <c r="B122" s="63" t="s">
        <v>259</v>
      </c>
      <c r="C122" s="156"/>
      <c r="D122" s="245"/>
      <c r="E122" s="93"/>
    </row>
    <row r="123" spans="1:5" ht="12" customHeight="1" x14ac:dyDescent="0.2">
      <c r="A123" s="185" t="s">
        <v>130</v>
      </c>
      <c r="B123" s="63" t="s">
        <v>275</v>
      </c>
      <c r="C123" s="156"/>
      <c r="D123" s="245"/>
      <c r="E123" s="93"/>
    </row>
    <row r="124" spans="1:5" ht="12" customHeight="1" x14ac:dyDescent="0.2">
      <c r="A124" s="185" t="s">
        <v>131</v>
      </c>
      <c r="B124" s="63" t="s">
        <v>274</v>
      </c>
      <c r="C124" s="156"/>
      <c r="D124" s="245"/>
      <c r="E124" s="93"/>
    </row>
    <row r="125" spans="1:5" ht="12" customHeight="1" x14ac:dyDescent="0.2">
      <c r="A125" s="185" t="s">
        <v>267</v>
      </c>
      <c r="B125" s="63" t="s">
        <v>262</v>
      </c>
      <c r="C125" s="156"/>
      <c r="D125" s="245"/>
      <c r="E125" s="93"/>
    </row>
    <row r="126" spans="1:5" ht="12" customHeight="1" x14ac:dyDescent="0.2">
      <c r="A126" s="185" t="s">
        <v>268</v>
      </c>
      <c r="B126" s="63" t="s">
        <v>273</v>
      </c>
      <c r="C126" s="156"/>
      <c r="D126" s="245"/>
      <c r="E126" s="93"/>
    </row>
    <row r="127" spans="1:5" ht="12" customHeight="1" thickBot="1" x14ac:dyDescent="0.25">
      <c r="A127" s="194" t="s">
        <v>269</v>
      </c>
      <c r="B127" s="63" t="s">
        <v>272</v>
      </c>
      <c r="C127" s="158"/>
      <c r="D127" s="246"/>
      <c r="E127" s="95"/>
    </row>
    <row r="128" spans="1:5" ht="12" customHeight="1" thickBot="1" x14ac:dyDescent="0.25">
      <c r="A128" s="25" t="s">
        <v>8</v>
      </c>
      <c r="B128" s="58" t="s">
        <v>347</v>
      </c>
      <c r="C128" s="155">
        <f>+C93+C114</f>
        <v>163325666</v>
      </c>
      <c r="D128" s="243">
        <f>+D93+D114</f>
        <v>184633323</v>
      </c>
      <c r="E128" s="92">
        <f>+E93+E114</f>
        <v>151696760</v>
      </c>
    </row>
    <row r="129" spans="1:11" ht="12" customHeight="1" thickBot="1" x14ac:dyDescent="0.25">
      <c r="A129" s="25" t="s">
        <v>9</v>
      </c>
      <c r="B129" s="58" t="s">
        <v>348</v>
      </c>
      <c r="C129" s="155">
        <f>+C130+C131+C132</f>
        <v>0</v>
      </c>
      <c r="D129" s="243">
        <f>+D130+D131+D132</f>
        <v>0</v>
      </c>
      <c r="E129" s="92">
        <f>+E130+E131+E132</f>
        <v>0</v>
      </c>
    </row>
    <row r="130" spans="1:11" s="54" customFormat="1" ht="12" customHeight="1" x14ac:dyDescent="0.2">
      <c r="A130" s="185" t="s">
        <v>175</v>
      </c>
      <c r="B130" s="7" t="s">
        <v>402</v>
      </c>
      <c r="C130" s="156"/>
      <c r="D130" s="245"/>
      <c r="E130" s="93"/>
    </row>
    <row r="131" spans="1:11" ht="12" customHeight="1" x14ac:dyDescent="0.2">
      <c r="A131" s="185" t="s">
        <v>176</v>
      </c>
      <c r="B131" s="7" t="s">
        <v>356</v>
      </c>
      <c r="C131" s="156"/>
      <c r="D131" s="245"/>
      <c r="E131" s="93"/>
    </row>
    <row r="132" spans="1:11" ht="12" customHeight="1" thickBot="1" x14ac:dyDescent="0.25">
      <c r="A132" s="194" t="s">
        <v>177</v>
      </c>
      <c r="B132" s="5" t="s">
        <v>401</v>
      </c>
      <c r="C132" s="156"/>
      <c r="D132" s="245"/>
      <c r="E132" s="93"/>
    </row>
    <row r="133" spans="1:11" ht="12" customHeight="1" thickBot="1" x14ac:dyDescent="0.25">
      <c r="A133" s="25" t="s">
        <v>10</v>
      </c>
      <c r="B133" s="58" t="s">
        <v>349</v>
      </c>
      <c r="C133" s="155">
        <f>+C134+C135+C136+C137+C138+C139</f>
        <v>0</v>
      </c>
      <c r="D133" s="243">
        <f>+D134+D135+D136+D137+D138+D139</f>
        <v>0</v>
      </c>
      <c r="E133" s="92">
        <f>+E134+E135+E136+E137+E138+E139</f>
        <v>0</v>
      </c>
    </row>
    <row r="134" spans="1:11" ht="12" customHeight="1" x14ac:dyDescent="0.2">
      <c r="A134" s="185" t="s">
        <v>57</v>
      </c>
      <c r="B134" s="7" t="s">
        <v>358</v>
      </c>
      <c r="C134" s="156"/>
      <c r="D134" s="245"/>
      <c r="E134" s="93"/>
    </row>
    <row r="135" spans="1:11" ht="12" customHeight="1" x14ac:dyDescent="0.2">
      <c r="A135" s="185" t="s">
        <v>58</v>
      </c>
      <c r="B135" s="7" t="s">
        <v>350</v>
      </c>
      <c r="C135" s="156"/>
      <c r="D135" s="245"/>
      <c r="E135" s="93"/>
    </row>
    <row r="136" spans="1:11" ht="12" customHeight="1" x14ac:dyDescent="0.2">
      <c r="A136" s="185" t="s">
        <v>59</v>
      </c>
      <c r="B136" s="7" t="s">
        <v>351</v>
      </c>
      <c r="C136" s="156"/>
      <c r="D136" s="245"/>
      <c r="E136" s="93"/>
    </row>
    <row r="137" spans="1:11" ht="12" customHeight="1" x14ac:dyDescent="0.2">
      <c r="A137" s="185" t="s">
        <v>116</v>
      </c>
      <c r="B137" s="7" t="s">
        <v>400</v>
      </c>
      <c r="C137" s="156"/>
      <c r="D137" s="245"/>
      <c r="E137" s="93"/>
    </row>
    <row r="138" spans="1:11" ht="12" customHeight="1" x14ac:dyDescent="0.2">
      <c r="A138" s="185" t="s">
        <v>117</v>
      </c>
      <c r="B138" s="7" t="s">
        <v>353</v>
      </c>
      <c r="C138" s="156"/>
      <c r="D138" s="245"/>
      <c r="E138" s="93"/>
    </row>
    <row r="139" spans="1:11" s="54" customFormat="1" ht="12" customHeight="1" thickBot="1" x14ac:dyDescent="0.25">
      <c r="A139" s="194" t="s">
        <v>118</v>
      </c>
      <c r="B139" s="5" t="s">
        <v>354</v>
      </c>
      <c r="C139" s="156"/>
      <c r="D139" s="245"/>
      <c r="E139" s="93"/>
    </row>
    <row r="140" spans="1:11" ht="12" customHeight="1" thickBot="1" x14ac:dyDescent="0.25">
      <c r="A140" s="25" t="s">
        <v>11</v>
      </c>
      <c r="B140" s="58" t="s">
        <v>411</v>
      </c>
      <c r="C140" s="161">
        <f>+C141+C142+C144+C145+C143</f>
        <v>67100018</v>
      </c>
      <c r="D140" s="247">
        <f>+D141+D142+D144+D145+D143</f>
        <v>67236673</v>
      </c>
      <c r="E140" s="197">
        <f>+E141+E142+E144+E145+E143</f>
        <v>66262062</v>
      </c>
      <c r="K140" s="91"/>
    </row>
    <row r="141" spans="1:11" x14ac:dyDescent="0.2">
      <c r="A141" s="185" t="s">
        <v>60</v>
      </c>
      <c r="B141" s="7" t="s">
        <v>277</v>
      </c>
      <c r="C141" s="156"/>
      <c r="D141" s="245"/>
      <c r="E141" s="93"/>
    </row>
    <row r="142" spans="1:11" ht="12" customHeight="1" x14ac:dyDescent="0.2">
      <c r="A142" s="185" t="s">
        <v>61</v>
      </c>
      <c r="B142" s="7" t="s">
        <v>278</v>
      </c>
      <c r="C142" s="156">
        <v>4455369</v>
      </c>
      <c r="D142" s="245">
        <v>4455369</v>
      </c>
      <c r="E142" s="93">
        <v>4455369</v>
      </c>
    </row>
    <row r="143" spans="1:11" ht="12" customHeight="1" x14ac:dyDescent="0.2">
      <c r="A143" s="185" t="s">
        <v>194</v>
      </c>
      <c r="B143" s="7" t="s">
        <v>410</v>
      </c>
      <c r="C143" s="156">
        <v>62644649</v>
      </c>
      <c r="D143" s="245">
        <v>62781304</v>
      </c>
      <c r="E143" s="93">
        <v>61806693</v>
      </c>
    </row>
    <row r="144" spans="1:11" s="54" customFormat="1" ht="12" customHeight="1" x14ac:dyDescent="0.2">
      <c r="A144" s="185" t="s">
        <v>195</v>
      </c>
      <c r="B144" s="7" t="s">
        <v>363</v>
      </c>
      <c r="C144" s="156"/>
      <c r="D144" s="245"/>
      <c r="E144" s="93"/>
    </row>
    <row r="145" spans="1:5" s="54" customFormat="1" ht="12" customHeight="1" thickBot="1" x14ac:dyDescent="0.25">
      <c r="A145" s="194" t="s">
        <v>196</v>
      </c>
      <c r="B145" s="5" t="s">
        <v>294</v>
      </c>
      <c r="C145" s="156"/>
      <c r="D145" s="245"/>
      <c r="E145" s="93"/>
    </row>
    <row r="146" spans="1:5" s="54" customFormat="1" ht="12" customHeight="1" thickBot="1" x14ac:dyDescent="0.25">
      <c r="A146" s="25" t="s">
        <v>12</v>
      </c>
      <c r="B146" s="58" t="s">
        <v>364</v>
      </c>
      <c r="C146" s="236">
        <f>+C147+C148+C149+C150+C151</f>
        <v>0</v>
      </c>
      <c r="D146" s="248">
        <f>+D147+D148+D149+D150+D151</f>
        <v>0</v>
      </c>
      <c r="E146" s="230">
        <f>+E147+E148+E149+E150+E151</f>
        <v>0</v>
      </c>
    </row>
    <row r="147" spans="1:5" s="54" customFormat="1" ht="12" customHeight="1" x14ac:dyDescent="0.2">
      <c r="A147" s="185" t="s">
        <v>62</v>
      </c>
      <c r="B147" s="7" t="s">
        <v>359</v>
      </c>
      <c r="C147" s="156"/>
      <c r="D147" s="245"/>
      <c r="E147" s="93"/>
    </row>
    <row r="148" spans="1:5" s="54" customFormat="1" ht="12" customHeight="1" x14ac:dyDescent="0.2">
      <c r="A148" s="185" t="s">
        <v>63</v>
      </c>
      <c r="B148" s="7" t="s">
        <v>366</v>
      </c>
      <c r="C148" s="156"/>
      <c r="D148" s="245"/>
      <c r="E148" s="93"/>
    </row>
    <row r="149" spans="1:5" s="54" customFormat="1" ht="12" customHeight="1" x14ac:dyDescent="0.2">
      <c r="A149" s="185" t="s">
        <v>206</v>
      </c>
      <c r="B149" s="7" t="s">
        <v>361</v>
      </c>
      <c r="C149" s="156"/>
      <c r="D149" s="245"/>
      <c r="E149" s="93"/>
    </row>
    <row r="150" spans="1:5" s="54" customFormat="1" ht="12" customHeight="1" x14ac:dyDescent="0.2">
      <c r="A150" s="185" t="s">
        <v>207</v>
      </c>
      <c r="B150" s="7" t="s">
        <v>403</v>
      </c>
      <c r="C150" s="156"/>
      <c r="D150" s="245"/>
      <c r="E150" s="93"/>
    </row>
    <row r="151" spans="1:5" ht="12.75" customHeight="1" thickBot="1" x14ac:dyDescent="0.25">
      <c r="A151" s="194" t="s">
        <v>365</v>
      </c>
      <c r="B151" s="5" t="s">
        <v>368</v>
      </c>
      <c r="C151" s="158"/>
      <c r="D151" s="246"/>
      <c r="E151" s="95"/>
    </row>
    <row r="152" spans="1:5" ht="12.75" customHeight="1" thickBot="1" x14ac:dyDescent="0.25">
      <c r="A152" s="225" t="s">
        <v>13</v>
      </c>
      <c r="B152" s="58" t="s">
        <v>369</v>
      </c>
      <c r="C152" s="236"/>
      <c r="D152" s="248"/>
      <c r="E152" s="230"/>
    </row>
    <row r="153" spans="1:5" ht="12.75" customHeight="1" thickBot="1" x14ac:dyDescent="0.25">
      <c r="A153" s="225" t="s">
        <v>14</v>
      </c>
      <c r="B153" s="58" t="s">
        <v>370</v>
      </c>
      <c r="C153" s="236"/>
      <c r="D153" s="248"/>
      <c r="E153" s="230"/>
    </row>
    <row r="154" spans="1:5" ht="12" customHeight="1" thickBot="1" x14ac:dyDescent="0.25">
      <c r="A154" s="25" t="s">
        <v>15</v>
      </c>
      <c r="B154" s="58" t="s">
        <v>372</v>
      </c>
      <c r="C154" s="238">
        <f>+C129+C133+C140+C146+C152+C153</f>
        <v>67100018</v>
      </c>
      <c r="D154" s="250">
        <f>+D129+D133+D140+D146+D152+D153</f>
        <v>67236673</v>
      </c>
      <c r="E154" s="232">
        <f>+E129+E133+E140+E146+E152+E153</f>
        <v>66262062</v>
      </c>
    </row>
    <row r="155" spans="1:5" ht="15.2" customHeight="1" thickBot="1" x14ac:dyDescent="0.25">
      <c r="A155" s="196" t="s">
        <v>16</v>
      </c>
      <c r="B155" s="142" t="s">
        <v>371</v>
      </c>
      <c r="C155" s="238">
        <f>+C128+C154</f>
        <v>230425684</v>
      </c>
      <c r="D155" s="250">
        <f>+D128+D154</f>
        <v>251869996</v>
      </c>
      <c r="E155" s="232">
        <f>+E128+E154</f>
        <v>217958822</v>
      </c>
    </row>
    <row r="156" spans="1:5" ht="13.5" thickBot="1" x14ac:dyDescent="0.25">
      <c r="A156" s="145"/>
      <c r="B156" s="146"/>
      <c r="C156" s="607">
        <f>C90-C155</f>
        <v>0</v>
      </c>
      <c r="D156" s="607">
        <f>D90-D155</f>
        <v>0</v>
      </c>
      <c r="E156" s="147"/>
    </row>
    <row r="157" spans="1:5" ht="15.2" customHeight="1" thickBot="1" x14ac:dyDescent="0.25">
      <c r="A157" s="89" t="s">
        <v>488</v>
      </c>
      <c r="B157" s="90"/>
      <c r="C157" s="306"/>
      <c r="D157" s="306"/>
      <c r="E157" s="305"/>
    </row>
    <row r="158" spans="1:5" ht="14.45" customHeight="1" thickBot="1" x14ac:dyDescent="0.25">
      <c r="A158" s="89" t="s">
        <v>489</v>
      </c>
      <c r="B158" s="90"/>
      <c r="C158" s="306"/>
      <c r="D158" s="306"/>
      <c r="E158" s="305"/>
    </row>
  </sheetData>
  <sheetProtection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20" zoomScaleNormal="120" zoomScaleSheetLayoutView="100" workbookViewId="0">
      <selection activeCell="J142" sqref="J142"/>
    </sheetView>
  </sheetViews>
  <sheetFormatPr defaultRowHeight="12.75" x14ac:dyDescent="0.2"/>
  <cols>
    <col min="1" max="1" width="16.1640625" style="148" customWidth="1"/>
    <col min="2" max="2" width="62" style="149" customWidth="1"/>
    <col min="3" max="3" width="14.1640625" style="150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70"/>
      <c r="B1" s="720" t="str">
        <f>CONCATENATE("6.1.1. melléklet ",Z_ALAPADATOK!A7," ",Z_ALAPADATOK!B7," ",Z_ALAPADATOK!C7," ",Z_ALAPADATOK!D7," ",Z_ALAPADATOK!E7," ",Z_ALAPADATOK!F7," ",Z_ALAPADATOK!G7," ",Z_ALAPADATOK!H7)</f>
        <v>6.1.1. melléklet a 6 / 2019. ( IV.25 ) önkormányzati rendelethez</v>
      </c>
      <c r="C1" s="721"/>
      <c r="D1" s="721"/>
      <c r="E1" s="721"/>
    </row>
    <row r="2" spans="1:5" s="50" customFormat="1" ht="21.2" customHeight="1" thickBot="1" x14ac:dyDescent="0.25">
      <c r="A2" s="379" t="s">
        <v>45</v>
      </c>
      <c r="B2" s="719" t="str">
        <f>CONCATENATE(Z_ALAPADATOK!A3)</f>
        <v>Kajárpéc Közésgi Önkormányzat</v>
      </c>
      <c r="C2" s="719"/>
      <c r="D2" s="719"/>
      <c r="E2" s="380" t="s">
        <v>39</v>
      </c>
    </row>
    <row r="3" spans="1:5" s="50" customFormat="1" ht="24.75" thickBot="1" x14ac:dyDescent="0.25">
      <c r="A3" s="379" t="s">
        <v>137</v>
      </c>
      <c r="B3" s="719" t="s">
        <v>321</v>
      </c>
      <c r="C3" s="719"/>
      <c r="D3" s="719"/>
      <c r="E3" s="381" t="s">
        <v>43</v>
      </c>
    </row>
    <row r="4" spans="1:5" s="51" customFormat="1" ht="15.95" customHeight="1" thickBot="1" x14ac:dyDescent="0.3">
      <c r="A4" s="373"/>
      <c r="B4" s="373"/>
      <c r="C4" s="374"/>
      <c r="D4" s="375"/>
      <c r="E4" s="374" t="e">
        <f>'Z_6.1.sz.mell'!E4</f>
        <v>#REF!</v>
      </c>
    </row>
    <row r="5" spans="1:5" ht="24.75" thickBot="1" x14ac:dyDescent="0.25">
      <c r="A5" s="376" t="s">
        <v>138</v>
      </c>
      <c r="B5" s="377" t="s">
        <v>487</v>
      </c>
      <c r="C5" s="377" t="s">
        <v>451</v>
      </c>
      <c r="D5" s="378" t="s">
        <v>452</v>
      </c>
      <c r="E5" s="359" t="str">
        <f>CONCATENATE('Z_6.1.sz.mell'!E5)</f>
        <v>Teljesítés
2018. XII. 31.</v>
      </c>
    </row>
    <row r="6" spans="1:5" s="47" customFormat="1" ht="12.95" customHeight="1" thickBot="1" x14ac:dyDescent="0.25">
      <c r="A6" s="71" t="s">
        <v>383</v>
      </c>
      <c r="B6" s="72" t="s">
        <v>384</v>
      </c>
      <c r="C6" s="72" t="s">
        <v>385</v>
      </c>
      <c r="D6" s="300" t="s">
        <v>387</v>
      </c>
      <c r="E6" s="73" t="s">
        <v>386</v>
      </c>
    </row>
    <row r="7" spans="1:5" s="47" customFormat="1" ht="15.95" customHeight="1" thickBot="1" x14ac:dyDescent="0.25">
      <c r="A7" s="716" t="s">
        <v>40</v>
      </c>
      <c r="B7" s="717"/>
      <c r="C7" s="717"/>
      <c r="D7" s="717"/>
      <c r="E7" s="718"/>
    </row>
    <row r="8" spans="1:5" s="47" customFormat="1" ht="12" customHeight="1" thickBot="1" x14ac:dyDescent="0.25">
      <c r="A8" s="25" t="s">
        <v>6</v>
      </c>
      <c r="B8" s="19" t="s">
        <v>160</v>
      </c>
      <c r="C8" s="155">
        <f>+C9+C10+C11+C12+C13+C14</f>
        <v>111876645</v>
      </c>
      <c r="D8" s="243">
        <f>+D9+D10+D11+D12+D13+D14</f>
        <v>114402555</v>
      </c>
      <c r="E8" s="92">
        <f>+E9+E10+E11+E12+E13+E14</f>
        <v>114402555</v>
      </c>
    </row>
    <row r="9" spans="1:5" s="52" customFormat="1" ht="12" customHeight="1" x14ac:dyDescent="0.2">
      <c r="A9" s="185" t="s">
        <v>64</v>
      </c>
      <c r="B9" s="168" t="s">
        <v>161</v>
      </c>
      <c r="C9" s="157">
        <v>97189685</v>
      </c>
      <c r="D9" s="244">
        <v>97231897</v>
      </c>
      <c r="E9" s="94">
        <v>97231897</v>
      </c>
    </row>
    <row r="10" spans="1:5" s="53" customFormat="1" ht="12" customHeight="1" x14ac:dyDescent="0.2">
      <c r="A10" s="186" t="s">
        <v>65</v>
      </c>
      <c r="B10" s="169" t="s">
        <v>162</v>
      </c>
      <c r="C10" s="156"/>
      <c r="D10" s="245"/>
      <c r="E10" s="93"/>
    </row>
    <row r="11" spans="1:5" s="53" customFormat="1" ht="12" customHeight="1" x14ac:dyDescent="0.2">
      <c r="A11" s="186" t="s">
        <v>66</v>
      </c>
      <c r="B11" s="169" t="s">
        <v>163</v>
      </c>
      <c r="C11" s="156">
        <v>12394560</v>
      </c>
      <c r="D11" s="245">
        <v>12169060</v>
      </c>
      <c r="E11" s="93">
        <v>12169060</v>
      </c>
    </row>
    <row r="12" spans="1:5" s="53" customFormat="1" ht="12" customHeight="1" x14ac:dyDescent="0.2">
      <c r="A12" s="186" t="s">
        <v>67</v>
      </c>
      <c r="B12" s="169" t="s">
        <v>164</v>
      </c>
      <c r="C12" s="156">
        <v>1800000</v>
      </c>
      <c r="D12" s="245">
        <v>1800000</v>
      </c>
      <c r="E12" s="93">
        <v>1800000</v>
      </c>
    </row>
    <row r="13" spans="1:5" s="53" customFormat="1" ht="12" customHeight="1" x14ac:dyDescent="0.2">
      <c r="A13" s="186" t="s">
        <v>99</v>
      </c>
      <c r="B13" s="169" t="s">
        <v>391</v>
      </c>
      <c r="C13" s="156">
        <v>492400</v>
      </c>
      <c r="D13" s="245">
        <v>3201598</v>
      </c>
      <c r="E13" s="93">
        <v>3201598</v>
      </c>
    </row>
    <row r="14" spans="1:5" s="52" customFormat="1" ht="12" customHeight="1" thickBot="1" x14ac:dyDescent="0.25">
      <c r="A14" s="187" t="s">
        <v>68</v>
      </c>
      <c r="B14" s="170" t="s">
        <v>332</v>
      </c>
      <c r="C14" s="156"/>
      <c r="D14" s="245"/>
      <c r="E14" s="93"/>
    </row>
    <row r="15" spans="1:5" s="52" customFormat="1" ht="12" customHeight="1" thickBot="1" x14ac:dyDescent="0.25">
      <c r="A15" s="25" t="s">
        <v>7</v>
      </c>
      <c r="B15" s="99" t="s">
        <v>165</v>
      </c>
      <c r="C15" s="155">
        <f>+C16+C17+C18+C19+C20</f>
        <v>12514251</v>
      </c>
      <c r="D15" s="243">
        <f>+D16+D17+D18+D19+D20</f>
        <v>25764285</v>
      </c>
      <c r="E15" s="92">
        <f>+E16+E17+E18+E19+E20</f>
        <v>22924473</v>
      </c>
    </row>
    <row r="16" spans="1:5" s="52" customFormat="1" ht="12" customHeight="1" x14ac:dyDescent="0.2">
      <c r="A16" s="185" t="s">
        <v>70</v>
      </c>
      <c r="B16" s="168" t="s">
        <v>166</v>
      </c>
      <c r="C16" s="157"/>
      <c r="D16" s="244"/>
      <c r="E16" s="94"/>
    </row>
    <row r="17" spans="1:5" s="52" customFormat="1" ht="12" customHeight="1" x14ac:dyDescent="0.2">
      <c r="A17" s="186" t="s">
        <v>71</v>
      </c>
      <c r="B17" s="169" t="s">
        <v>167</v>
      </c>
      <c r="C17" s="156"/>
      <c r="D17" s="245"/>
      <c r="E17" s="93"/>
    </row>
    <row r="18" spans="1:5" s="52" customFormat="1" ht="12" customHeight="1" x14ac:dyDescent="0.2">
      <c r="A18" s="186" t="s">
        <v>72</v>
      </c>
      <c r="B18" s="169" t="s">
        <v>324</v>
      </c>
      <c r="C18" s="156"/>
      <c r="D18" s="245"/>
      <c r="E18" s="93"/>
    </row>
    <row r="19" spans="1:5" s="52" customFormat="1" ht="12" customHeight="1" x14ac:dyDescent="0.2">
      <c r="A19" s="186" t="s">
        <v>73</v>
      </c>
      <c r="B19" s="169" t="s">
        <v>325</v>
      </c>
      <c r="C19" s="156"/>
      <c r="D19" s="245"/>
      <c r="E19" s="93"/>
    </row>
    <row r="20" spans="1:5" s="52" customFormat="1" ht="12" customHeight="1" x14ac:dyDescent="0.2">
      <c r="A20" s="186" t="s">
        <v>74</v>
      </c>
      <c r="B20" s="169" t="s">
        <v>168</v>
      </c>
      <c r="C20" s="156">
        <v>12514251</v>
      </c>
      <c r="D20" s="245">
        <v>25764285</v>
      </c>
      <c r="E20" s="93">
        <v>22924473</v>
      </c>
    </row>
    <row r="21" spans="1:5" s="53" customFormat="1" ht="12" customHeight="1" thickBot="1" x14ac:dyDescent="0.25">
      <c r="A21" s="187" t="s">
        <v>81</v>
      </c>
      <c r="B21" s="170" t="s">
        <v>169</v>
      </c>
      <c r="C21" s="158"/>
      <c r="D21" s="246"/>
      <c r="E21" s="95"/>
    </row>
    <row r="22" spans="1:5" s="53" customFormat="1" ht="12" customHeight="1" thickBot="1" x14ac:dyDescent="0.25">
      <c r="A22" s="25" t="s">
        <v>8</v>
      </c>
      <c r="B22" s="19" t="s">
        <v>170</v>
      </c>
      <c r="C22" s="155">
        <f>+C23+C24+C25+C26+C27</f>
        <v>9041731</v>
      </c>
      <c r="D22" s="243">
        <f>+D23+D24+D25+D26+D27</f>
        <v>11497731</v>
      </c>
      <c r="E22" s="92">
        <f>+E23+E24+E25+E26+E27</f>
        <v>11497731</v>
      </c>
    </row>
    <row r="23" spans="1:5" s="53" customFormat="1" ht="12" customHeight="1" x14ac:dyDescent="0.2">
      <c r="A23" s="185" t="s">
        <v>53</v>
      </c>
      <c r="B23" s="168" t="s">
        <v>171</v>
      </c>
      <c r="C23" s="157">
        <v>9041731</v>
      </c>
      <c r="D23" s="244">
        <v>11497731</v>
      </c>
      <c r="E23" s="94">
        <v>11497731</v>
      </c>
    </row>
    <row r="24" spans="1:5" s="52" customFormat="1" ht="12" customHeight="1" x14ac:dyDescent="0.2">
      <c r="A24" s="186" t="s">
        <v>54</v>
      </c>
      <c r="B24" s="169" t="s">
        <v>172</v>
      </c>
      <c r="C24" s="156"/>
      <c r="D24" s="245"/>
      <c r="E24" s="93"/>
    </row>
    <row r="25" spans="1:5" s="53" customFormat="1" ht="12" customHeight="1" x14ac:dyDescent="0.2">
      <c r="A25" s="186" t="s">
        <v>55</v>
      </c>
      <c r="B25" s="169" t="s">
        <v>326</v>
      </c>
      <c r="C25" s="156"/>
      <c r="D25" s="245"/>
      <c r="E25" s="93"/>
    </row>
    <row r="26" spans="1:5" s="53" customFormat="1" ht="12" customHeight="1" x14ac:dyDescent="0.2">
      <c r="A26" s="186" t="s">
        <v>56</v>
      </c>
      <c r="B26" s="169" t="s">
        <v>327</v>
      </c>
      <c r="C26" s="156"/>
      <c r="D26" s="245"/>
      <c r="E26" s="93"/>
    </row>
    <row r="27" spans="1:5" s="53" customFormat="1" ht="12" customHeight="1" x14ac:dyDescent="0.2">
      <c r="A27" s="186" t="s">
        <v>112</v>
      </c>
      <c r="B27" s="169" t="s">
        <v>173</v>
      </c>
      <c r="C27" s="156"/>
      <c r="D27" s="245"/>
      <c r="E27" s="93"/>
    </row>
    <row r="28" spans="1:5" s="53" customFormat="1" ht="12" customHeight="1" thickBot="1" x14ac:dyDescent="0.25">
      <c r="A28" s="187" t="s">
        <v>113</v>
      </c>
      <c r="B28" s="170" t="s">
        <v>174</v>
      </c>
      <c r="C28" s="158"/>
      <c r="D28" s="246"/>
      <c r="E28" s="95"/>
    </row>
    <row r="29" spans="1:5" s="53" customFormat="1" ht="12" customHeight="1" thickBot="1" x14ac:dyDescent="0.25">
      <c r="A29" s="25" t="s">
        <v>114</v>
      </c>
      <c r="B29" s="19" t="s">
        <v>478</v>
      </c>
      <c r="C29" s="161">
        <f>SUM(C30:C36)</f>
        <v>20700000</v>
      </c>
      <c r="D29" s="161">
        <f>SUM(D30:D36)</f>
        <v>20700000</v>
      </c>
      <c r="E29" s="197">
        <f>SUM(E30:E36)</f>
        <v>23262724</v>
      </c>
    </row>
    <row r="30" spans="1:5" s="53" customFormat="1" ht="12" customHeight="1" x14ac:dyDescent="0.2">
      <c r="A30" s="185" t="s">
        <v>175</v>
      </c>
      <c r="B30" s="168" t="s">
        <v>479</v>
      </c>
      <c r="C30" s="157"/>
      <c r="D30" s="157"/>
      <c r="E30" s="94"/>
    </row>
    <row r="31" spans="1:5" s="53" customFormat="1" ht="12" customHeight="1" x14ac:dyDescent="0.2">
      <c r="A31" s="186" t="s">
        <v>176</v>
      </c>
      <c r="B31" s="169" t="s">
        <v>480</v>
      </c>
      <c r="C31" s="156"/>
      <c r="D31" s="156"/>
      <c r="E31" s="93"/>
    </row>
    <row r="32" spans="1:5" s="53" customFormat="1" ht="12" customHeight="1" x14ac:dyDescent="0.2">
      <c r="A32" s="186" t="s">
        <v>177</v>
      </c>
      <c r="B32" s="169" t="s">
        <v>481</v>
      </c>
      <c r="C32" s="156">
        <v>13500000</v>
      </c>
      <c r="D32" s="156">
        <v>13500000</v>
      </c>
      <c r="E32" s="93">
        <v>16402953</v>
      </c>
    </row>
    <row r="33" spans="1:5" s="53" customFormat="1" ht="12" customHeight="1" x14ac:dyDescent="0.2">
      <c r="A33" s="186" t="s">
        <v>178</v>
      </c>
      <c r="B33" s="169" t="s">
        <v>482</v>
      </c>
      <c r="C33" s="156"/>
      <c r="D33" s="156"/>
      <c r="E33" s="93"/>
    </row>
    <row r="34" spans="1:5" s="53" customFormat="1" ht="12" customHeight="1" x14ac:dyDescent="0.2">
      <c r="A34" s="186" t="s">
        <v>483</v>
      </c>
      <c r="B34" s="169" t="s">
        <v>179</v>
      </c>
      <c r="C34" s="156">
        <v>6400000</v>
      </c>
      <c r="D34" s="156">
        <v>6400000</v>
      </c>
      <c r="E34" s="93">
        <v>6815965</v>
      </c>
    </row>
    <row r="35" spans="1:5" s="53" customFormat="1" ht="12" customHeight="1" x14ac:dyDescent="0.2">
      <c r="A35" s="186" t="s">
        <v>484</v>
      </c>
      <c r="B35" s="169" t="s">
        <v>820</v>
      </c>
      <c r="C35" s="156">
        <v>300000</v>
      </c>
      <c r="D35" s="156">
        <v>300000</v>
      </c>
      <c r="E35" s="93"/>
    </row>
    <row r="36" spans="1:5" s="53" customFormat="1" ht="12" customHeight="1" thickBot="1" x14ac:dyDescent="0.25">
      <c r="A36" s="187" t="s">
        <v>485</v>
      </c>
      <c r="B36" s="312" t="s">
        <v>180</v>
      </c>
      <c r="C36" s="158">
        <v>500000</v>
      </c>
      <c r="D36" s="158">
        <v>500000</v>
      </c>
      <c r="E36" s="95">
        <v>43806</v>
      </c>
    </row>
    <row r="37" spans="1:5" s="53" customFormat="1" ht="12" customHeight="1" thickBot="1" x14ac:dyDescent="0.25">
      <c r="A37" s="25" t="s">
        <v>10</v>
      </c>
      <c r="B37" s="19" t="s">
        <v>333</v>
      </c>
      <c r="C37" s="155">
        <f>SUM(C38:C48)</f>
        <v>6974429</v>
      </c>
      <c r="D37" s="243">
        <f>SUM(D38:D48)</f>
        <v>9574429</v>
      </c>
      <c r="E37" s="92">
        <f>SUM(E38:E48)</f>
        <v>10227384</v>
      </c>
    </row>
    <row r="38" spans="1:5" s="53" customFormat="1" ht="12" customHeight="1" x14ac:dyDescent="0.2">
      <c r="A38" s="185" t="s">
        <v>57</v>
      </c>
      <c r="B38" s="168" t="s">
        <v>183</v>
      </c>
      <c r="C38" s="157"/>
      <c r="D38" s="244"/>
      <c r="E38" s="94">
        <v>9913</v>
      </c>
    </row>
    <row r="39" spans="1:5" s="53" customFormat="1" ht="12" customHeight="1" x14ac:dyDescent="0.2">
      <c r="A39" s="186" t="s">
        <v>58</v>
      </c>
      <c r="B39" s="169" t="s">
        <v>184</v>
      </c>
      <c r="C39" s="156">
        <v>1855700</v>
      </c>
      <c r="D39" s="245">
        <v>4211037</v>
      </c>
      <c r="E39" s="93">
        <v>5576208</v>
      </c>
    </row>
    <row r="40" spans="1:5" s="53" customFormat="1" ht="12" customHeight="1" x14ac:dyDescent="0.2">
      <c r="A40" s="186" t="s">
        <v>59</v>
      </c>
      <c r="B40" s="169" t="s">
        <v>185</v>
      </c>
      <c r="C40" s="156">
        <v>405337</v>
      </c>
      <c r="D40" s="245">
        <v>400000</v>
      </c>
      <c r="E40" s="93">
        <v>371019</v>
      </c>
    </row>
    <row r="41" spans="1:5" s="53" customFormat="1" ht="12" customHeight="1" x14ac:dyDescent="0.2">
      <c r="A41" s="186" t="s">
        <v>116</v>
      </c>
      <c r="B41" s="169" t="s">
        <v>186</v>
      </c>
      <c r="C41" s="156">
        <v>95680</v>
      </c>
      <c r="D41" s="245">
        <v>95680</v>
      </c>
      <c r="E41" s="93">
        <v>47840</v>
      </c>
    </row>
    <row r="42" spans="1:5" s="53" customFormat="1" ht="12" customHeight="1" x14ac:dyDescent="0.2">
      <c r="A42" s="186" t="s">
        <v>117</v>
      </c>
      <c r="B42" s="169" t="s">
        <v>187</v>
      </c>
      <c r="C42" s="156">
        <v>3253100</v>
      </c>
      <c r="D42" s="245">
        <v>3253100</v>
      </c>
      <c r="E42" s="93">
        <v>2907425</v>
      </c>
    </row>
    <row r="43" spans="1:5" s="53" customFormat="1" ht="12" customHeight="1" x14ac:dyDescent="0.2">
      <c r="A43" s="186" t="s">
        <v>118</v>
      </c>
      <c r="B43" s="169" t="s">
        <v>188</v>
      </c>
      <c r="C43" s="156">
        <v>1013612</v>
      </c>
      <c r="D43" s="245">
        <v>1263612</v>
      </c>
      <c r="E43" s="93">
        <v>1003965</v>
      </c>
    </row>
    <row r="44" spans="1:5" s="53" customFormat="1" ht="12" customHeight="1" x14ac:dyDescent="0.2">
      <c r="A44" s="186" t="s">
        <v>119</v>
      </c>
      <c r="B44" s="169" t="s">
        <v>189</v>
      </c>
      <c r="C44" s="156">
        <v>251000</v>
      </c>
      <c r="D44" s="245">
        <v>251000</v>
      </c>
      <c r="E44" s="93"/>
    </row>
    <row r="45" spans="1:5" s="53" customFormat="1" ht="12" customHeight="1" x14ac:dyDescent="0.2">
      <c r="A45" s="186" t="s">
        <v>120</v>
      </c>
      <c r="B45" s="169" t="s">
        <v>486</v>
      </c>
      <c r="C45" s="156">
        <v>100000</v>
      </c>
      <c r="D45" s="245">
        <v>100000</v>
      </c>
      <c r="E45" s="93">
        <v>107129</v>
      </c>
    </row>
    <row r="46" spans="1:5" s="53" customFormat="1" ht="12" customHeight="1" x14ac:dyDescent="0.2">
      <c r="A46" s="186" t="s">
        <v>181</v>
      </c>
      <c r="B46" s="169" t="s">
        <v>191</v>
      </c>
      <c r="C46" s="159"/>
      <c r="D46" s="301"/>
      <c r="E46" s="96">
        <v>95511</v>
      </c>
    </row>
    <row r="47" spans="1:5" s="53" customFormat="1" ht="12" customHeight="1" x14ac:dyDescent="0.2">
      <c r="A47" s="187" t="s">
        <v>182</v>
      </c>
      <c r="B47" s="170" t="s">
        <v>335</v>
      </c>
      <c r="C47" s="160"/>
      <c r="D47" s="302"/>
      <c r="E47" s="97">
        <v>58370</v>
      </c>
    </row>
    <row r="48" spans="1:5" s="53" customFormat="1" ht="12" customHeight="1" thickBot="1" x14ac:dyDescent="0.25">
      <c r="A48" s="187" t="s">
        <v>334</v>
      </c>
      <c r="B48" s="170" t="s">
        <v>192</v>
      </c>
      <c r="C48" s="160"/>
      <c r="D48" s="302"/>
      <c r="E48" s="97">
        <v>50004</v>
      </c>
    </row>
    <row r="49" spans="1:5" s="53" customFormat="1" ht="12" customHeight="1" thickBot="1" x14ac:dyDescent="0.25">
      <c r="A49" s="25" t="s">
        <v>11</v>
      </c>
      <c r="B49" s="19" t="s">
        <v>193</v>
      </c>
      <c r="C49" s="155">
        <f>SUM(C50:C54)</f>
        <v>0</v>
      </c>
      <c r="D49" s="243">
        <f>SUM(D50:D54)</f>
        <v>0</v>
      </c>
      <c r="E49" s="92">
        <f>SUM(E50:E54)</f>
        <v>0</v>
      </c>
    </row>
    <row r="50" spans="1:5" s="53" customFormat="1" ht="12" customHeight="1" x14ac:dyDescent="0.2">
      <c r="A50" s="185" t="s">
        <v>60</v>
      </c>
      <c r="B50" s="168" t="s">
        <v>197</v>
      </c>
      <c r="C50" s="208"/>
      <c r="D50" s="303"/>
      <c r="E50" s="98"/>
    </row>
    <row r="51" spans="1:5" s="53" customFormat="1" ht="12" customHeight="1" x14ac:dyDescent="0.2">
      <c r="A51" s="186" t="s">
        <v>61</v>
      </c>
      <c r="B51" s="169" t="s">
        <v>198</v>
      </c>
      <c r="C51" s="159"/>
      <c r="D51" s="301"/>
      <c r="E51" s="96"/>
    </row>
    <row r="52" spans="1:5" s="53" customFormat="1" ht="12" customHeight="1" x14ac:dyDescent="0.2">
      <c r="A52" s="186" t="s">
        <v>194</v>
      </c>
      <c r="B52" s="169" t="s">
        <v>199</v>
      </c>
      <c r="C52" s="159"/>
      <c r="D52" s="301"/>
      <c r="E52" s="96"/>
    </row>
    <row r="53" spans="1:5" s="53" customFormat="1" ht="12" customHeight="1" x14ac:dyDescent="0.2">
      <c r="A53" s="186" t="s">
        <v>195</v>
      </c>
      <c r="B53" s="169" t="s">
        <v>200</v>
      </c>
      <c r="C53" s="159"/>
      <c r="D53" s="301"/>
      <c r="E53" s="96"/>
    </row>
    <row r="54" spans="1:5" s="53" customFormat="1" ht="12" customHeight="1" thickBot="1" x14ac:dyDescent="0.25">
      <c r="A54" s="187" t="s">
        <v>196</v>
      </c>
      <c r="B54" s="170" t="s">
        <v>201</v>
      </c>
      <c r="C54" s="160"/>
      <c r="D54" s="302"/>
      <c r="E54" s="97"/>
    </row>
    <row r="55" spans="1:5" s="53" customFormat="1" ht="12" customHeight="1" thickBot="1" x14ac:dyDescent="0.25">
      <c r="A55" s="25" t="s">
        <v>121</v>
      </c>
      <c r="B55" s="19" t="s">
        <v>202</v>
      </c>
      <c r="C55" s="155">
        <f>SUM(C56:C58)</f>
        <v>0</v>
      </c>
      <c r="D55" s="243">
        <f>SUM(D56:D58)</f>
        <v>0</v>
      </c>
      <c r="E55" s="92">
        <f>SUM(E56:E58)</f>
        <v>0</v>
      </c>
    </row>
    <row r="56" spans="1:5" s="53" customFormat="1" ht="12" customHeight="1" x14ac:dyDescent="0.2">
      <c r="A56" s="185" t="s">
        <v>62</v>
      </c>
      <c r="B56" s="168" t="s">
        <v>203</v>
      </c>
      <c r="C56" s="157"/>
      <c r="D56" s="244"/>
      <c r="E56" s="94"/>
    </row>
    <row r="57" spans="1:5" s="53" customFormat="1" ht="12" customHeight="1" x14ac:dyDescent="0.2">
      <c r="A57" s="186" t="s">
        <v>63</v>
      </c>
      <c r="B57" s="169" t="s">
        <v>328</v>
      </c>
      <c r="C57" s="156"/>
      <c r="D57" s="245"/>
      <c r="E57" s="93"/>
    </row>
    <row r="58" spans="1:5" s="53" customFormat="1" ht="12" customHeight="1" x14ac:dyDescent="0.2">
      <c r="A58" s="186" t="s">
        <v>206</v>
      </c>
      <c r="B58" s="169" t="s">
        <v>204</v>
      </c>
      <c r="C58" s="156"/>
      <c r="D58" s="245"/>
      <c r="E58" s="93"/>
    </row>
    <row r="59" spans="1:5" s="53" customFormat="1" ht="12" customHeight="1" thickBot="1" x14ac:dyDescent="0.25">
      <c r="A59" s="187" t="s">
        <v>207</v>
      </c>
      <c r="B59" s="170" t="s">
        <v>205</v>
      </c>
      <c r="C59" s="158"/>
      <c r="D59" s="246"/>
      <c r="E59" s="95"/>
    </row>
    <row r="60" spans="1:5" s="53" customFormat="1" ht="12" customHeight="1" thickBot="1" x14ac:dyDescent="0.25">
      <c r="A60" s="25" t="s">
        <v>13</v>
      </c>
      <c r="B60" s="99" t="s">
        <v>208</v>
      </c>
      <c r="C60" s="155">
        <f>SUM(C61:C63)</f>
        <v>0</v>
      </c>
      <c r="D60" s="243">
        <f>SUM(D61:D63)</f>
        <v>0</v>
      </c>
      <c r="E60" s="92">
        <f>SUM(E61:E63)</f>
        <v>0</v>
      </c>
    </row>
    <row r="61" spans="1:5" s="53" customFormat="1" ht="12" customHeight="1" x14ac:dyDescent="0.2">
      <c r="A61" s="185" t="s">
        <v>122</v>
      </c>
      <c r="B61" s="168" t="s">
        <v>210</v>
      </c>
      <c r="C61" s="159"/>
      <c r="D61" s="301"/>
      <c r="E61" s="96"/>
    </row>
    <row r="62" spans="1:5" s="53" customFormat="1" ht="12" customHeight="1" x14ac:dyDescent="0.2">
      <c r="A62" s="186" t="s">
        <v>123</v>
      </c>
      <c r="B62" s="169" t="s">
        <v>329</v>
      </c>
      <c r="C62" s="159"/>
      <c r="D62" s="301"/>
      <c r="E62" s="96"/>
    </row>
    <row r="63" spans="1:5" s="53" customFormat="1" ht="12" customHeight="1" x14ac:dyDescent="0.2">
      <c r="A63" s="186" t="s">
        <v>142</v>
      </c>
      <c r="B63" s="169" t="s">
        <v>211</v>
      </c>
      <c r="C63" s="159"/>
      <c r="D63" s="301"/>
      <c r="E63" s="96"/>
    </row>
    <row r="64" spans="1:5" s="53" customFormat="1" ht="12" customHeight="1" thickBot="1" x14ac:dyDescent="0.25">
      <c r="A64" s="187" t="s">
        <v>209</v>
      </c>
      <c r="B64" s="170" t="s">
        <v>212</v>
      </c>
      <c r="C64" s="159"/>
      <c r="D64" s="301"/>
      <c r="E64" s="96"/>
    </row>
    <row r="65" spans="1:5" s="53" customFormat="1" ht="12" customHeight="1" thickBot="1" x14ac:dyDescent="0.25">
      <c r="A65" s="25" t="s">
        <v>14</v>
      </c>
      <c r="B65" s="19" t="s">
        <v>213</v>
      </c>
      <c r="C65" s="161">
        <f>+C8+C15+C22+C29+C37+C49+C55+C60</f>
        <v>161107056</v>
      </c>
      <c r="D65" s="247">
        <f>+D8+D15+D22+D29+D37+D49+D55+D60</f>
        <v>181939000</v>
      </c>
      <c r="E65" s="197">
        <f>+E8+E15+E22+E29+E37+E49+E55+E60</f>
        <v>182314867</v>
      </c>
    </row>
    <row r="66" spans="1:5" s="53" customFormat="1" ht="12" customHeight="1" thickBot="1" x14ac:dyDescent="0.2">
      <c r="A66" s="188" t="s">
        <v>298</v>
      </c>
      <c r="B66" s="99" t="s">
        <v>215</v>
      </c>
      <c r="C66" s="155">
        <f>SUM(C67:C69)</f>
        <v>0</v>
      </c>
      <c r="D66" s="243">
        <f>SUM(D67:D69)</f>
        <v>0</v>
      </c>
      <c r="E66" s="92">
        <f>SUM(E67:E69)</f>
        <v>0</v>
      </c>
    </row>
    <row r="67" spans="1:5" s="53" customFormat="1" ht="12" customHeight="1" x14ac:dyDescent="0.2">
      <c r="A67" s="185" t="s">
        <v>243</v>
      </c>
      <c r="B67" s="168" t="s">
        <v>216</v>
      </c>
      <c r="C67" s="159"/>
      <c r="D67" s="301"/>
      <c r="E67" s="96"/>
    </row>
    <row r="68" spans="1:5" s="53" customFormat="1" ht="12" customHeight="1" x14ac:dyDescent="0.2">
      <c r="A68" s="186" t="s">
        <v>252</v>
      </c>
      <c r="B68" s="169" t="s">
        <v>217</v>
      </c>
      <c r="C68" s="159"/>
      <c r="D68" s="301"/>
      <c r="E68" s="96"/>
    </row>
    <row r="69" spans="1:5" s="53" customFormat="1" ht="12" customHeight="1" thickBot="1" x14ac:dyDescent="0.25">
      <c r="A69" s="195" t="s">
        <v>253</v>
      </c>
      <c r="B69" s="367" t="s">
        <v>218</v>
      </c>
      <c r="C69" s="368"/>
      <c r="D69" s="304"/>
      <c r="E69" s="369"/>
    </row>
    <row r="70" spans="1:5" s="53" customFormat="1" ht="12" customHeight="1" thickBot="1" x14ac:dyDescent="0.2">
      <c r="A70" s="188" t="s">
        <v>219</v>
      </c>
      <c r="B70" s="99" t="s">
        <v>220</v>
      </c>
      <c r="C70" s="155">
        <f>SUM(C71:C74)</f>
        <v>0</v>
      </c>
      <c r="D70" s="155">
        <f>SUM(D71:D74)</f>
        <v>0</v>
      </c>
      <c r="E70" s="92">
        <f>SUM(E71:E74)</f>
        <v>0</v>
      </c>
    </row>
    <row r="71" spans="1:5" s="53" customFormat="1" ht="12" customHeight="1" x14ac:dyDescent="0.2">
      <c r="A71" s="185" t="s">
        <v>100</v>
      </c>
      <c r="B71" s="350" t="s">
        <v>221</v>
      </c>
      <c r="C71" s="159"/>
      <c r="D71" s="159"/>
      <c r="E71" s="96"/>
    </row>
    <row r="72" spans="1:5" s="53" customFormat="1" ht="12" customHeight="1" x14ac:dyDescent="0.2">
      <c r="A72" s="186" t="s">
        <v>101</v>
      </c>
      <c r="B72" s="350" t="s">
        <v>493</v>
      </c>
      <c r="C72" s="159"/>
      <c r="D72" s="159"/>
      <c r="E72" s="96"/>
    </row>
    <row r="73" spans="1:5" s="53" customFormat="1" ht="12" customHeight="1" x14ac:dyDescent="0.2">
      <c r="A73" s="186" t="s">
        <v>244</v>
      </c>
      <c r="B73" s="350" t="s">
        <v>222</v>
      </c>
      <c r="C73" s="159"/>
      <c r="D73" s="159"/>
      <c r="E73" s="96"/>
    </row>
    <row r="74" spans="1:5" s="53" customFormat="1" ht="12" customHeight="1" thickBot="1" x14ac:dyDescent="0.25">
      <c r="A74" s="187" t="s">
        <v>245</v>
      </c>
      <c r="B74" s="351" t="s">
        <v>494</v>
      </c>
      <c r="C74" s="159"/>
      <c r="D74" s="159"/>
      <c r="E74" s="96"/>
    </row>
    <row r="75" spans="1:5" s="53" customFormat="1" ht="12" customHeight="1" thickBot="1" x14ac:dyDescent="0.2">
      <c r="A75" s="188" t="s">
        <v>223</v>
      </c>
      <c r="B75" s="99" t="s">
        <v>224</v>
      </c>
      <c r="C75" s="155">
        <f>SUM(C76:C77)</f>
        <v>0</v>
      </c>
      <c r="D75" s="155">
        <f>SUM(D76:D77)</f>
        <v>0</v>
      </c>
      <c r="E75" s="92">
        <f>SUM(E76:E77)</f>
        <v>0</v>
      </c>
    </row>
    <row r="76" spans="1:5" s="53" customFormat="1" ht="12" customHeight="1" x14ac:dyDescent="0.2">
      <c r="A76" s="185" t="s">
        <v>246</v>
      </c>
      <c r="B76" s="168" t="s">
        <v>225</v>
      </c>
      <c r="C76" s="159"/>
      <c r="D76" s="159"/>
      <c r="E76" s="96"/>
    </row>
    <row r="77" spans="1:5" s="53" customFormat="1" ht="12" customHeight="1" thickBot="1" x14ac:dyDescent="0.25">
      <c r="A77" s="187" t="s">
        <v>247</v>
      </c>
      <c r="B77" s="170" t="s">
        <v>226</v>
      </c>
      <c r="C77" s="159"/>
      <c r="D77" s="159"/>
      <c r="E77" s="96"/>
    </row>
    <row r="78" spans="1:5" s="52" customFormat="1" ht="12" customHeight="1" thickBot="1" x14ac:dyDescent="0.2">
      <c r="A78" s="188" t="s">
        <v>227</v>
      </c>
      <c r="B78" s="99" t="s">
        <v>228</v>
      </c>
      <c r="C78" s="155">
        <f>SUM(C79:C81)</f>
        <v>0</v>
      </c>
      <c r="D78" s="155">
        <f>SUM(D79:D81)</f>
        <v>0</v>
      </c>
      <c r="E78" s="92">
        <f>SUM(E79:E81)</f>
        <v>4360332</v>
      </c>
    </row>
    <row r="79" spans="1:5" s="53" customFormat="1" ht="12" customHeight="1" x14ac:dyDescent="0.2">
      <c r="A79" s="185" t="s">
        <v>248</v>
      </c>
      <c r="B79" s="168" t="s">
        <v>229</v>
      </c>
      <c r="C79" s="159"/>
      <c r="D79" s="159"/>
      <c r="E79" s="96">
        <v>4360332</v>
      </c>
    </row>
    <row r="80" spans="1:5" s="53" customFormat="1" ht="12" customHeight="1" x14ac:dyDescent="0.2">
      <c r="A80" s="186" t="s">
        <v>249</v>
      </c>
      <c r="B80" s="169" t="s">
        <v>230</v>
      </c>
      <c r="C80" s="159"/>
      <c r="D80" s="159"/>
      <c r="E80" s="96"/>
    </row>
    <row r="81" spans="1:5" s="53" customFormat="1" ht="12" customHeight="1" thickBot="1" x14ac:dyDescent="0.25">
      <c r="A81" s="187" t="s">
        <v>250</v>
      </c>
      <c r="B81" s="170" t="s">
        <v>495</v>
      </c>
      <c r="C81" s="159"/>
      <c r="D81" s="159"/>
      <c r="E81" s="96"/>
    </row>
    <row r="82" spans="1:5" s="53" customFormat="1" ht="12" customHeight="1" thickBot="1" x14ac:dyDescent="0.2">
      <c r="A82" s="188" t="s">
        <v>231</v>
      </c>
      <c r="B82" s="99" t="s">
        <v>251</v>
      </c>
      <c r="C82" s="155">
        <f>SUM(C83:C86)</f>
        <v>0</v>
      </c>
      <c r="D82" s="155">
        <f>SUM(D83:D86)</f>
        <v>0</v>
      </c>
      <c r="E82" s="92">
        <f>SUM(E83:E86)</f>
        <v>0</v>
      </c>
    </row>
    <row r="83" spans="1:5" s="53" customFormat="1" ht="12" customHeight="1" x14ac:dyDescent="0.2">
      <c r="A83" s="189" t="s">
        <v>232</v>
      </c>
      <c r="B83" s="168" t="s">
        <v>233</v>
      </c>
      <c r="C83" s="159"/>
      <c r="D83" s="159"/>
      <c r="E83" s="96"/>
    </row>
    <row r="84" spans="1:5" s="53" customFormat="1" ht="12" customHeight="1" x14ac:dyDescent="0.2">
      <c r="A84" s="190" t="s">
        <v>234</v>
      </c>
      <c r="B84" s="169" t="s">
        <v>235</v>
      </c>
      <c r="C84" s="159"/>
      <c r="D84" s="159"/>
      <c r="E84" s="96"/>
    </row>
    <row r="85" spans="1:5" s="53" customFormat="1" ht="12" customHeight="1" x14ac:dyDescent="0.2">
      <c r="A85" s="190" t="s">
        <v>236</v>
      </c>
      <c r="B85" s="169" t="s">
        <v>237</v>
      </c>
      <c r="C85" s="159"/>
      <c r="D85" s="159"/>
      <c r="E85" s="96"/>
    </row>
    <row r="86" spans="1:5" s="52" customFormat="1" ht="12" customHeight="1" thickBot="1" x14ac:dyDescent="0.25">
      <c r="A86" s="191" t="s">
        <v>238</v>
      </c>
      <c r="B86" s="170" t="s">
        <v>239</v>
      </c>
      <c r="C86" s="159"/>
      <c r="D86" s="159"/>
      <c r="E86" s="96"/>
    </row>
    <row r="87" spans="1:5" s="52" customFormat="1" ht="12" customHeight="1" thickBot="1" x14ac:dyDescent="0.2">
      <c r="A87" s="188" t="s">
        <v>240</v>
      </c>
      <c r="B87" s="99" t="s">
        <v>374</v>
      </c>
      <c r="C87" s="211"/>
      <c r="D87" s="211"/>
      <c r="E87" s="212"/>
    </row>
    <row r="88" spans="1:5" s="52" customFormat="1" ht="12" customHeight="1" thickBot="1" x14ac:dyDescent="0.2">
      <c r="A88" s="188" t="s">
        <v>392</v>
      </c>
      <c r="B88" s="99" t="s">
        <v>241</v>
      </c>
      <c r="C88" s="211"/>
      <c r="D88" s="211"/>
      <c r="E88" s="212"/>
    </row>
    <row r="89" spans="1:5" s="52" customFormat="1" ht="12" customHeight="1" thickBot="1" x14ac:dyDescent="0.2">
      <c r="A89" s="188" t="s">
        <v>393</v>
      </c>
      <c r="B89" s="175" t="s">
        <v>377</v>
      </c>
      <c r="C89" s="161">
        <f>+C66+C70+C75+C78+C82+C88+C87</f>
        <v>0</v>
      </c>
      <c r="D89" s="161">
        <f>+D66+D70+D75+D78+D82+D88+D87</f>
        <v>0</v>
      </c>
      <c r="E89" s="197">
        <f>+E66+E70+E75+E78+E82+E88+E87</f>
        <v>4360332</v>
      </c>
    </row>
    <row r="90" spans="1:5" s="52" customFormat="1" ht="12" customHeight="1" thickBot="1" x14ac:dyDescent="0.2">
      <c r="A90" s="192" t="s">
        <v>394</v>
      </c>
      <c r="B90" s="176" t="s">
        <v>395</v>
      </c>
      <c r="C90" s="161">
        <f>+C65+C89</f>
        <v>161107056</v>
      </c>
      <c r="D90" s="161">
        <f>+D65+D89</f>
        <v>181939000</v>
      </c>
      <c r="E90" s="197">
        <f>+E65+E89</f>
        <v>186675199</v>
      </c>
    </row>
    <row r="91" spans="1:5" s="53" customFormat="1" ht="15.2" customHeight="1" thickBot="1" x14ac:dyDescent="0.25">
      <c r="A91" s="82"/>
      <c r="B91" s="83"/>
      <c r="C91" s="137"/>
    </row>
    <row r="92" spans="1:5" s="47" customFormat="1" ht="16.5" customHeight="1" thickBot="1" x14ac:dyDescent="0.25">
      <c r="A92" s="716" t="s">
        <v>41</v>
      </c>
      <c r="B92" s="717"/>
      <c r="C92" s="717"/>
      <c r="D92" s="717"/>
      <c r="E92" s="718"/>
    </row>
    <row r="93" spans="1:5" s="54" customFormat="1" ht="12" customHeight="1" thickBot="1" x14ac:dyDescent="0.25">
      <c r="A93" s="162" t="s">
        <v>6</v>
      </c>
      <c r="B93" s="24" t="s">
        <v>399</v>
      </c>
      <c r="C93" s="154">
        <f>+C94+C95+C96+C97+C98+C111</f>
        <v>88592926</v>
      </c>
      <c r="D93" s="154">
        <f>+D94+D95+D96+D97+D98+D111</f>
        <v>105158235</v>
      </c>
      <c r="E93" s="226">
        <f>+E94+E95+E96+E97+E98+E111</f>
        <v>81294203</v>
      </c>
    </row>
    <row r="94" spans="1:5" ht="12" customHeight="1" x14ac:dyDescent="0.2">
      <c r="A94" s="193" t="s">
        <v>64</v>
      </c>
      <c r="B94" s="8" t="s">
        <v>35</v>
      </c>
      <c r="C94" s="233">
        <v>19562523</v>
      </c>
      <c r="D94" s="233">
        <v>21122770</v>
      </c>
      <c r="E94" s="227">
        <v>21026893</v>
      </c>
    </row>
    <row r="95" spans="1:5" ht="12" customHeight="1" x14ac:dyDescent="0.2">
      <c r="A95" s="186" t="s">
        <v>65</v>
      </c>
      <c r="B95" s="6" t="s">
        <v>124</v>
      </c>
      <c r="C95" s="156">
        <v>3887979</v>
      </c>
      <c r="D95" s="156">
        <v>3887979</v>
      </c>
      <c r="E95" s="93">
        <v>3463589</v>
      </c>
    </row>
    <row r="96" spans="1:5" ht="12" customHeight="1" x14ac:dyDescent="0.2">
      <c r="A96" s="186" t="s">
        <v>66</v>
      </c>
      <c r="B96" s="6" t="s">
        <v>92</v>
      </c>
      <c r="C96" s="158">
        <v>51784793</v>
      </c>
      <c r="D96" s="156">
        <v>60706285</v>
      </c>
      <c r="E96" s="95">
        <v>49697831</v>
      </c>
    </row>
    <row r="97" spans="1:5" ht="12" customHeight="1" x14ac:dyDescent="0.2">
      <c r="A97" s="186" t="s">
        <v>67</v>
      </c>
      <c r="B97" s="9" t="s">
        <v>125</v>
      </c>
      <c r="C97" s="158">
        <v>2700000</v>
      </c>
      <c r="D97" s="246">
        <v>5091000</v>
      </c>
      <c r="E97" s="95">
        <v>2537250</v>
      </c>
    </row>
    <row r="98" spans="1:5" ht="12" customHeight="1" x14ac:dyDescent="0.2">
      <c r="A98" s="186" t="s">
        <v>76</v>
      </c>
      <c r="B98" s="17" t="s">
        <v>126</v>
      </c>
      <c r="C98" s="158">
        <v>10657631</v>
      </c>
      <c r="D98" s="246">
        <v>14350201</v>
      </c>
      <c r="E98" s="95">
        <v>4568640</v>
      </c>
    </row>
    <row r="99" spans="1:5" ht="12" customHeight="1" x14ac:dyDescent="0.2">
      <c r="A99" s="186" t="s">
        <v>68</v>
      </c>
      <c r="B99" s="6" t="s">
        <v>396</v>
      </c>
      <c r="C99" s="158"/>
      <c r="D99" s="246"/>
      <c r="E99" s="95"/>
    </row>
    <row r="100" spans="1:5" ht="12" customHeight="1" x14ac:dyDescent="0.2">
      <c r="A100" s="186" t="s">
        <v>69</v>
      </c>
      <c r="B100" s="62" t="s">
        <v>340</v>
      </c>
      <c r="C100" s="158"/>
      <c r="D100" s="246"/>
      <c r="E100" s="95"/>
    </row>
    <row r="101" spans="1:5" ht="12" customHeight="1" x14ac:dyDescent="0.2">
      <c r="A101" s="186" t="s">
        <v>77</v>
      </c>
      <c r="B101" s="62" t="s">
        <v>339</v>
      </c>
      <c r="C101" s="158"/>
      <c r="D101" s="246"/>
      <c r="E101" s="95"/>
    </row>
    <row r="102" spans="1:5" ht="12" customHeight="1" x14ac:dyDescent="0.2">
      <c r="A102" s="186" t="s">
        <v>78</v>
      </c>
      <c r="B102" s="62" t="s">
        <v>257</v>
      </c>
      <c r="C102" s="158"/>
      <c r="D102" s="246"/>
      <c r="E102" s="95"/>
    </row>
    <row r="103" spans="1:5" ht="12" customHeight="1" x14ac:dyDescent="0.2">
      <c r="A103" s="186" t="s">
        <v>79</v>
      </c>
      <c r="B103" s="63" t="s">
        <v>258</v>
      </c>
      <c r="C103" s="158"/>
      <c r="D103" s="246"/>
      <c r="E103" s="95"/>
    </row>
    <row r="104" spans="1:5" ht="12" customHeight="1" x14ac:dyDescent="0.2">
      <c r="A104" s="186" t="s">
        <v>80</v>
      </c>
      <c r="B104" s="63" t="s">
        <v>259</v>
      </c>
      <c r="C104" s="158"/>
      <c r="D104" s="246"/>
      <c r="E104" s="95"/>
    </row>
    <row r="105" spans="1:5" ht="12" customHeight="1" x14ac:dyDescent="0.2">
      <c r="A105" s="186" t="s">
        <v>82</v>
      </c>
      <c r="B105" s="62" t="s">
        <v>260</v>
      </c>
      <c r="C105" s="158"/>
      <c r="D105" s="246"/>
      <c r="E105" s="95"/>
    </row>
    <row r="106" spans="1:5" ht="12" customHeight="1" x14ac:dyDescent="0.2">
      <c r="A106" s="186" t="s">
        <v>127</v>
      </c>
      <c r="B106" s="62" t="s">
        <v>261</v>
      </c>
      <c r="C106" s="158"/>
      <c r="D106" s="246"/>
      <c r="E106" s="95"/>
    </row>
    <row r="107" spans="1:5" ht="12" customHeight="1" x14ac:dyDescent="0.2">
      <c r="A107" s="186" t="s">
        <v>255</v>
      </c>
      <c r="B107" s="63" t="s">
        <v>262</v>
      </c>
      <c r="C107" s="156"/>
      <c r="D107" s="246"/>
      <c r="E107" s="95"/>
    </row>
    <row r="108" spans="1:5" ht="12" customHeight="1" x14ac:dyDescent="0.2">
      <c r="A108" s="194" t="s">
        <v>256</v>
      </c>
      <c r="B108" s="64" t="s">
        <v>263</v>
      </c>
      <c r="C108" s="158"/>
      <c r="D108" s="246"/>
      <c r="E108" s="95"/>
    </row>
    <row r="109" spans="1:5" ht="12" customHeight="1" x14ac:dyDescent="0.2">
      <c r="A109" s="186" t="s">
        <v>337</v>
      </c>
      <c r="B109" s="64" t="s">
        <v>264</v>
      </c>
      <c r="C109" s="158"/>
      <c r="D109" s="246"/>
      <c r="E109" s="95"/>
    </row>
    <row r="110" spans="1:5" ht="12" customHeight="1" x14ac:dyDescent="0.2">
      <c r="A110" s="186" t="s">
        <v>338</v>
      </c>
      <c r="B110" s="63" t="s">
        <v>265</v>
      </c>
      <c r="C110" s="156"/>
      <c r="D110" s="245"/>
      <c r="E110" s="93"/>
    </row>
    <row r="111" spans="1:5" ht="12" customHeight="1" x14ac:dyDescent="0.2">
      <c r="A111" s="186" t="s">
        <v>342</v>
      </c>
      <c r="B111" s="9" t="s">
        <v>36</v>
      </c>
      <c r="C111" s="156"/>
      <c r="D111" s="245"/>
      <c r="E111" s="93"/>
    </row>
    <row r="112" spans="1:5" ht="12" customHeight="1" x14ac:dyDescent="0.2">
      <c r="A112" s="187" t="s">
        <v>343</v>
      </c>
      <c r="B112" s="6" t="s">
        <v>397</v>
      </c>
      <c r="C112" s="158"/>
      <c r="D112" s="246"/>
      <c r="E112" s="95"/>
    </row>
    <row r="113" spans="1:5" ht="12" customHeight="1" thickBot="1" x14ac:dyDescent="0.25">
      <c r="A113" s="195" t="s">
        <v>344</v>
      </c>
      <c r="B113" s="65" t="s">
        <v>398</v>
      </c>
      <c r="C113" s="234"/>
      <c r="D113" s="307"/>
      <c r="E113" s="228"/>
    </row>
    <row r="114" spans="1:5" ht="12" customHeight="1" thickBot="1" x14ac:dyDescent="0.25">
      <c r="A114" s="25" t="s">
        <v>7</v>
      </c>
      <c r="B114" s="23" t="s">
        <v>266</v>
      </c>
      <c r="C114" s="155">
        <f>+C115+C117+C119</f>
        <v>0</v>
      </c>
      <c r="D114" s="243">
        <f>+D115+D117+D119</f>
        <v>0</v>
      </c>
      <c r="E114" s="92">
        <f>+E115+E117+E119</f>
        <v>0</v>
      </c>
    </row>
    <row r="115" spans="1:5" ht="12" customHeight="1" x14ac:dyDescent="0.2">
      <c r="A115" s="185" t="s">
        <v>70</v>
      </c>
      <c r="B115" s="6" t="s">
        <v>141</v>
      </c>
      <c r="C115" s="157"/>
      <c r="D115" s="244"/>
      <c r="E115" s="94"/>
    </row>
    <row r="116" spans="1:5" ht="12" customHeight="1" x14ac:dyDescent="0.2">
      <c r="A116" s="185" t="s">
        <v>71</v>
      </c>
      <c r="B116" s="10" t="s">
        <v>270</v>
      </c>
      <c r="C116" s="157"/>
      <c r="D116" s="244"/>
      <c r="E116" s="94"/>
    </row>
    <row r="117" spans="1:5" ht="12" customHeight="1" x14ac:dyDescent="0.2">
      <c r="A117" s="185" t="s">
        <v>72</v>
      </c>
      <c r="B117" s="10" t="s">
        <v>128</v>
      </c>
      <c r="C117" s="156"/>
      <c r="D117" s="245"/>
      <c r="E117" s="93"/>
    </row>
    <row r="118" spans="1:5" ht="12" customHeight="1" x14ac:dyDescent="0.2">
      <c r="A118" s="185" t="s">
        <v>73</v>
      </c>
      <c r="B118" s="10" t="s">
        <v>271</v>
      </c>
      <c r="C118" s="156"/>
      <c r="D118" s="245"/>
      <c r="E118" s="93"/>
    </row>
    <row r="119" spans="1:5" ht="12" customHeight="1" x14ac:dyDescent="0.2">
      <c r="A119" s="185" t="s">
        <v>74</v>
      </c>
      <c r="B119" s="101" t="s">
        <v>143</v>
      </c>
      <c r="C119" s="156"/>
      <c r="D119" s="245"/>
      <c r="E119" s="93"/>
    </row>
    <row r="120" spans="1:5" ht="12" customHeight="1" x14ac:dyDescent="0.2">
      <c r="A120" s="185" t="s">
        <v>81</v>
      </c>
      <c r="B120" s="100" t="s">
        <v>330</v>
      </c>
      <c r="C120" s="156"/>
      <c r="D120" s="245"/>
      <c r="E120" s="93"/>
    </row>
    <row r="121" spans="1:5" ht="12" customHeight="1" x14ac:dyDescent="0.2">
      <c r="A121" s="185" t="s">
        <v>83</v>
      </c>
      <c r="B121" s="164" t="s">
        <v>276</v>
      </c>
      <c r="C121" s="156"/>
      <c r="D121" s="245"/>
      <c r="E121" s="93"/>
    </row>
    <row r="122" spans="1:5" ht="12" customHeight="1" x14ac:dyDescent="0.2">
      <c r="A122" s="185" t="s">
        <v>129</v>
      </c>
      <c r="B122" s="63" t="s">
        <v>259</v>
      </c>
      <c r="C122" s="156"/>
      <c r="D122" s="245"/>
      <c r="E122" s="93"/>
    </row>
    <row r="123" spans="1:5" ht="12" customHeight="1" x14ac:dyDescent="0.2">
      <c r="A123" s="185" t="s">
        <v>130</v>
      </c>
      <c r="B123" s="63" t="s">
        <v>275</v>
      </c>
      <c r="C123" s="156"/>
      <c r="D123" s="245"/>
      <c r="E123" s="93"/>
    </row>
    <row r="124" spans="1:5" ht="12" customHeight="1" x14ac:dyDescent="0.2">
      <c r="A124" s="185" t="s">
        <v>131</v>
      </c>
      <c r="B124" s="63" t="s">
        <v>274</v>
      </c>
      <c r="C124" s="156"/>
      <c r="D124" s="245"/>
      <c r="E124" s="93"/>
    </row>
    <row r="125" spans="1:5" ht="12" customHeight="1" x14ac:dyDescent="0.2">
      <c r="A125" s="185" t="s">
        <v>267</v>
      </c>
      <c r="B125" s="63" t="s">
        <v>262</v>
      </c>
      <c r="C125" s="156"/>
      <c r="D125" s="245"/>
      <c r="E125" s="93"/>
    </row>
    <row r="126" spans="1:5" ht="12" customHeight="1" x14ac:dyDescent="0.2">
      <c r="A126" s="185" t="s">
        <v>268</v>
      </c>
      <c r="B126" s="63" t="s">
        <v>273</v>
      </c>
      <c r="C126" s="156"/>
      <c r="D126" s="245"/>
      <c r="E126" s="93"/>
    </row>
    <row r="127" spans="1:5" ht="12" customHeight="1" thickBot="1" x14ac:dyDescent="0.25">
      <c r="A127" s="194" t="s">
        <v>269</v>
      </c>
      <c r="B127" s="63" t="s">
        <v>272</v>
      </c>
      <c r="C127" s="158"/>
      <c r="D127" s="246"/>
      <c r="E127" s="95"/>
    </row>
    <row r="128" spans="1:5" ht="12" customHeight="1" thickBot="1" x14ac:dyDescent="0.25">
      <c r="A128" s="25" t="s">
        <v>8</v>
      </c>
      <c r="B128" s="58" t="s">
        <v>347</v>
      </c>
      <c r="C128" s="155">
        <f>+C93+C114</f>
        <v>88592926</v>
      </c>
      <c r="D128" s="243">
        <f>+D93+D114</f>
        <v>105158235</v>
      </c>
      <c r="E128" s="92">
        <f>+E93+E114</f>
        <v>81294203</v>
      </c>
    </row>
    <row r="129" spans="1:11" ht="12" customHeight="1" thickBot="1" x14ac:dyDescent="0.25">
      <c r="A129" s="25" t="s">
        <v>9</v>
      </c>
      <c r="B129" s="58" t="s">
        <v>348</v>
      </c>
      <c r="C129" s="155">
        <f>+C130+C131+C132</f>
        <v>0</v>
      </c>
      <c r="D129" s="243">
        <f>+D130+D131+D132</f>
        <v>0</v>
      </c>
      <c r="E129" s="92">
        <f>+E130+E131+E132</f>
        <v>0</v>
      </c>
    </row>
    <row r="130" spans="1:11" s="54" customFormat="1" ht="12" customHeight="1" x14ac:dyDescent="0.2">
      <c r="A130" s="185" t="s">
        <v>175</v>
      </c>
      <c r="B130" s="7" t="s">
        <v>402</v>
      </c>
      <c r="C130" s="156"/>
      <c r="D130" s="245"/>
      <c r="E130" s="93"/>
    </row>
    <row r="131" spans="1:11" ht="12" customHeight="1" x14ac:dyDescent="0.2">
      <c r="A131" s="185" t="s">
        <v>176</v>
      </c>
      <c r="B131" s="7" t="s">
        <v>356</v>
      </c>
      <c r="C131" s="156"/>
      <c r="D131" s="245"/>
      <c r="E131" s="93"/>
    </row>
    <row r="132" spans="1:11" ht="12" customHeight="1" thickBot="1" x14ac:dyDescent="0.25">
      <c r="A132" s="194" t="s">
        <v>177</v>
      </c>
      <c r="B132" s="5" t="s">
        <v>401</v>
      </c>
      <c r="C132" s="156"/>
      <c r="D132" s="245"/>
      <c r="E132" s="93"/>
    </row>
    <row r="133" spans="1:11" ht="12" customHeight="1" thickBot="1" x14ac:dyDescent="0.25">
      <c r="A133" s="25" t="s">
        <v>10</v>
      </c>
      <c r="B133" s="58" t="s">
        <v>349</v>
      </c>
      <c r="C133" s="155">
        <f>+C134+C135+C136+C137+C138+C139</f>
        <v>0</v>
      </c>
      <c r="D133" s="243">
        <f>+D134+D135+D136+D137+D138+D139</f>
        <v>0</v>
      </c>
      <c r="E133" s="92">
        <f>+E134+E135+E136+E137+E138+E139</f>
        <v>0</v>
      </c>
    </row>
    <row r="134" spans="1:11" ht="12" customHeight="1" x14ac:dyDescent="0.2">
      <c r="A134" s="185" t="s">
        <v>57</v>
      </c>
      <c r="B134" s="7" t="s">
        <v>358</v>
      </c>
      <c r="C134" s="156"/>
      <c r="D134" s="245"/>
      <c r="E134" s="93"/>
    </row>
    <row r="135" spans="1:11" ht="12" customHeight="1" x14ac:dyDescent="0.2">
      <c r="A135" s="185" t="s">
        <v>58</v>
      </c>
      <c r="B135" s="7" t="s">
        <v>350</v>
      </c>
      <c r="C135" s="156"/>
      <c r="D135" s="245"/>
      <c r="E135" s="93"/>
    </row>
    <row r="136" spans="1:11" ht="12" customHeight="1" x14ac:dyDescent="0.2">
      <c r="A136" s="185" t="s">
        <v>59</v>
      </c>
      <c r="B136" s="7" t="s">
        <v>351</v>
      </c>
      <c r="C136" s="156"/>
      <c r="D136" s="245"/>
      <c r="E136" s="93"/>
    </row>
    <row r="137" spans="1:11" ht="12" customHeight="1" x14ac:dyDescent="0.2">
      <c r="A137" s="185" t="s">
        <v>116</v>
      </c>
      <c r="B137" s="7" t="s">
        <v>400</v>
      </c>
      <c r="C137" s="156"/>
      <c r="D137" s="245"/>
      <c r="E137" s="93"/>
    </row>
    <row r="138" spans="1:11" ht="12" customHeight="1" x14ac:dyDescent="0.2">
      <c r="A138" s="185" t="s">
        <v>117</v>
      </c>
      <c r="B138" s="7" t="s">
        <v>353</v>
      </c>
      <c r="C138" s="156"/>
      <c r="D138" s="245"/>
      <c r="E138" s="93"/>
    </row>
    <row r="139" spans="1:11" s="54" customFormat="1" ht="12" customHeight="1" thickBot="1" x14ac:dyDescent="0.25">
      <c r="A139" s="194" t="s">
        <v>118</v>
      </c>
      <c r="B139" s="5" t="s">
        <v>354</v>
      </c>
      <c r="C139" s="156"/>
      <c r="D139" s="245"/>
      <c r="E139" s="93"/>
    </row>
    <row r="140" spans="1:11" ht="12" customHeight="1" thickBot="1" x14ac:dyDescent="0.25">
      <c r="A140" s="25" t="s">
        <v>11</v>
      </c>
      <c r="B140" s="58" t="s">
        <v>411</v>
      </c>
      <c r="C140" s="161">
        <f>+C141+C142+C144+C145+C143</f>
        <v>67100018</v>
      </c>
      <c r="D140" s="247">
        <f>+D141+D142+D144+D145+D143</f>
        <v>67236673</v>
      </c>
      <c r="E140" s="197">
        <f>+E141+E142+E144+E145+E143</f>
        <v>66262062</v>
      </c>
      <c r="K140" s="91"/>
    </row>
    <row r="141" spans="1:11" x14ac:dyDescent="0.2">
      <c r="A141" s="185" t="s">
        <v>60</v>
      </c>
      <c r="B141" s="7" t="s">
        <v>277</v>
      </c>
      <c r="C141" s="156"/>
      <c r="D141" s="245"/>
      <c r="E141" s="93"/>
    </row>
    <row r="142" spans="1:11" ht="12" customHeight="1" x14ac:dyDescent="0.2">
      <c r="A142" s="185" t="s">
        <v>61</v>
      </c>
      <c r="B142" s="7" t="s">
        <v>278</v>
      </c>
      <c r="C142" s="156">
        <v>4455369</v>
      </c>
      <c r="D142" s="245">
        <v>4455369</v>
      </c>
      <c r="E142" s="93">
        <v>4455369</v>
      </c>
    </row>
    <row r="143" spans="1:11" ht="12" customHeight="1" x14ac:dyDescent="0.2">
      <c r="A143" s="185" t="s">
        <v>194</v>
      </c>
      <c r="B143" s="7" t="s">
        <v>410</v>
      </c>
      <c r="C143" s="156">
        <v>62644649</v>
      </c>
      <c r="D143" s="245">
        <v>62781304</v>
      </c>
      <c r="E143" s="93">
        <v>61806693</v>
      </c>
    </row>
    <row r="144" spans="1:11" s="54" customFormat="1" ht="12" customHeight="1" x14ac:dyDescent="0.2">
      <c r="A144" s="185" t="s">
        <v>195</v>
      </c>
      <c r="B144" s="7" t="s">
        <v>363</v>
      </c>
      <c r="C144" s="156"/>
      <c r="D144" s="245"/>
      <c r="E144" s="93"/>
    </row>
    <row r="145" spans="1:5" s="54" customFormat="1" ht="12" customHeight="1" thickBot="1" x14ac:dyDescent="0.25">
      <c r="A145" s="194" t="s">
        <v>196</v>
      </c>
      <c r="B145" s="5" t="s">
        <v>294</v>
      </c>
      <c r="C145" s="156"/>
      <c r="D145" s="245"/>
      <c r="E145" s="93"/>
    </row>
    <row r="146" spans="1:5" s="54" customFormat="1" ht="12" customHeight="1" thickBot="1" x14ac:dyDescent="0.25">
      <c r="A146" s="25" t="s">
        <v>12</v>
      </c>
      <c r="B146" s="58" t="s">
        <v>364</v>
      </c>
      <c r="C146" s="236">
        <f>+C147+C148+C149+C150+C151</f>
        <v>0</v>
      </c>
      <c r="D146" s="248">
        <f>+D147+D148+D149+D150+D151</f>
        <v>0</v>
      </c>
      <c r="E146" s="230">
        <f>+E147+E148+E149+E150+E151</f>
        <v>0</v>
      </c>
    </row>
    <row r="147" spans="1:5" s="54" customFormat="1" ht="12" customHeight="1" x14ac:dyDescent="0.2">
      <c r="A147" s="185" t="s">
        <v>62</v>
      </c>
      <c r="B147" s="7" t="s">
        <v>359</v>
      </c>
      <c r="C147" s="156"/>
      <c r="D147" s="245"/>
      <c r="E147" s="93"/>
    </row>
    <row r="148" spans="1:5" s="54" customFormat="1" ht="12" customHeight="1" x14ac:dyDescent="0.2">
      <c r="A148" s="185" t="s">
        <v>63</v>
      </c>
      <c r="B148" s="7" t="s">
        <v>366</v>
      </c>
      <c r="C148" s="156"/>
      <c r="D148" s="245"/>
      <c r="E148" s="93"/>
    </row>
    <row r="149" spans="1:5" s="54" customFormat="1" ht="12" customHeight="1" x14ac:dyDescent="0.2">
      <c r="A149" s="185" t="s">
        <v>206</v>
      </c>
      <c r="B149" s="7" t="s">
        <v>361</v>
      </c>
      <c r="C149" s="156"/>
      <c r="D149" s="245"/>
      <c r="E149" s="93"/>
    </row>
    <row r="150" spans="1:5" s="54" customFormat="1" ht="12" customHeight="1" x14ac:dyDescent="0.2">
      <c r="A150" s="185" t="s">
        <v>207</v>
      </c>
      <c r="B150" s="7" t="s">
        <v>403</v>
      </c>
      <c r="C150" s="156"/>
      <c r="D150" s="245"/>
      <c r="E150" s="93"/>
    </row>
    <row r="151" spans="1:5" ht="12.75" customHeight="1" thickBot="1" x14ac:dyDescent="0.25">
      <c r="A151" s="194" t="s">
        <v>365</v>
      </c>
      <c r="B151" s="5" t="s">
        <v>368</v>
      </c>
      <c r="C151" s="158"/>
      <c r="D151" s="246"/>
      <c r="E151" s="95"/>
    </row>
    <row r="152" spans="1:5" ht="12.75" customHeight="1" thickBot="1" x14ac:dyDescent="0.25">
      <c r="A152" s="225" t="s">
        <v>13</v>
      </c>
      <c r="B152" s="58" t="s">
        <v>369</v>
      </c>
      <c r="C152" s="236"/>
      <c r="D152" s="248"/>
      <c r="E152" s="230"/>
    </row>
    <row r="153" spans="1:5" ht="12.75" customHeight="1" thickBot="1" x14ac:dyDescent="0.25">
      <c r="A153" s="225" t="s">
        <v>14</v>
      </c>
      <c r="B153" s="58" t="s">
        <v>370</v>
      </c>
      <c r="C153" s="236"/>
      <c r="D153" s="248"/>
      <c r="E153" s="230"/>
    </row>
    <row r="154" spans="1:5" ht="12" customHeight="1" thickBot="1" x14ac:dyDescent="0.25">
      <c r="A154" s="25" t="s">
        <v>15</v>
      </c>
      <c r="B154" s="58" t="s">
        <v>372</v>
      </c>
      <c r="C154" s="238">
        <f>+C129+C133+C140+C146+C152+C153</f>
        <v>67100018</v>
      </c>
      <c r="D154" s="250">
        <f>+D129+D133+D140+D146+D152+D153</f>
        <v>67236673</v>
      </c>
      <c r="E154" s="232">
        <f>+E129+E133+E140+E146+E152+E153</f>
        <v>66262062</v>
      </c>
    </row>
    <row r="155" spans="1:5" ht="15.2" customHeight="1" thickBot="1" x14ac:dyDescent="0.25">
      <c r="A155" s="196" t="s">
        <v>16</v>
      </c>
      <c r="B155" s="142" t="s">
        <v>371</v>
      </c>
      <c r="C155" s="238">
        <f>+C128+C154</f>
        <v>155692944</v>
      </c>
      <c r="D155" s="250">
        <f>+D128+D154</f>
        <v>172394908</v>
      </c>
      <c r="E155" s="232">
        <f>+E128+E154</f>
        <v>147556265</v>
      </c>
    </row>
    <row r="156" spans="1:5" ht="13.5" thickBot="1" x14ac:dyDescent="0.25">
      <c r="A156" s="145"/>
      <c r="B156" s="146"/>
      <c r="C156" s="607">
        <f>C90-C155</f>
        <v>5414112</v>
      </c>
      <c r="D156" s="607">
        <f>D90-D155</f>
        <v>9544092</v>
      </c>
      <c r="E156" s="147"/>
    </row>
    <row r="157" spans="1:5" ht="15.2" customHeight="1" thickBot="1" x14ac:dyDescent="0.25">
      <c r="A157" s="313" t="s">
        <v>488</v>
      </c>
      <c r="B157" s="314"/>
      <c r="C157" s="306"/>
      <c r="D157" s="306"/>
      <c r="E157" s="305"/>
    </row>
    <row r="158" spans="1:5" ht="14.45" customHeight="1" thickBot="1" x14ac:dyDescent="0.25">
      <c r="A158" s="315" t="s">
        <v>489</v>
      </c>
      <c r="B158" s="316"/>
      <c r="C158" s="306"/>
      <c r="D158" s="306"/>
      <c r="E158" s="305"/>
    </row>
  </sheetData>
  <sheetProtection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20" zoomScaleNormal="120" zoomScaleSheetLayoutView="100" workbookViewId="0">
      <selection activeCell="I123" sqref="I123"/>
    </sheetView>
  </sheetViews>
  <sheetFormatPr defaultRowHeight="12.75" x14ac:dyDescent="0.2"/>
  <cols>
    <col min="1" max="1" width="16.1640625" style="148" customWidth="1"/>
    <col min="2" max="2" width="62" style="149" customWidth="1"/>
    <col min="3" max="3" width="14.1640625" style="150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25">
      <c r="A1" s="370"/>
      <c r="B1" s="382"/>
      <c r="C1" s="383"/>
      <c r="D1" s="383"/>
      <c r="E1" s="610" t="str">
        <f>CONCATENATE("6.1.2. melléklet ",Z_ALAPADATOK!A7," ",Z_ALAPADATOK!B7," ",Z_ALAPADATOK!C7," ",Z_ALAPADATOK!D7," ",Z_ALAPADATOK!E7," ",Z_ALAPADATOK!F7," ",Z_ALAPADATOK!G7," ",Z_ALAPADATOK!H7)</f>
        <v>6.1.2. melléklet a 6 / 2019. ( IV.25 ) önkormányzati rendelethez</v>
      </c>
    </row>
    <row r="2" spans="1:5" s="50" customFormat="1" ht="21.2" customHeight="1" thickBot="1" x14ac:dyDescent="0.25">
      <c r="A2" s="379" t="s">
        <v>45</v>
      </c>
      <c r="B2" s="719" t="str">
        <f>CONCATENATE(Z_ALAPADATOK!A3)</f>
        <v>Kajárpéc Közésgi Önkormányzat</v>
      </c>
      <c r="C2" s="719"/>
      <c r="D2" s="719"/>
      <c r="E2" s="380" t="s">
        <v>39</v>
      </c>
    </row>
    <row r="3" spans="1:5" s="50" customFormat="1" ht="24.75" thickBot="1" x14ac:dyDescent="0.25">
      <c r="A3" s="379" t="s">
        <v>137</v>
      </c>
      <c r="B3" s="719" t="s">
        <v>322</v>
      </c>
      <c r="C3" s="719"/>
      <c r="D3" s="719"/>
      <c r="E3" s="381" t="s">
        <v>43</v>
      </c>
    </row>
    <row r="4" spans="1:5" s="51" customFormat="1" ht="15.95" customHeight="1" thickBot="1" x14ac:dyDescent="0.3">
      <c r="A4" s="373"/>
      <c r="B4" s="373"/>
      <c r="C4" s="374"/>
      <c r="D4" s="375"/>
      <c r="E4" s="374" t="e">
        <f>'Z_6.1.1.sz.mell'!E4</f>
        <v>#REF!</v>
      </c>
    </row>
    <row r="5" spans="1:5" ht="24.75" thickBot="1" x14ac:dyDescent="0.25">
      <c r="A5" s="376" t="s">
        <v>138</v>
      </c>
      <c r="B5" s="377" t="s">
        <v>487</v>
      </c>
      <c r="C5" s="377" t="s">
        <v>451</v>
      </c>
      <c r="D5" s="378" t="s">
        <v>452</v>
      </c>
      <c r="E5" s="359" t="str">
        <f>CONCATENATE('Z_6.1.1.sz.mell'!E5)</f>
        <v>Teljesítés
2018. XII. 31.</v>
      </c>
    </row>
    <row r="6" spans="1:5" s="47" customFormat="1" ht="12.95" customHeight="1" thickBot="1" x14ac:dyDescent="0.25">
      <c r="A6" s="71" t="s">
        <v>383</v>
      </c>
      <c r="B6" s="72" t="s">
        <v>384</v>
      </c>
      <c r="C6" s="72" t="s">
        <v>385</v>
      </c>
      <c r="D6" s="300" t="s">
        <v>387</v>
      </c>
      <c r="E6" s="73" t="s">
        <v>386</v>
      </c>
    </row>
    <row r="7" spans="1:5" s="47" customFormat="1" ht="15.95" customHeight="1" thickBot="1" x14ac:dyDescent="0.25">
      <c r="A7" s="716" t="s">
        <v>40</v>
      </c>
      <c r="B7" s="717"/>
      <c r="C7" s="717"/>
      <c r="D7" s="717"/>
      <c r="E7" s="718"/>
    </row>
    <row r="8" spans="1:5" s="47" customFormat="1" ht="12" customHeight="1" thickBot="1" x14ac:dyDescent="0.25">
      <c r="A8" s="25" t="s">
        <v>6</v>
      </c>
      <c r="B8" s="19" t="s">
        <v>160</v>
      </c>
      <c r="C8" s="155">
        <f>+C9+C10+C11+C12+C13+C14</f>
        <v>0</v>
      </c>
      <c r="D8" s="243">
        <f>+D9+D10+D11+D12+D13+D14</f>
        <v>0</v>
      </c>
      <c r="E8" s="92">
        <f>+E9+E10+E11+E12+E13+E14</f>
        <v>0</v>
      </c>
    </row>
    <row r="9" spans="1:5" s="52" customFormat="1" ht="12" customHeight="1" x14ac:dyDescent="0.2">
      <c r="A9" s="185" t="s">
        <v>64</v>
      </c>
      <c r="B9" s="168" t="s">
        <v>161</v>
      </c>
      <c r="C9" s="157"/>
      <c r="D9" s="244"/>
      <c r="E9" s="94"/>
    </row>
    <row r="10" spans="1:5" s="53" customFormat="1" ht="12" customHeight="1" x14ac:dyDescent="0.2">
      <c r="A10" s="186" t="s">
        <v>65</v>
      </c>
      <c r="B10" s="169" t="s">
        <v>162</v>
      </c>
      <c r="C10" s="156"/>
      <c r="D10" s="245"/>
      <c r="E10" s="93"/>
    </row>
    <row r="11" spans="1:5" s="53" customFormat="1" ht="12" customHeight="1" x14ac:dyDescent="0.2">
      <c r="A11" s="186" t="s">
        <v>66</v>
      </c>
      <c r="B11" s="169" t="s">
        <v>163</v>
      </c>
      <c r="C11" s="156"/>
      <c r="D11" s="245"/>
      <c r="E11" s="93"/>
    </row>
    <row r="12" spans="1:5" s="53" customFormat="1" ht="12" customHeight="1" x14ac:dyDescent="0.2">
      <c r="A12" s="186" t="s">
        <v>67</v>
      </c>
      <c r="B12" s="169" t="s">
        <v>164</v>
      </c>
      <c r="C12" s="156"/>
      <c r="D12" s="245"/>
      <c r="E12" s="93"/>
    </row>
    <row r="13" spans="1:5" s="53" customFormat="1" ht="12" customHeight="1" x14ac:dyDescent="0.2">
      <c r="A13" s="186" t="s">
        <v>99</v>
      </c>
      <c r="B13" s="169" t="s">
        <v>391</v>
      </c>
      <c r="C13" s="156"/>
      <c r="D13" s="245"/>
      <c r="E13" s="93"/>
    </row>
    <row r="14" spans="1:5" s="52" customFormat="1" ht="12" customHeight="1" thickBot="1" x14ac:dyDescent="0.25">
      <c r="A14" s="187" t="s">
        <v>68</v>
      </c>
      <c r="B14" s="170" t="s">
        <v>332</v>
      </c>
      <c r="C14" s="156"/>
      <c r="D14" s="245"/>
      <c r="E14" s="93"/>
    </row>
    <row r="15" spans="1:5" s="52" customFormat="1" ht="12" customHeight="1" thickBot="1" x14ac:dyDescent="0.25">
      <c r="A15" s="25" t="s">
        <v>7</v>
      </c>
      <c r="B15" s="99" t="s">
        <v>165</v>
      </c>
      <c r="C15" s="155">
        <f>+C16+C17+C18+C19+C20</f>
        <v>0</v>
      </c>
      <c r="D15" s="243">
        <f>+D16+D17+D18+D19+D20</f>
        <v>0</v>
      </c>
      <c r="E15" s="92">
        <f>+E16+E17+E18+E19+E20</f>
        <v>0</v>
      </c>
    </row>
    <row r="16" spans="1:5" s="52" customFormat="1" ht="12" customHeight="1" x14ac:dyDescent="0.2">
      <c r="A16" s="185" t="s">
        <v>70</v>
      </c>
      <c r="B16" s="168" t="s">
        <v>166</v>
      </c>
      <c r="C16" s="157"/>
      <c r="D16" s="244"/>
      <c r="E16" s="94"/>
    </row>
    <row r="17" spans="1:5" s="52" customFormat="1" ht="12" customHeight="1" x14ac:dyDescent="0.2">
      <c r="A17" s="186" t="s">
        <v>71</v>
      </c>
      <c r="B17" s="169" t="s">
        <v>167</v>
      </c>
      <c r="C17" s="156"/>
      <c r="D17" s="245"/>
      <c r="E17" s="93"/>
    </row>
    <row r="18" spans="1:5" s="52" customFormat="1" ht="12" customHeight="1" x14ac:dyDescent="0.2">
      <c r="A18" s="186" t="s">
        <v>72</v>
      </c>
      <c r="B18" s="169" t="s">
        <v>324</v>
      </c>
      <c r="C18" s="156"/>
      <c r="D18" s="245"/>
      <c r="E18" s="93"/>
    </row>
    <row r="19" spans="1:5" s="52" customFormat="1" ht="12" customHeight="1" x14ac:dyDescent="0.2">
      <c r="A19" s="186" t="s">
        <v>73</v>
      </c>
      <c r="B19" s="169" t="s">
        <v>325</v>
      </c>
      <c r="C19" s="156"/>
      <c r="D19" s="245"/>
      <c r="E19" s="93"/>
    </row>
    <row r="20" spans="1:5" s="52" customFormat="1" ht="12" customHeight="1" x14ac:dyDescent="0.2">
      <c r="A20" s="186" t="s">
        <v>74</v>
      </c>
      <c r="B20" s="169" t="s">
        <v>168</v>
      </c>
      <c r="C20" s="156"/>
      <c r="D20" s="245"/>
      <c r="E20" s="93"/>
    </row>
    <row r="21" spans="1:5" s="53" customFormat="1" ht="12" customHeight="1" thickBot="1" x14ac:dyDescent="0.25">
      <c r="A21" s="187" t="s">
        <v>81</v>
      </c>
      <c r="B21" s="170" t="s">
        <v>169</v>
      </c>
      <c r="C21" s="158"/>
      <c r="D21" s="246"/>
      <c r="E21" s="95"/>
    </row>
    <row r="22" spans="1:5" s="53" customFormat="1" ht="12" customHeight="1" thickBot="1" x14ac:dyDescent="0.25">
      <c r="A22" s="25" t="s">
        <v>8</v>
      </c>
      <c r="B22" s="19" t="s">
        <v>170</v>
      </c>
      <c r="C22" s="155">
        <f>+C23+C24+C25+C26+C27</f>
        <v>0</v>
      </c>
      <c r="D22" s="243">
        <f>+D23+D24+D25+D26+D27</f>
        <v>0</v>
      </c>
      <c r="E22" s="92">
        <f>+E23+E24+E25+E26+E27</f>
        <v>0</v>
      </c>
    </row>
    <row r="23" spans="1:5" s="53" customFormat="1" ht="12" customHeight="1" x14ac:dyDescent="0.2">
      <c r="A23" s="185" t="s">
        <v>53</v>
      </c>
      <c r="B23" s="168" t="s">
        <v>171</v>
      </c>
      <c r="C23" s="157"/>
      <c r="D23" s="244"/>
      <c r="E23" s="94"/>
    </row>
    <row r="24" spans="1:5" s="52" customFormat="1" ht="12" customHeight="1" x14ac:dyDescent="0.2">
      <c r="A24" s="186" t="s">
        <v>54</v>
      </c>
      <c r="B24" s="169" t="s">
        <v>172</v>
      </c>
      <c r="C24" s="156"/>
      <c r="D24" s="245"/>
      <c r="E24" s="93"/>
    </row>
    <row r="25" spans="1:5" s="53" customFormat="1" ht="12" customHeight="1" x14ac:dyDescent="0.2">
      <c r="A25" s="186" t="s">
        <v>55</v>
      </c>
      <c r="B25" s="169" t="s">
        <v>326</v>
      </c>
      <c r="C25" s="156"/>
      <c r="D25" s="245"/>
      <c r="E25" s="93"/>
    </row>
    <row r="26" spans="1:5" s="53" customFormat="1" ht="12" customHeight="1" x14ac:dyDescent="0.2">
      <c r="A26" s="186" t="s">
        <v>56</v>
      </c>
      <c r="B26" s="169" t="s">
        <v>327</v>
      </c>
      <c r="C26" s="156"/>
      <c r="D26" s="245"/>
      <c r="E26" s="93"/>
    </row>
    <row r="27" spans="1:5" s="53" customFormat="1" ht="12" customHeight="1" x14ac:dyDescent="0.2">
      <c r="A27" s="186" t="s">
        <v>112</v>
      </c>
      <c r="B27" s="169" t="s">
        <v>173</v>
      </c>
      <c r="C27" s="156"/>
      <c r="D27" s="245"/>
      <c r="E27" s="93"/>
    </row>
    <row r="28" spans="1:5" s="53" customFormat="1" ht="12" customHeight="1" thickBot="1" x14ac:dyDescent="0.25">
      <c r="A28" s="187" t="s">
        <v>113</v>
      </c>
      <c r="B28" s="170" t="s">
        <v>174</v>
      </c>
      <c r="C28" s="158"/>
      <c r="D28" s="246"/>
      <c r="E28" s="95"/>
    </row>
    <row r="29" spans="1:5" s="53" customFormat="1" ht="12" customHeight="1" thickBot="1" x14ac:dyDescent="0.25">
      <c r="A29" s="25" t="s">
        <v>114</v>
      </c>
      <c r="B29" s="19" t="s">
        <v>478</v>
      </c>
      <c r="C29" s="161">
        <f>SUM(C30:C36)</f>
        <v>0</v>
      </c>
      <c r="D29" s="161">
        <f>SUM(D30:D36)</f>
        <v>0</v>
      </c>
      <c r="E29" s="197">
        <f>SUM(E30:E36)</f>
        <v>0</v>
      </c>
    </row>
    <row r="30" spans="1:5" s="53" customFormat="1" ht="12" customHeight="1" x14ac:dyDescent="0.2">
      <c r="A30" s="185" t="s">
        <v>175</v>
      </c>
      <c r="B30" s="168" t="s">
        <v>479</v>
      </c>
      <c r="C30" s="157">
        <f>+C31+C32+C33</f>
        <v>0</v>
      </c>
      <c r="D30" s="157">
        <f>+D31+D32+D33</f>
        <v>0</v>
      </c>
      <c r="E30" s="94">
        <f>+E31+E32+E33</f>
        <v>0</v>
      </c>
    </row>
    <row r="31" spans="1:5" s="53" customFormat="1" ht="12" customHeight="1" x14ac:dyDescent="0.2">
      <c r="A31" s="186" t="s">
        <v>176</v>
      </c>
      <c r="B31" s="169" t="s">
        <v>480</v>
      </c>
      <c r="C31" s="156"/>
      <c r="D31" s="156"/>
      <c r="E31" s="93"/>
    </row>
    <row r="32" spans="1:5" s="53" customFormat="1" ht="12" customHeight="1" x14ac:dyDescent="0.2">
      <c r="A32" s="186" t="s">
        <v>177</v>
      </c>
      <c r="B32" s="169" t="s">
        <v>481</v>
      </c>
      <c r="C32" s="156"/>
      <c r="D32" s="156"/>
      <c r="E32" s="93"/>
    </row>
    <row r="33" spans="1:5" s="53" customFormat="1" ht="12" customHeight="1" x14ac:dyDescent="0.2">
      <c r="A33" s="186" t="s">
        <v>178</v>
      </c>
      <c r="B33" s="169" t="s">
        <v>482</v>
      </c>
      <c r="C33" s="156"/>
      <c r="D33" s="156"/>
      <c r="E33" s="93"/>
    </row>
    <row r="34" spans="1:5" s="53" customFormat="1" ht="12" customHeight="1" x14ac:dyDescent="0.2">
      <c r="A34" s="186" t="s">
        <v>483</v>
      </c>
      <c r="B34" s="169" t="s">
        <v>179</v>
      </c>
      <c r="C34" s="156"/>
      <c r="D34" s="156"/>
      <c r="E34" s="93"/>
    </row>
    <row r="35" spans="1:5" s="53" customFormat="1" ht="12" customHeight="1" x14ac:dyDescent="0.2">
      <c r="A35" s="186" t="s">
        <v>484</v>
      </c>
      <c r="B35" s="169" t="s">
        <v>817</v>
      </c>
      <c r="C35" s="156"/>
      <c r="D35" s="156"/>
      <c r="E35" s="93"/>
    </row>
    <row r="36" spans="1:5" s="53" customFormat="1" ht="12" customHeight="1" thickBot="1" x14ac:dyDescent="0.25">
      <c r="A36" s="187" t="s">
        <v>485</v>
      </c>
      <c r="B36" s="312" t="s">
        <v>180</v>
      </c>
      <c r="C36" s="158"/>
      <c r="D36" s="158"/>
      <c r="E36" s="95"/>
    </row>
    <row r="37" spans="1:5" s="53" customFormat="1" ht="12" customHeight="1" thickBot="1" x14ac:dyDescent="0.25">
      <c r="A37" s="25" t="s">
        <v>10</v>
      </c>
      <c r="B37" s="19" t="s">
        <v>333</v>
      </c>
      <c r="C37" s="155">
        <f>SUM(C38:C48)</f>
        <v>0</v>
      </c>
      <c r="D37" s="243">
        <f>SUM(D38:D48)</f>
        <v>0</v>
      </c>
      <c r="E37" s="92">
        <f>SUM(E38:E48)</f>
        <v>0</v>
      </c>
    </row>
    <row r="38" spans="1:5" s="53" customFormat="1" ht="12" customHeight="1" x14ac:dyDescent="0.2">
      <c r="A38" s="185" t="s">
        <v>57</v>
      </c>
      <c r="B38" s="168" t="s">
        <v>183</v>
      </c>
      <c r="C38" s="157"/>
      <c r="D38" s="244"/>
      <c r="E38" s="94"/>
    </row>
    <row r="39" spans="1:5" s="53" customFormat="1" ht="12" customHeight="1" x14ac:dyDescent="0.2">
      <c r="A39" s="186" t="s">
        <v>58</v>
      </c>
      <c r="B39" s="169" t="s">
        <v>184</v>
      </c>
      <c r="C39" s="156"/>
      <c r="D39" s="245"/>
      <c r="E39" s="93"/>
    </row>
    <row r="40" spans="1:5" s="53" customFormat="1" ht="12" customHeight="1" x14ac:dyDescent="0.2">
      <c r="A40" s="186" t="s">
        <v>59</v>
      </c>
      <c r="B40" s="169" t="s">
        <v>185</v>
      </c>
      <c r="C40" s="156"/>
      <c r="D40" s="245"/>
      <c r="E40" s="93"/>
    </row>
    <row r="41" spans="1:5" s="53" customFormat="1" ht="12" customHeight="1" x14ac:dyDescent="0.2">
      <c r="A41" s="186" t="s">
        <v>116</v>
      </c>
      <c r="B41" s="169" t="s">
        <v>186</v>
      </c>
      <c r="C41" s="156"/>
      <c r="D41" s="245"/>
      <c r="E41" s="93"/>
    </row>
    <row r="42" spans="1:5" s="53" customFormat="1" ht="12" customHeight="1" x14ac:dyDescent="0.2">
      <c r="A42" s="186" t="s">
        <v>117</v>
      </c>
      <c r="B42" s="169" t="s">
        <v>187</v>
      </c>
      <c r="C42" s="156"/>
      <c r="D42" s="245"/>
      <c r="E42" s="93"/>
    </row>
    <row r="43" spans="1:5" s="53" customFormat="1" ht="12" customHeight="1" x14ac:dyDescent="0.2">
      <c r="A43" s="186" t="s">
        <v>118</v>
      </c>
      <c r="B43" s="169" t="s">
        <v>188</v>
      </c>
      <c r="C43" s="156"/>
      <c r="D43" s="245"/>
      <c r="E43" s="93"/>
    </row>
    <row r="44" spans="1:5" s="53" customFormat="1" ht="12" customHeight="1" x14ac:dyDescent="0.2">
      <c r="A44" s="186" t="s">
        <v>119</v>
      </c>
      <c r="B44" s="169" t="s">
        <v>189</v>
      </c>
      <c r="C44" s="156"/>
      <c r="D44" s="245"/>
      <c r="E44" s="93"/>
    </row>
    <row r="45" spans="1:5" s="53" customFormat="1" ht="12" customHeight="1" x14ac:dyDescent="0.2">
      <c r="A45" s="186" t="s">
        <v>120</v>
      </c>
      <c r="B45" s="169" t="s">
        <v>486</v>
      </c>
      <c r="C45" s="156"/>
      <c r="D45" s="245"/>
      <c r="E45" s="93"/>
    </row>
    <row r="46" spans="1:5" s="53" customFormat="1" ht="12" customHeight="1" x14ac:dyDescent="0.2">
      <c r="A46" s="186" t="s">
        <v>181</v>
      </c>
      <c r="B46" s="169" t="s">
        <v>191</v>
      </c>
      <c r="C46" s="159"/>
      <c r="D46" s="301"/>
      <c r="E46" s="96"/>
    </row>
    <row r="47" spans="1:5" s="53" customFormat="1" ht="12" customHeight="1" x14ac:dyDescent="0.2">
      <c r="A47" s="187" t="s">
        <v>182</v>
      </c>
      <c r="B47" s="170" t="s">
        <v>335</v>
      </c>
      <c r="C47" s="160"/>
      <c r="D47" s="302"/>
      <c r="E47" s="97"/>
    </row>
    <row r="48" spans="1:5" s="53" customFormat="1" ht="12" customHeight="1" thickBot="1" x14ac:dyDescent="0.25">
      <c r="A48" s="187" t="s">
        <v>334</v>
      </c>
      <c r="B48" s="170" t="s">
        <v>192</v>
      </c>
      <c r="C48" s="160"/>
      <c r="D48" s="302"/>
      <c r="E48" s="97"/>
    </row>
    <row r="49" spans="1:5" s="53" customFormat="1" ht="12" customHeight="1" thickBot="1" x14ac:dyDescent="0.25">
      <c r="A49" s="25" t="s">
        <v>11</v>
      </c>
      <c r="B49" s="19" t="s">
        <v>193</v>
      </c>
      <c r="C49" s="155">
        <f>SUM(C50:C54)</f>
        <v>0</v>
      </c>
      <c r="D49" s="243">
        <f>SUM(D50:D54)</f>
        <v>0</v>
      </c>
      <c r="E49" s="92">
        <f>SUM(E50:E54)</f>
        <v>0</v>
      </c>
    </row>
    <row r="50" spans="1:5" s="53" customFormat="1" ht="12" customHeight="1" x14ac:dyDescent="0.2">
      <c r="A50" s="185" t="s">
        <v>60</v>
      </c>
      <c r="B50" s="168" t="s">
        <v>197</v>
      </c>
      <c r="C50" s="208"/>
      <c r="D50" s="303"/>
      <c r="E50" s="98"/>
    </row>
    <row r="51" spans="1:5" s="53" customFormat="1" ht="12" customHeight="1" x14ac:dyDescent="0.2">
      <c r="A51" s="186" t="s">
        <v>61</v>
      </c>
      <c r="B51" s="169" t="s">
        <v>198</v>
      </c>
      <c r="C51" s="159"/>
      <c r="D51" s="301"/>
      <c r="E51" s="96"/>
    </row>
    <row r="52" spans="1:5" s="53" customFormat="1" ht="12" customHeight="1" x14ac:dyDescent="0.2">
      <c r="A52" s="186" t="s">
        <v>194</v>
      </c>
      <c r="B52" s="169" t="s">
        <v>199</v>
      </c>
      <c r="C52" s="159"/>
      <c r="D52" s="301"/>
      <c r="E52" s="96"/>
    </row>
    <row r="53" spans="1:5" s="53" customFormat="1" ht="12" customHeight="1" x14ac:dyDescent="0.2">
      <c r="A53" s="186" t="s">
        <v>195</v>
      </c>
      <c r="B53" s="169" t="s">
        <v>200</v>
      </c>
      <c r="C53" s="159"/>
      <c r="D53" s="301"/>
      <c r="E53" s="96"/>
    </row>
    <row r="54" spans="1:5" s="53" customFormat="1" ht="12" customHeight="1" thickBot="1" x14ac:dyDescent="0.25">
      <c r="A54" s="187" t="s">
        <v>196</v>
      </c>
      <c r="B54" s="170" t="s">
        <v>201</v>
      </c>
      <c r="C54" s="160"/>
      <c r="D54" s="302"/>
      <c r="E54" s="97"/>
    </row>
    <row r="55" spans="1:5" s="53" customFormat="1" ht="12" customHeight="1" thickBot="1" x14ac:dyDescent="0.25">
      <c r="A55" s="25" t="s">
        <v>121</v>
      </c>
      <c r="B55" s="19" t="s">
        <v>202</v>
      </c>
      <c r="C55" s="155">
        <f>SUM(C56:C58)</f>
        <v>0</v>
      </c>
      <c r="D55" s="243">
        <f>SUM(D56:D58)</f>
        <v>0</v>
      </c>
      <c r="E55" s="92">
        <f>SUM(E56:E58)</f>
        <v>0</v>
      </c>
    </row>
    <row r="56" spans="1:5" s="53" customFormat="1" ht="12" customHeight="1" x14ac:dyDescent="0.2">
      <c r="A56" s="185" t="s">
        <v>62</v>
      </c>
      <c r="B56" s="168" t="s">
        <v>203</v>
      </c>
      <c r="C56" s="157"/>
      <c r="D56" s="244"/>
      <c r="E56" s="94"/>
    </row>
    <row r="57" spans="1:5" s="53" customFormat="1" ht="12" customHeight="1" x14ac:dyDescent="0.2">
      <c r="A57" s="186" t="s">
        <v>63</v>
      </c>
      <c r="B57" s="169" t="s">
        <v>328</v>
      </c>
      <c r="C57" s="156"/>
      <c r="D57" s="245"/>
      <c r="E57" s="93"/>
    </row>
    <row r="58" spans="1:5" s="53" customFormat="1" ht="12" customHeight="1" x14ac:dyDescent="0.2">
      <c r="A58" s="186" t="s">
        <v>206</v>
      </c>
      <c r="B58" s="169" t="s">
        <v>204</v>
      </c>
      <c r="C58" s="156"/>
      <c r="D58" s="245"/>
      <c r="E58" s="93"/>
    </row>
    <row r="59" spans="1:5" s="53" customFormat="1" ht="12" customHeight="1" thickBot="1" x14ac:dyDescent="0.25">
      <c r="A59" s="187" t="s">
        <v>207</v>
      </c>
      <c r="B59" s="170" t="s">
        <v>205</v>
      </c>
      <c r="C59" s="158"/>
      <c r="D59" s="246"/>
      <c r="E59" s="95"/>
    </row>
    <row r="60" spans="1:5" s="53" customFormat="1" ht="12" customHeight="1" thickBot="1" x14ac:dyDescent="0.25">
      <c r="A60" s="25" t="s">
        <v>13</v>
      </c>
      <c r="B60" s="99" t="s">
        <v>208</v>
      </c>
      <c r="C60" s="155">
        <f>SUM(C61:C63)</f>
        <v>0</v>
      </c>
      <c r="D60" s="243">
        <f>SUM(D61:D63)</f>
        <v>0</v>
      </c>
      <c r="E60" s="92">
        <f>SUM(E61:E63)</f>
        <v>0</v>
      </c>
    </row>
    <row r="61" spans="1:5" s="53" customFormat="1" ht="12" customHeight="1" x14ac:dyDescent="0.2">
      <c r="A61" s="185" t="s">
        <v>122</v>
      </c>
      <c r="B61" s="168" t="s">
        <v>210</v>
      </c>
      <c r="C61" s="159"/>
      <c r="D61" s="301"/>
      <c r="E61" s="96"/>
    </row>
    <row r="62" spans="1:5" s="53" customFormat="1" ht="12" customHeight="1" x14ac:dyDescent="0.2">
      <c r="A62" s="186" t="s">
        <v>123</v>
      </c>
      <c r="B62" s="169" t="s">
        <v>329</v>
      </c>
      <c r="C62" s="159"/>
      <c r="D62" s="301"/>
      <c r="E62" s="96"/>
    </row>
    <row r="63" spans="1:5" s="53" customFormat="1" ht="12" customHeight="1" x14ac:dyDescent="0.2">
      <c r="A63" s="186" t="s">
        <v>142</v>
      </c>
      <c r="B63" s="169" t="s">
        <v>211</v>
      </c>
      <c r="C63" s="159"/>
      <c r="D63" s="301"/>
      <c r="E63" s="96"/>
    </row>
    <row r="64" spans="1:5" s="53" customFormat="1" ht="12" customHeight="1" thickBot="1" x14ac:dyDescent="0.25">
      <c r="A64" s="187" t="s">
        <v>209</v>
      </c>
      <c r="B64" s="170" t="s">
        <v>212</v>
      </c>
      <c r="C64" s="159"/>
      <c r="D64" s="301"/>
      <c r="E64" s="96"/>
    </row>
    <row r="65" spans="1:5" s="53" customFormat="1" ht="12" customHeight="1" thickBot="1" x14ac:dyDescent="0.25">
      <c r="A65" s="25" t="s">
        <v>14</v>
      </c>
      <c r="B65" s="19" t="s">
        <v>213</v>
      </c>
      <c r="C65" s="161">
        <f>+C8+C15+C22+C29+C37+C49+C55+C60</f>
        <v>0</v>
      </c>
      <c r="D65" s="247">
        <f>+D8+D15+D22+D29+D37+D49+D55+D60</f>
        <v>0</v>
      </c>
      <c r="E65" s="197">
        <f>+E8+E15+E22+E29+E37+E49+E55+E60</f>
        <v>0</v>
      </c>
    </row>
    <row r="66" spans="1:5" s="53" customFormat="1" ht="12" customHeight="1" thickBot="1" x14ac:dyDescent="0.2">
      <c r="A66" s="188" t="s">
        <v>298</v>
      </c>
      <c r="B66" s="99" t="s">
        <v>215</v>
      </c>
      <c r="C66" s="155">
        <f>SUM(C67:C69)</f>
        <v>0</v>
      </c>
      <c r="D66" s="243">
        <f>SUM(D67:D69)</f>
        <v>0</v>
      </c>
      <c r="E66" s="92">
        <f>SUM(E67:E69)</f>
        <v>0</v>
      </c>
    </row>
    <row r="67" spans="1:5" s="53" customFormat="1" ht="12" customHeight="1" x14ac:dyDescent="0.2">
      <c r="A67" s="185" t="s">
        <v>243</v>
      </c>
      <c r="B67" s="168" t="s">
        <v>216</v>
      </c>
      <c r="C67" s="159"/>
      <c r="D67" s="301"/>
      <c r="E67" s="96"/>
    </row>
    <row r="68" spans="1:5" s="53" customFormat="1" ht="12" customHeight="1" x14ac:dyDescent="0.2">
      <c r="A68" s="186" t="s">
        <v>252</v>
      </c>
      <c r="B68" s="169" t="s">
        <v>217</v>
      </c>
      <c r="C68" s="159"/>
      <c r="D68" s="301"/>
      <c r="E68" s="96"/>
    </row>
    <row r="69" spans="1:5" s="53" customFormat="1" ht="12" customHeight="1" thickBot="1" x14ac:dyDescent="0.25">
      <c r="A69" s="187" t="s">
        <v>253</v>
      </c>
      <c r="B69" s="171" t="s">
        <v>218</v>
      </c>
      <c r="C69" s="159"/>
      <c r="D69" s="304"/>
      <c r="E69" s="96"/>
    </row>
    <row r="70" spans="1:5" s="53" customFormat="1" ht="12" customHeight="1" thickBot="1" x14ac:dyDescent="0.2">
      <c r="A70" s="188" t="s">
        <v>219</v>
      </c>
      <c r="B70" s="99" t="s">
        <v>220</v>
      </c>
      <c r="C70" s="155">
        <f>SUM(C71:C74)</f>
        <v>0</v>
      </c>
      <c r="D70" s="155">
        <f>SUM(D71:D74)</f>
        <v>0</v>
      </c>
      <c r="E70" s="92">
        <f>SUM(E71:E74)</f>
        <v>0</v>
      </c>
    </row>
    <row r="71" spans="1:5" s="53" customFormat="1" ht="12" customHeight="1" x14ac:dyDescent="0.2">
      <c r="A71" s="185" t="s">
        <v>100</v>
      </c>
      <c r="B71" s="350" t="s">
        <v>221</v>
      </c>
      <c r="C71" s="159"/>
      <c r="D71" s="159"/>
      <c r="E71" s="96"/>
    </row>
    <row r="72" spans="1:5" s="53" customFormat="1" ht="12" customHeight="1" x14ac:dyDescent="0.2">
      <c r="A72" s="186" t="s">
        <v>101</v>
      </c>
      <c r="B72" s="350" t="s">
        <v>493</v>
      </c>
      <c r="C72" s="159"/>
      <c r="D72" s="159"/>
      <c r="E72" s="96"/>
    </row>
    <row r="73" spans="1:5" s="53" customFormat="1" ht="12" customHeight="1" x14ac:dyDescent="0.2">
      <c r="A73" s="186" t="s">
        <v>244</v>
      </c>
      <c r="B73" s="350" t="s">
        <v>222</v>
      </c>
      <c r="C73" s="159"/>
      <c r="D73" s="159"/>
      <c r="E73" s="96"/>
    </row>
    <row r="74" spans="1:5" s="53" customFormat="1" ht="12" customHeight="1" thickBot="1" x14ac:dyDescent="0.25">
      <c r="A74" s="187" t="s">
        <v>245</v>
      </c>
      <c r="B74" s="351" t="s">
        <v>494</v>
      </c>
      <c r="C74" s="159"/>
      <c r="D74" s="159"/>
      <c r="E74" s="96"/>
    </row>
    <row r="75" spans="1:5" s="53" customFormat="1" ht="12" customHeight="1" thickBot="1" x14ac:dyDescent="0.2">
      <c r="A75" s="188" t="s">
        <v>223</v>
      </c>
      <c r="B75" s="99" t="s">
        <v>224</v>
      </c>
      <c r="C75" s="155">
        <f>SUM(C76:C77)</f>
        <v>69318628</v>
      </c>
      <c r="D75" s="155">
        <f>SUM(D76:D77)</f>
        <v>69930996</v>
      </c>
      <c r="E75" s="92">
        <f>SUM(E76:E77)</f>
        <v>69930996</v>
      </c>
    </row>
    <row r="76" spans="1:5" s="53" customFormat="1" ht="12" customHeight="1" x14ac:dyDescent="0.2">
      <c r="A76" s="185" t="s">
        <v>246</v>
      </c>
      <c r="B76" s="168" t="s">
        <v>225</v>
      </c>
      <c r="C76" s="159">
        <v>69318628</v>
      </c>
      <c r="D76" s="159">
        <v>69930996</v>
      </c>
      <c r="E76" s="96">
        <v>69930996</v>
      </c>
    </row>
    <row r="77" spans="1:5" s="53" customFormat="1" ht="12" customHeight="1" thickBot="1" x14ac:dyDescent="0.25">
      <c r="A77" s="187" t="s">
        <v>247</v>
      </c>
      <c r="B77" s="170" t="s">
        <v>226</v>
      </c>
      <c r="C77" s="159"/>
      <c r="D77" s="159"/>
      <c r="E77" s="96"/>
    </row>
    <row r="78" spans="1:5" s="52" customFormat="1" ht="12" customHeight="1" thickBot="1" x14ac:dyDescent="0.2">
      <c r="A78" s="188" t="s">
        <v>227</v>
      </c>
      <c r="B78" s="99" t="s">
        <v>228</v>
      </c>
      <c r="C78" s="155">
        <f>SUM(C79:C81)</f>
        <v>0</v>
      </c>
      <c r="D78" s="155">
        <f>SUM(D79:D81)</f>
        <v>0</v>
      </c>
      <c r="E78" s="92">
        <f>SUM(E79:E81)</f>
        <v>0</v>
      </c>
    </row>
    <row r="79" spans="1:5" s="53" customFormat="1" ht="12" customHeight="1" x14ac:dyDescent="0.2">
      <c r="A79" s="185" t="s">
        <v>248</v>
      </c>
      <c r="B79" s="168" t="s">
        <v>229</v>
      </c>
      <c r="C79" s="159"/>
      <c r="D79" s="159"/>
      <c r="E79" s="96"/>
    </row>
    <row r="80" spans="1:5" s="53" customFormat="1" ht="12" customHeight="1" x14ac:dyDescent="0.2">
      <c r="A80" s="186" t="s">
        <v>249</v>
      </c>
      <c r="B80" s="169" t="s">
        <v>230</v>
      </c>
      <c r="C80" s="159"/>
      <c r="D80" s="159"/>
      <c r="E80" s="96"/>
    </row>
    <row r="81" spans="1:5" s="53" customFormat="1" ht="12" customHeight="1" thickBot="1" x14ac:dyDescent="0.25">
      <c r="A81" s="187" t="s">
        <v>250</v>
      </c>
      <c r="B81" s="170" t="s">
        <v>495</v>
      </c>
      <c r="C81" s="159"/>
      <c r="D81" s="159"/>
      <c r="E81" s="96"/>
    </row>
    <row r="82" spans="1:5" s="53" customFormat="1" ht="12" customHeight="1" thickBot="1" x14ac:dyDescent="0.2">
      <c r="A82" s="188" t="s">
        <v>231</v>
      </c>
      <c r="B82" s="99" t="s">
        <v>251</v>
      </c>
      <c r="C82" s="155">
        <f>SUM(C83:C86)</f>
        <v>0</v>
      </c>
      <c r="D82" s="155">
        <f>SUM(D83:D86)</f>
        <v>0</v>
      </c>
      <c r="E82" s="92">
        <f>SUM(E83:E86)</f>
        <v>0</v>
      </c>
    </row>
    <row r="83" spans="1:5" s="53" customFormat="1" ht="12" customHeight="1" x14ac:dyDescent="0.2">
      <c r="A83" s="189" t="s">
        <v>232</v>
      </c>
      <c r="B83" s="168" t="s">
        <v>233</v>
      </c>
      <c r="C83" s="159"/>
      <c r="D83" s="159"/>
      <c r="E83" s="96"/>
    </row>
    <row r="84" spans="1:5" s="53" customFormat="1" ht="12" customHeight="1" x14ac:dyDescent="0.2">
      <c r="A84" s="190" t="s">
        <v>234</v>
      </c>
      <c r="B84" s="169" t="s">
        <v>235</v>
      </c>
      <c r="C84" s="159"/>
      <c r="D84" s="159"/>
      <c r="E84" s="96"/>
    </row>
    <row r="85" spans="1:5" s="53" customFormat="1" ht="12" customHeight="1" x14ac:dyDescent="0.2">
      <c r="A85" s="190" t="s">
        <v>236</v>
      </c>
      <c r="B85" s="169" t="s">
        <v>237</v>
      </c>
      <c r="C85" s="159"/>
      <c r="D85" s="159"/>
      <c r="E85" s="96"/>
    </row>
    <row r="86" spans="1:5" s="52" customFormat="1" ht="12" customHeight="1" thickBot="1" x14ac:dyDescent="0.25">
      <c r="A86" s="191" t="s">
        <v>238</v>
      </c>
      <c r="B86" s="170" t="s">
        <v>239</v>
      </c>
      <c r="C86" s="159"/>
      <c r="D86" s="159"/>
      <c r="E86" s="96"/>
    </row>
    <row r="87" spans="1:5" s="52" customFormat="1" ht="12" customHeight="1" thickBot="1" x14ac:dyDescent="0.2">
      <c r="A87" s="188" t="s">
        <v>240</v>
      </c>
      <c r="B87" s="99" t="s">
        <v>374</v>
      </c>
      <c r="C87" s="211"/>
      <c r="D87" s="211"/>
      <c r="E87" s="212"/>
    </row>
    <row r="88" spans="1:5" s="52" customFormat="1" ht="12" customHeight="1" thickBot="1" x14ac:dyDescent="0.2">
      <c r="A88" s="188" t="s">
        <v>392</v>
      </c>
      <c r="B88" s="99" t="s">
        <v>241</v>
      </c>
      <c r="C88" s="211"/>
      <c r="D88" s="211"/>
      <c r="E88" s="212"/>
    </row>
    <row r="89" spans="1:5" s="52" customFormat="1" ht="12" customHeight="1" thickBot="1" x14ac:dyDescent="0.2">
      <c r="A89" s="188" t="s">
        <v>393</v>
      </c>
      <c r="B89" s="175" t="s">
        <v>377</v>
      </c>
      <c r="C89" s="161">
        <f>+C66+C70+C75+C78+C82+C88+C87</f>
        <v>69318628</v>
      </c>
      <c r="D89" s="161">
        <f>+D66+D70+D75+D78+D82+D88+D87</f>
        <v>69930996</v>
      </c>
      <c r="E89" s="197">
        <f>+E66+E70+E75+E78+E82+E88+E87</f>
        <v>69930996</v>
      </c>
    </row>
    <row r="90" spans="1:5" s="52" customFormat="1" ht="12" customHeight="1" thickBot="1" x14ac:dyDescent="0.2">
      <c r="A90" s="192" t="s">
        <v>394</v>
      </c>
      <c r="B90" s="176" t="s">
        <v>395</v>
      </c>
      <c r="C90" s="161">
        <f>+C65+C89</f>
        <v>69318628</v>
      </c>
      <c r="D90" s="161">
        <f>+D65+D89</f>
        <v>69930996</v>
      </c>
      <c r="E90" s="197">
        <f>+E65+E89</f>
        <v>69930996</v>
      </c>
    </row>
    <row r="91" spans="1:5" s="53" customFormat="1" ht="15.2" customHeight="1" thickBot="1" x14ac:dyDescent="0.25">
      <c r="A91" s="82"/>
      <c r="B91" s="83"/>
      <c r="C91" s="137"/>
    </row>
    <row r="92" spans="1:5" s="47" customFormat="1" ht="16.5" customHeight="1" thickBot="1" x14ac:dyDescent="0.25">
      <c r="A92" s="716" t="s">
        <v>41</v>
      </c>
      <c r="B92" s="717"/>
      <c r="C92" s="717"/>
      <c r="D92" s="717"/>
      <c r="E92" s="718"/>
    </row>
    <row r="93" spans="1:5" s="54" customFormat="1" ht="12" customHeight="1" thickBot="1" x14ac:dyDescent="0.25">
      <c r="A93" s="162" t="s">
        <v>6</v>
      </c>
      <c r="B93" s="24" t="s">
        <v>399</v>
      </c>
      <c r="C93" s="154">
        <f>+C94+C95+C96+C97+C98+C111</f>
        <v>0</v>
      </c>
      <c r="D93" s="154">
        <f>+D94+D95+D96+D97+D98+D111</f>
        <v>0</v>
      </c>
      <c r="E93" s="226">
        <f>+E94+E95+E96+E97+E98+E111</f>
        <v>0</v>
      </c>
    </row>
    <row r="94" spans="1:5" ht="12" customHeight="1" x14ac:dyDescent="0.2">
      <c r="A94" s="193" t="s">
        <v>64</v>
      </c>
      <c r="B94" s="8" t="s">
        <v>35</v>
      </c>
      <c r="C94" s="233"/>
      <c r="D94" s="233"/>
      <c r="E94" s="227"/>
    </row>
    <row r="95" spans="1:5" ht="12" customHeight="1" x14ac:dyDescent="0.2">
      <c r="A95" s="186" t="s">
        <v>65</v>
      </c>
      <c r="B95" s="6" t="s">
        <v>124</v>
      </c>
      <c r="C95" s="156"/>
      <c r="D95" s="156"/>
      <c r="E95" s="93"/>
    </row>
    <row r="96" spans="1:5" ht="12" customHeight="1" x14ac:dyDescent="0.2">
      <c r="A96" s="186" t="s">
        <v>66</v>
      </c>
      <c r="B96" s="6" t="s">
        <v>92</v>
      </c>
      <c r="C96" s="158"/>
      <c r="D96" s="156"/>
      <c r="E96" s="95"/>
    </row>
    <row r="97" spans="1:5" ht="12" customHeight="1" x14ac:dyDescent="0.2">
      <c r="A97" s="186" t="s">
        <v>67</v>
      </c>
      <c r="B97" s="9" t="s">
        <v>125</v>
      </c>
      <c r="C97" s="158"/>
      <c r="D97" s="246"/>
      <c r="E97" s="95"/>
    </row>
    <row r="98" spans="1:5" ht="12" customHeight="1" x14ac:dyDescent="0.2">
      <c r="A98" s="186" t="s">
        <v>76</v>
      </c>
      <c r="B98" s="17" t="s">
        <v>126</v>
      </c>
      <c r="C98" s="158"/>
      <c r="D98" s="246"/>
      <c r="E98" s="95"/>
    </row>
    <row r="99" spans="1:5" ht="12" customHeight="1" x14ac:dyDescent="0.2">
      <c r="A99" s="186" t="s">
        <v>68</v>
      </c>
      <c r="B99" s="6" t="s">
        <v>396</v>
      </c>
      <c r="C99" s="158"/>
      <c r="D99" s="246"/>
      <c r="E99" s="95"/>
    </row>
    <row r="100" spans="1:5" ht="12" customHeight="1" x14ac:dyDescent="0.2">
      <c r="A100" s="186" t="s">
        <v>69</v>
      </c>
      <c r="B100" s="62" t="s">
        <v>340</v>
      </c>
      <c r="C100" s="158"/>
      <c r="D100" s="246"/>
      <c r="E100" s="95"/>
    </row>
    <row r="101" spans="1:5" ht="12" customHeight="1" x14ac:dyDescent="0.2">
      <c r="A101" s="186" t="s">
        <v>77</v>
      </c>
      <c r="B101" s="62" t="s">
        <v>339</v>
      </c>
      <c r="C101" s="158"/>
      <c r="D101" s="246"/>
      <c r="E101" s="95"/>
    </row>
    <row r="102" spans="1:5" ht="12" customHeight="1" x14ac:dyDescent="0.2">
      <c r="A102" s="186" t="s">
        <v>78</v>
      </c>
      <c r="B102" s="62" t="s">
        <v>257</v>
      </c>
      <c r="C102" s="158"/>
      <c r="D102" s="246"/>
      <c r="E102" s="95"/>
    </row>
    <row r="103" spans="1:5" ht="12" customHeight="1" x14ac:dyDescent="0.2">
      <c r="A103" s="186" t="s">
        <v>79</v>
      </c>
      <c r="B103" s="63" t="s">
        <v>258</v>
      </c>
      <c r="C103" s="158"/>
      <c r="D103" s="246"/>
      <c r="E103" s="95"/>
    </row>
    <row r="104" spans="1:5" ht="12" customHeight="1" x14ac:dyDescent="0.2">
      <c r="A104" s="186" t="s">
        <v>80</v>
      </c>
      <c r="B104" s="63" t="s">
        <v>259</v>
      </c>
      <c r="C104" s="158"/>
      <c r="D104" s="246"/>
      <c r="E104" s="95"/>
    </row>
    <row r="105" spans="1:5" ht="12" customHeight="1" x14ac:dyDescent="0.2">
      <c r="A105" s="186" t="s">
        <v>82</v>
      </c>
      <c r="B105" s="62" t="s">
        <v>260</v>
      </c>
      <c r="C105" s="158"/>
      <c r="D105" s="246"/>
      <c r="E105" s="95"/>
    </row>
    <row r="106" spans="1:5" ht="12" customHeight="1" x14ac:dyDescent="0.2">
      <c r="A106" s="186" t="s">
        <v>127</v>
      </c>
      <c r="B106" s="62" t="s">
        <v>261</v>
      </c>
      <c r="C106" s="158"/>
      <c r="D106" s="246"/>
      <c r="E106" s="95"/>
    </row>
    <row r="107" spans="1:5" ht="12" customHeight="1" x14ac:dyDescent="0.2">
      <c r="A107" s="186" t="s">
        <v>255</v>
      </c>
      <c r="B107" s="63" t="s">
        <v>262</v>
      </c>
      <c r="C107" s="156"/>
      <c r="D107" s="246"/>
      <c r="E107" s="95"/>
    </row>
    <row r="108" spans="1:5" ht="12" customHeight="1" x14ac:dyDescent="0.2">
      <c r="A108" s="194" t="s">
        <v>256</v>
      </c>
      <c r="B108" s="64" t="s">
        <v>263</v>
      </c>
      <c r="C108" s="158"/>
      <c r="D108" s="246"/>
      <c r="E108" s="95"/>
    </row>
    <row r="109" spans="1:5" ht="12" customHeight="1" x14ac:dyDescent="0.2">
      <c r="A109" s="186" t="s">
        <v>337</v>
      </c>
      <c r="B109" s="64" t="s">
        <v>264</v>
      </c>
      <c r="C109" s="158"/>
      <c r="D109" s="246"/>
      <c r="E109" s="95"/>
    </row>
    <row r="110" spans="1:5" ht="12" customHeight="1" x14ac:dyDescent="0.2">
      <c r="A110" s="186" t="s">
        <v>338</v>
      </c>
      <c r="B110" s="63" t="s">
        <v>265</v>
      </c>
      <c r="C110" s="156"/>
      <c r="D110" s="245"/>
      <c r="E110" s="93"/>
    </row>
    <row r="111" spans="1:5" ht="12" customHeight="1" x14ac:dyDescent="0.2">
      <c r="A111" s="186" t="s">
        <v>342</v>
      </c>
      <c r="B111" s="9" t="s">
        <v>36</v>
      </c>
      <c r="C111" s="156"/>
      <c r="D111" s="245"/>
      <c r="E111" s="93"/>
    </row>
    <row r="112" spans="1:5" ht="12" customHeight="1" x14ac:dyDescent="0.2">
      <c r="A112" s="187" t="s">
        <v>343</v>
      </c>
      <c r="B112" s="6" t="s">
        <v>397</v>
      </c>
      <c r="C112" s="158"/>
      <c r="D112" s="246"/>
      <c r="E112" s="95"/>
    </row>
    <row r="113" spans="1:5" ht="12" customHeight="1" thickBot="1" x14ac:dyDescent="0.25">
      <c r="A113" s="195" t="s">
        <v>344</v>
      </c>
      <c r="B113" s="65" t="s">
        <v>398</v>
      </c>
      <c r="C113" s="234"/>
      <c r="D113" s="307"/>
      <c r="E113" s="228"/>
    </row>
    <row r="114" spans="1:5" ht="12" customHeight="1" thickBot="1" x14ac:dyDescent="0.25">
      <c r="A114" s="25" t="s">
        <v>7</v>
      </c>
      <c r="B114" s="23" t="s">
        <v>266</v>
      </c>
      <c r="C114" s="155">
        <f>+C115+C117+C119</f>
        <v>74732740</v>
      </c>
      <c r="D114" s="243">
        <f>+D115+D117+D119</f>
        <v>79475088</v>
      </c>
      <c r="E114" s="92">
        <f>+E115+E117+E119</f>
        <v>70402557</v>
      </c>
    </row>
    <row r="115" spans="1:5" ht="12" customHeight="1" x14ac:dyDescent="0.2">
      <c r="A115" s="185" t="s">
        <v>70</v>
      </c>
      <c r="B115" s="6" t="s">
        <v>141</v>
      </c>
      <c r="C115" s="157">
        <v>66713097</v>
      </c>
      <c r="D115" s="244">
        <v>11759782</v>
      </c>
      <c r="E115" s="94">
        <v>9576213</v>
      </c>
    </row>
    <row r="116" spans="1:5" ht="12" customHeight="1" x14ac:dyDescent="0.2">
      <c r="A116" s="185" t="s">
        <v>71</v>
      </c>
      <c r="B116" s="10" t="s">
        <v>270</v>
      </c>
      <c r="C116" s="157"/>
      <c r="D116" s="244"/>
      <c r="E116" s="94"/>
    </row>
    <row r="117" spans="1:5" ht="12" customHeight="1" x14ac:dyDescent="0.2">
      <c r="A117" s="185" t="s">
        <v>72</v>
      </c>
      <c r="B117" s="10" t="s">
        <v>128</v>
      </c>
      <c r="C117" s="156">
        <v>7019643</v>
      </c>
      <c r="D117" s="245">
        <v>66715306</v>
      </c>
      <c r="E117" s="93">
        <v>60826344</v>
      </c>
    </row>
    <row r="118" spans="1:5" ht="12" customHeight="1" x14ac:dyDescent="0.2">
      <c r="A118" s="185" t="s">
        <v>73</v>
      </c>
      <c r="B118" s="10" t="s">
        <v>271</v>
      </c>
      <c r="C118" s="156"/>
      <c r="D118" s="245"/>
      <c r="E118" s="93"/>
    </row>
    <row r="119" spans="1:5" ht="12" customHeight="1" x14ac:dyDescent="0.2">
      <c r="A119" s="185" t="s">
        <v>74</v>
      </c>
      <c r="B119" s="101" t="s">
        <v>143</v>
      </c>
      <c r="C119" s="156">
        <v>1000000</v>
      </c>
      <c r="D119" s="245">
        <v>1000000</v>
      </c>
      <c r="E119" s="93"/>
    </row>
    <row r="120" spans="1:5" ht="12" customHeight="1" x14ac:dyDescent="0.2">
      <c r="A120" s="185" t="s">
        <v>81</v>
      </c>
      <c r="B120" s="100" t="s">
        <v>330</v>
      </c>
      <c r="C120" s="156"/>
      <c r="D120" s="245"/>
      <c r="E120" s="93"/>
    </row>
    <row r="121" spans="1:5" ht="12" customHeight="1" x14ac:dyDescent="0.2">
      <c r="A121" s="185" t="s">
        <v>83</v>
      </c>
      <c r="B121" s="164" t="s">
        <v>276</v>
      </c>
      <c r="C121" s="156"/>
      <c r="D121" s="245"/>
      <c r="E121" s="93"/>
    </row>
    <row r="122" spans="1:5" ht="12" customHeight="1" x14ac:dyDescent="0.2">
      <c r="A122" s="185" t="s">
        <v>129</v>
      </c>
      <c r="B122" s="63" t="s">
        <v>259</v>
      </c>
      <c r="C122" s="156"/>
      <c r="D122" s="245"/>
      <c r="E122" s="93"/>
    </row>
    <row r="123" spans="1:5" ht="12" customHeight="1" x14ac:dyDescent="0.2">
      <c r="A123" s="185" t="s">
        <v>130</v>
      </c>
      <c r="B123" s="63" t="s">
        <v>275</v>
      </c>
      <c r="C123" s="156"/>
      <c r="D123" s="245"/>
      <c r="E123" s="93"/>
    </row>
    <row r="124" spans="1:5" ht="12" customHeight="1" x14ac:dyDescent="0.2">
      <c r="A124" s="185" t="s">
        <v>131</v>
      </c>
      <c r="B124" s="63" t="s">
        <v>274</v>
      </c>
      <c r="C124" s="156"/>
      <c r="D124" s="245"/>
      <c r="E124" s="93"/>
    </row>
    <row r="125" spans="1:5" ht="12" customHeight="1" x14ac:dyDescent="0.2">
      <c r="A125" s="185" t="s">
        <v>267</v>
      </c>
      <c r="B125" s="63" t="s">
        <v>262</v>
      </c>
      <c r="C125" s="156"/>
      <c r="D125" s="245"/>
      <c r="E125" s="93"/>
    </row>
    <row r="126" spans="1:5" ht="12" customHeight="1" x14ac:dyDescent="0.2">
      <c r="A126" s="185" t="s">
        <v>268</v>
      </c>
      <c r="B126" s="63" t="s">
        <v>273</v>
      </c>
      <c r="C126" s="156"/>
      <c r="D126" s="245"/>
      <c r="E126" s="93"/>
    </row>
    <row r="127" spans="1:5" ht="12" customHeight="1" thickBot="1" x14ac:dyDescent="0.25">
      <c r="A127" s="194" t="s">
        <v>269</v>
      </c>
      <c r="B127" s="63" t="s">
        <v>272</v>
      </c>
      <c r="C127" s="158"/>
      <c r="D127" s="246"/>
      <c r="E127" s="95"/>
    </row>
    <row r="128" spans="1:5" ht="12" customHeight="1" thickBot="1" x14ac:dyDescent="0.25">
      <c r="A128" s="25" t="s">
        <v>8</v>
      </c>
      <c r="B128" s="58" t="s">
        <v>347</v>
      </c>
      <c r="C128" s="155">
        <f>+C93+C114</f>
        <v>74732740</v>
      </c>
      <c r="D128" s="243">
        <f>+D93+D114</f>
        <v>79475088</v>
      </c>
      <c r="E128" s="92">
        <f>+E93+E114</f>
        <v>70402557</v>
      </c>
    </row>
    <row r="129" spans="1:11" ht="12" customHeight="1" thickBot="1" x14ac:dyDescent="0.25">
      <c r="A129" s="25" t="s">
        <v>9</v>
      </c>
      <c r="B129" s="58" t="s">
        <v>348</v>
      </c>
      <c r="C129" s="155">
        <f>+C130+C131+C132</f>
        <v>0</v>
      </c>
      <c r="D129" s="243">
        <f>+D130+D131+D132</f>
        <v>0</v>
      </c>
      <c r="E129" s="92">
        <f>+E130+E131+E132</f>
        <v>0</v>
      </c>
    </row>
    <row r="130" spans="1:11" s="54" customFormat="1" ht="12" customHeight="1" x14ac:dyDescent="0.2">
      <c r="A130" s="185" t="s">
        <v>175</v>
      </c>
      <c r="B130" s="7" t="s">
        <v>402</v>
      </c>
      <c r="C130" s="156"/>
      <c r="D130" s="245"/>
      <c r="E130" s="93"/>
    </row>
    <row r="131" spans="1:11" ht="12" customHeight="1" x14ac:dyDescent="0.2">
      <c r="A131" s="185" t="s">
        <v>176</v>
      </c>
      <c r="B131" s="7" t="s">
        <v>356</v>
      </c>
      <c r="C131" s="156"/>
      <c r="D131" s="245"/>
      <c r="E131" s="93"/>
    </row>
    <row r="132" spans="1:11" ht="12" customHeight="1" thickBot="1" x14ac:dyDescent="0.25">
      <c r="A132" s="194" t="s">
        <v>177</v>
      </c>
      <c r="B132" s="5" t="s">
        <v>401</v>
      </c>
      <c r="C132" s="156"/>
      <c r="D132" s="245"/>
      <c r="E132" s="93"/>
    </row>
    <row r="133" spans="1:11" ht="12" customHeight="1" thickBot="1" x14ac:dyDescent="0.25">
      <c r="A133" s="25" t="s">
        <v>10</v>
      </c>
      <c r="B133" s="58" t="s">
        <v>349</v>
      </c>
      <c r="C133" s="155">
        <f>+C134+C135+C136+C137+C138+C139</f>
        <v>0</v>
      </c>
      <c r="D133" s="243">
        <f>+D134+D135+D136+D137+D138+D139</f>
        <v>0</v>
      </c>
      <c r="E133" s="92">
        <f>+E134+E135+E136+E137+E138+E139</f>
        <v>0</v>
      </c>
    </row>
    <row r="134" spans="1:11" ht="12" customHeight="1" x14ac:dyDescent="0.2">
      <c r="A134" s="185" t="s">
        <v>57</v>
      </c>
      <c r="B134" s="7" t="s">
        <v>358</v>
      </c>
      <c r="C134" s="156"/>
      <c r="D134" s="245"/>
      <c r="E134" s="93"/>
    </row>
    <row r="135" spans="1:11" ht="12" customHeight="1" x14ac:dyDescent="0.2">
      <c r="A135" s="185" t="s">
        <v>58</v>
      </c>
      <c r="B135" s="7" t="s">
        <v>350</v>
      </c>
      <c r="C135" s="156"/>
      <c r="D135" s="245"/>
      <c r="E135" s="93"/>
    </row>
    <row r="136" spans="1:11" ht="12" customHeight="1" x14ac:dyDescent="0.2">
      <c r="A136" s="185" t="s">
        <v>59</v>
      </c>
      <c r="B136" s="7" t="s">
        <v>351</v>
      </c>
      <c r="C136" s="156"/>
      <c r="D136" s="245"/>
      <c r="E136" s="93"/>
    </row>
    <row r="137" spans="1:11" ht="12" customHeight="1" x14ac:dyDescent="0.2">
      <c r="A137" s="185" t="s">
        <v>116</v>
      </c>
      <c r="B137" s="7" t="s">
        <v>400</v>
      </c>
      <c r="C137" s="156"/>
      <c r="D137" s="245"/>
      <c r="E137" s="93"/>
    </row>
    <row r="138" spans="1:11" ht="12" customHeight="1" x14ac:dyDescent="0.2">
      <c r="A138" s="185" t="s">
        <v>117</v>
      </c>
      <c r="B138" s="7" t="s">
        <v>353</v>
      </c>
      <c r="C138" s="156"/>
      <c r="D138" s="245"/>
      <c r="E138" s="93"/>
    </row>
    <row r="139" spans="1:11" s="54" customFormat="1" ht="12" customHeight="1" thickBot="1" x14ac:dyDescent="0.25">
      <c r="A139" s="194" t="s">
        <v>118</v>
      </c>
      <c r="B139" s="5" t="s">
        <v>354</v>
      </c>
      <c r="C139" s="156"/>
      <c r="D139" s="245"/>
      <c r="E139" s="93"/>
    </row>
    <row r="140" spans="1:11" ht="12" customHeight="1" thickBot="1" x14ac:dyDescent="0.25">
      <c r="A140" s="25" t="s">
        <v>11</v>
      </c>
      <c r="B140" s="58" t="s">
        <v>411</v>
      </c>
      <c r="C140" s="161">
        <f>+C141+C142+C144+C145+C143</f>
        <v>0</v>
      </c>
      <c r="D140" s="247">
        <f>+D141+D142+D144+D145+D143</f>
        <v>0</v>
      </c>
      <c r="E140" s="197">
        <f>+E141+E142+E144+E145+E143</f>
        <v>0</v>
      </c>
      <c r="K140" s="91"/>
    </row>
    <row r="141" spans="1:11" x14ac:dyDescent="0.2">
      <c r="A141" s="185" t="s">
        <v>60</v>
      </c>
      <c r="B141" s="7" t="s">
        <v>277</v>
      </c>
      <c r="C141" s="156"/>
      <c r="D141" s="245"/>
      <c r="E141" s="93"/>
    </row>
    <row r="142" spans="1:11" ht="12" customHeight="1" x14ac:dyDescent="0.2">
      <c r="A142" s="185" t="s">
        <v>61</v>
      </c>
      <c r="B142" s="7" t="s">
        <v>278</v>
      </c>
      <c r="C142" s="156"/>
      <c r="D142" s="245"/>
      <c r="E142" s="93"/>
    </row>
    <row r="143" spans="1:11" ht="12" customHeight="1" x14ac:dyDescent="0.2">
      <c r="A143" s="185" t="s">
        <v>194</v>
      </c>
      <c r="B143" s="7" t="s">
        <v>410</v>
      </c>
      <c r="C143" s="156"/>
      <c r="D143" s="245"/>
      <c r="E143" s="93"/>
    </row>
    <row r="144" spans="1:11" s="54" customFormat="1" ht="12" customHeight="1" x14ac:dyDescent="0.2">
      <c r="A144" s="185" t="s">
        <v>195</v>
      </c>
      <c r="B144" s="7" t="s">
        <v>363</v>
      </c>
      <c r="C144" s="156"/>
      <c r="D144" s="245"/>
      <c r="E144" s="93"/>
    </row>
    <row r="145" spans="1:5" s="54" customFormat="1" ht="12" customHeight="1" thickBot="1" x14ac:dyDescent="0.25">
      <c r="A145" s="194" t="s">
        <v>196</v>
      </c>
      <c r="B145" s="5" t="s">
        <v>294</v>
      </c>
      <c r="C145" s="156"/>
      <c r="D145" s="245"/>
      <c r="E145" s="93"/>
    </row>
    <row r="146" spans="1:5" s="54" customFormat="1" ht="12" customHeight="1" thickBot="1" x14ac:dyDescent="0.25">
      <c r="A146" s="25" t="s">
        <v>12</v>
      </c>
      <c r="B146" s="58" t="s">
        <v>364</v>
      </c>
      <c r="C146" s="236">
        <f>+C147+C148+C149+C150+C151</f>
        <v>0</v>
      </c>
      <c r="D146" s="248">
        <f>+D147+D148+D149+D150+D151</f>
        <v>0</v>
      </c>
      <c r="E146" s="230">
        <f>+E147+E148+E149+E150+E151</f>
        <v>0</v>
      </c>
    </row>
    <row r="147" spans="1:5" s="54" customFormat="1" ht="12" customHeight="1" x14ac:dyDescent="0.2">
      <c r="A147" s="185" t="s">
        <v>62</v>
      </c>
      <c r="B147" s="7" t="s">
        <v>359</v>
      </c>
      <c r="C147" s="156"/>
      <c r="D147" s="245"/>
      <c r="E147" s="93"/>
    </row>
    <row r="148" spans="1:5" s="54" customFormat="1" ht="12" customHeight="1" x14ac:dyDescent="0.2">
      <c r="A148" s="185" t="s">
        <v>63</v>
      </c>
      <c r="B148" s="7" t="s">
        <v>366</v>
      </c>
      <c r="C148" s="156"/>
      <c r="D148" s="245"/>
      <c r="E148" s="93"/>
    </row>
    <row r="149" spans="1:5" s="54" customFormat="1" ht="12" customHeight="1" x14ac:dyDescent="0.2">
      <c r="A149" s="185" t="s">
        <v>206</v>
      </c>
      <c r="B149" s="7" t="s">
        <v>361</v>
      </c>
      <c r="C149" s="156"/>
      <c r="D149" s="245"/>
      <c r="E149" s="93"/>
    </row>
    <row r="150" spans="1:5" s="54" customFormat="1" ht="12" customHeight="1" x14ac:dyDescent="0.2">
      <c r="A150" s="185" t="s">
        <v>207</v>
      </c>
      <c r="B150" s="7" t="s">
        <v>403</v>
      </c>
      <c r="C150" s="156"/>
      <c r="D150" s="245"/>
      <c r="E150" s="93"/>
    </row>
    <row r="151" spans="1:5" ht="12.75" customHeight="1" thickBot="1" x14ac:dyDescent="0.25">
      <c r="A151" s="194" t="s">
        <v>365</v>
      </c>
      <c r="B151" s="5" t="s">
        <v>368</v>
      </c>
      <c r="C151" s="158"/>
      <c r="D151" s="246"/>
      <c r="E151" s="95"/>
    </row>
    <row r="152" spans="1:5" ht="12.75" customHeight="1" thickBot="1" x14ac:dyDescent="0.25">
      <c r="A152" s="225" t="s">
        <v>13</v>
      </c>
      <c r="B152" s="58" t="s">
        <v>369</v>
      </c>
      <c r="C152" s="236"/>
      <c r="D152" s="248"/>
      <c r="E152" s="230"/>
    </row>
    <row r="153" spans="1:5" ht="12.75" customHeight="1" thickBot="1" x14ac:dyDescent="0.25">
      <c r="A153" s="225" t="s">
        <v>14</v>
      </c>
      <c r="B153" s="58" t="s">
        <v>370</v>
      </c>
      <c r="C153" s="236"/>
      <c r="D153" s="248"/>
      <c r="E153" s="230"/>
    </row>
    <row r="154" spans="1:5" ht="12" customHeight="1" thickBot="1" x14ac:dyDescent="0.25">
      <c r="A154" s="25" t="s">
        <v>15</v>
      </c>
      <c r="B154" s="58" t="s">
        <v>372</v>
      </c>
      <c r="C154" s="238">
        <f>+C129+C133+C140+C146+C152+C153</f>
        <v>0</v>
      </c>
      <c r="D154" s="250">
        <f>+D129+D133+D140+D146+D152+D153</f>
        <v>0</v>
      </c>
      <c r="E154" s="232">
        <f>+E129+E133+E140+E146+E152+E153</f>
        <v>0</v>
      </c>
    </row>
    <row r="155" spans="1:5" ht="15.2" customHeight="1" thickBot="1" x14ac:dyDescent="0.25">
      <c r="A155" s="196" t="s">
        <v>16</v>
      </c>
      <c r="B155" s="142" t="s">
        <v>371</v>
      </c>
      <c r="C155" s="238">
        <f>+C128+C154</f>
        <v>74732740</v>
      </c>
      <c r="D155" s="250">
        <f>+D128+D154</f>
        <v>79475088</v>
      </c>
      <c r="E155" s="232">
        <f>+E128+E154</f>
        <v>70402557</v>
      </c>
    </row>
    <row r="156" spans="1:5" ht="13.5" thickBot="1" x14ac:dyDescent="0.25">
      <c r="A156" s="145"/>
      <c r="B156" s="146"/>
      <c r="C156" s="607">
        <f>C90-C155</f>
        <v>-5414112</v>
      </c>
      <c r="D156" s="607">
        <f>D90-D155</f>
        <v>-9544092</v>
      </c>
      <c r="E156" s="147"/>
    </row>
    <row r="157" spans="1:5" ht="15.2" customHeight="1" thickBot="1" x14ac:dyDescent="0.25">
      <c r="A157" s="313" t="s">
        <v>488</v>
      </c>
      <c r="B157" s="314"/>
      <c r="C157" s="306"/>
      <c r="D157" s="306"/>
      <c r="E157" s="305"/>
    </row>
    <row r="158" spans="1:5" ht="14.45" customHeight="1" thickBot="1" x14ac:dyDescent="0.25">
      <c r="A158" s="315" t="s">
        <v>489</v>
      </c>
      <c r="B158" s="316"/>
      <c r="C158" s="306"/>
      <c r="D158" s="306"/>
      <c r="E158" s="305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K55" sqref="K55"/>
    </sheetView>
  </sheetViews>
  <sheetFormatPr defaultRowHeight="12.75" x14ac:dyDescent="0.2"/>
  <cols>
    <col min="1" max="1" width="13" style="87" customWidth="1"/>
    <col min="2" max="2" width="59" style="88" customWidth="1"/>
    <col min="3" max="5" width="15.83203125" style="88" customWidth="1"/>
    <col min="6" max="16384" width="9.33203125" style="88"/>
  </cols>
  <sheetData>
    <row r="1" spans="1:5" s="78" customFormat="1" ht="16.5" thickBot="1" x14ac:dyDescent="0.3">
      <c r="A1" s="370"/>
      <c r="B1" s="720" t="str">
        <f>CONCATENATE("6.2. melléklet ",Z_ALAPADATOK!A7," ",Z_ALAPADATOK!B7," ",Z_ALAPADATOK!C7," ",Z_ALAPADATOK!D7," ",Z_ALAPADATOK!E7," ",Z_ALAPADATOK!F7," ",Z_ALAPADATOK!G7," ",Z_ALAPADATOK!H7)</f>
        <v>6.2. melléklet a 6 / 2019. ( IV.25 ) önkormányzati rendelethez</v>
      </c>
      <c r="C1" s="721"/>
      <c r="D1" s="721"/>
      <c r="E1" s="721"/>
    </row>
    <row r="2" spans="1:5" s="203" customFormat="1" ht="24.75" thickBot="1" x14ac:dyDescent="0.25">
      <c r="A2" s="371" t="s">
        <v>455</v>
      </c>
      <c r="B2" s="722" t="s">
        <v>303</v>
      </c>
      <c r="C2" s="723"/>
      <c r="D2" s="724"/>
      <c r="E2" s="372" t="s">
        <v>43</v>
      </c>
    </row>
    <row r="3" spans="1:5" s="203" customFormat="1" ht="24.75" thickBot="1" x14ac:dyDescent="0.25">
      <c r="A3" s="371" t="s">
        <v>137</v>
      </c>
      <c r="B3" s="722" t="s">
        <v>302</v>
      </c>
      <c r="C3" s="723"/>
      <c r="D3" s="724"/>
      <c r="E3" s="372" t="s">
        <v>39</v>
      </c>
    </row>
    <row r="4" spans="1:5" s="204" customFormat="1" ht="15.95" customHeight="1" thickBot="1" x14ac:dyDescent="0.3">
      <c r="A4" s="373"/>
      <c r="B4" s="373"/>
      <c r="C4" s="374"/>
      <c r="D4" s="375"/>
      <c r="E4" s="374" t="e">
        <f>#REF!</f>
        <v>#REF!</v>
      </c>
    </row>
    <row r="5" spans="1:5" ht="24.75" thickBot="1" x14ac:dyDescent="0.25">
      <c r="A5" s="376" t="s">
        <v>138</v>
      </c>
      <c r="B5" s="377" t="s">
        <v>487</v>
      </c>
      <c r="C5" s="377" t="s">
        <v>451</v>
      </c>
      <c r="D5" s="378" t="s">
        <v>452</v>
      </c>
      <c r="E5" s="359" t="e">
        <f>CONCATENATE(#REF!)</f>
        <v>#REF!</v>
      </c>
    </row>
    <row r="6" spans="1:5" s="205" customFormat="1" ht="12.95" customHeight="1" thickBot="1" x14ac:dyDescent="0.25">
      <c r="A6" s="409" t="s">
        <v>383</v>
      </c>
      <c r="B6" s="410" t="s">
        <v>384</v>
      </c>
      <c r="C6" s="410" t="s">
        <v>385</v>
      </c>
      <c r="D6" s="411" t="s">
        <v>387</v>
      </c>
      <c r="E6" s="412" t="s">
        <v>386</v>
      </c>
    </row>
    <row r="7" spans="1:5" s="205" customFormat="1" ht="15.95" customHeight="1" thickBot="1" x14ac:dyDescent="0.25">
      <c r="A7" s="716" t="s">
        <v>40</v>
      </c>
      <c r="B7" s="717"/>
      <c r="C7" s="717"/>
      <c r="D7" s="717"/>
      <c r="E7" s="718"/>
    </row>
    <row r="8" spans="1:5" s="141" customFormat="1" ht="12" customHeight="1" thickBot="1" x14ac:dyDescent="0.25">
      <c r="A8" s="71" t="s">
        <v>6</v>
      </c>
      <c r="B8" s="79" t="s">
        <v>404</v>
      </c>
      <c r="C8" s="109">
        <f>SUM(C9:C19)</f>
        <v>610000</v>
      </c>
      <c r="D8" s="109">
        <f>SUM(D9:D19)</f>
        <v>610000</v>
      </c>
      <c r="E8" s="136">
        <f>SUM(E9:E19)</f>
        <v>563922</v>
      </c>
    </row>
    <row r="9" spans="1:5" s="141" customFormat="1" ht="12" customHeight="1" x14ac:dyDescent="0.2">
      <c r="A9" s="198" t="s">
        <v>64</v>
      </c>
      <c r="B9" s="8" t="s">
        <v>183</v>
      </c>
      <c r="C9" s="262"/>
      <c r="D9" s="262"/>
      <c r="E9" s="308"/>
    </row>
    <row r="10" spans="1:5" s="141" customFormat="1" ht="12" customHeight="1" x14ac:dyDescent="0.2">
      <c r="A10" s="199" t="s">
        <v>65</v>
      </c>
      <c r="B10" s="6" t="s">
        <v>184</v>
      </c>
      <c r="C10" s="106">
        <v>600000</v>
      </c>
      <c r="D10" s="106">
        <v>600000</v>
      </c>
      <c r="E10" s="254">
        <v>556000</v>
      </c>
    </row>
    <row r="11" spans="1:5" s="141" customFormat="1" ht="12" customHeight="1" x14ac:dyDescent="0.2">
      <c r="A11" s="199" t="s">
        <v>66</v>
      </c>
      <c r="B11" s="6" t="s">
        <v>185</v>
      </c>
      <c r="C11" s="106"/>
      <c r="D11" s="106"/>
      <c r="E11" s="254"/>
    </row>
    <row r="12" spans="1:5" s="141" customFormat="1" ht="12" customHeight="1" x14ac:dyDescent="0.2">
      <c r="A12" s="199" t="s">
        <v>67</v>
      </c>
      <c r="B12" s="6" t="s">
        <v>186</v>
      </c>
      <c r="C12" s="106"/>
      <c r="D12" s="106"/>
      <c r="E12" s="254"/>
    </row>
    <row r="13" spans="1:5" s="141" customFormat="1" ht="12" customHeight="1" x14ac:dyDescent="0.2">
      <c r="A13" s="199" t="s">
        <v>99</v>
      </c>
      <c r="B13" s="6" t="s">
        <v>187</v>
      </c>
      <c r="C13" s="106"/>
      <c r="D13" s="106"/>
      <c r="E13" s="254"/>
    </row>
    <row r="14" spans="1:5" s="141" customFormat="1" ht="12" customHeight="1" x14ac:dyDescent="0.2">
      <c r="A14" s="199" t="s">
        <v>68</v>
      </c>
      <c r="B14" s="6" t="s">
        <v>304</v>
      </c>
      <c r="C14" s="106"/>
      <c r="D14" s="106"/>
      <c r="E14" s="254"/>
    </row>
    <row r="15" spans="1:5" s="141" customFormat="1" ht="12" customHeight="1" x14ac:dyDescent="0.2">
      <c r="A15" s="199" t="s">
        <v>69</v>
      </c>
      <c r="B15" s="5" t="s">
        <v>305</v>
      </c>
      <c r="C15" s="106"/>
      <c r="D15" s="106"/>
      <c r="E15" s="254"/>
    </row>
    <row r="16" spans="1:5" s="141" customFormat="1" ht="12" customHeight="1" x14ac:dyDescent="0.2">
      <c r="A16" s="199" t="s">
        <v>77</v>
      </c>
      <c r="B16" s="6" t="s">
        <v>190</v>
      </c>
      <c r="C16" s="260">
        <v>10000</v>
      </c>
      <c r="D16" s="260">
        <v>10000</v>
      </c>
      <c r="E16" s="258">
        <v>7921</v>
      </c>
    </row>
    <row r="17" spans="1:5" s="206" customFormat="1" ht="12" customHeight="1" x14ac:dyDescent="0.2">
      <c r="A17" s="199" t="s">
        <v>78</v>
      </c>
      <c r="B17" s="6" t="s">
        <v>191</v>
      </c>
      <c r="C17" s="106"/>
      <c r="D17" s="106"/>
      <c r="E17" s="254">
        <v>1</v>
      </c>
    </row>
    <row r="18" spans="1:5" s="206" customFormat="1" ht="12" customHeight="1" x14ac:dyDescent="0.2">
      <c r="A18" s="199" t="s">
        <v>79</v>
      </c>
      <c r="B18" s="6" t="s">
        <v>335</v>
      </c>
      <c r="C18" s="108"/>
      <c r="D18" s="108"/>
      <c r="E18" s="255"/>
    </row>
    <row r="19" spans="1:5" s="206" customFormat="1" ht="12" customHeight="1" thickBot="1" x14ac:dyDescent="0.25">
      <c r="A19" s="199" t="s">
        <v>80</v>
      </c>
      <c r="B19" s="5" t="s">
        <v>192</v>
      </c>
      <c r="C19" s="108"/>
      <c r="D19" s="108"/>
      <c r="E19" s="255"/>
    </row>
    <row r="20" spans="1:5" s="141" customFormat="1" ht="12" customHeight="1" thickBot="1" x14ac:dyDescent="0.25">
      <c r="A20" s="71" t="s">
        <v>7</v>
      </c>
      <c r="B20" s="79" t="s">
        <v>306</v>
      </c>
      <c r="C20" s="109">
        <f>SUM(C21:C23)</f>
        <v>0</v>
      </c>
      <c r="D20" s="109">
        <f>SUM(D21:D23)</f>
        <v>4046021</v>
      </c>
      <c r="E20" s="136">
        <f>SUM(E21:E23)</f>
        <v>4673557</v>
      </c>
    </row>
    <row r="21" spans="1:5" s="206" customFormat="1" ht="12" customHeight="1" x14ac:dyDescent="0.2">
      <c r="A21" s="199" t="s">
        <v>70</v>
      </c>
      <c r="B21" s="7" t="s">
        <v>166</v>
      </c>
      <c r="C21" s="106"/>
      <c r="D21" s="106">
        <v>4046021</v>
      </c>
      <c r="E21" s="254">
        <v>4673557</v>
      </c>
    </row>
    <row r="22" spans="1:5" s="206" customFormat="1" ht="12" customHeight="1" x14ac:dyDescent="0.2">
      <c r="A22" s="199" t="s">
        <v>71</v>
      </c>
      <c r="B22" s="6" t="s">
        <v>307</v>
      </c>
      <c r="C22" s="106"/>
      <c r="D22" s="106"/>
      <c r="E22" s="254"/>
    </row>
    <row r="23" spans="1:5" s="206" customFormat="1" ht="12" customHeight="1" x14ac:dyDescent="0.2">
      <c r="A23" s="199" t="s">
        <v>72</v>
      </c>
      <c r="B23" s="6" t="s">
        <v>308</v>
      </c>
      <c r="C23" s="106"/>
      <c r="D23" s="106"/>
      <c r="E23" s="254"/>
    </row>
    <row r="24" spans="1:5" s="206" customFormat="1" ht="12" customHeight="1" thickBot="1" x14ac:dyDescent="0.25">
      <c r="A24" s="199" t="s">
        <v>73</v>
      </c>
      <c r="B24" s="6" t="s">
        <v>405</v>
      </c>
      <c r="C24" s="106"/>
      <c r="D24" s="106"/>
      <c r="E24" s="254"/>
    </row>
    <row r="25" spans="1:5" s="206" customFormat="1" ht="12" customHeight="1" thickBot="1" x14ac:dyDescent="0.25">
      <c r="A25" s="74" t="s">
        <v>8</v>
      </c>
      <c r="B25" s="58" t="s">
        <v>115</v>
      </c>
      <c r="C25" s="310"/>
      <c r="D25" s="310"/>
      <c r="E25" s="135"/>
    </row>
    <row r="26" spans="1:5" s="206" customFormat="1" ht="12" customHeight="1" thickBot="1" x14ac:dyDescent="0.25">
      <c r="A26" s="74" t="s">
        <v>9</v>
      </c>
      <c r="B26" s="58" t="s">
        <v>406</v>
      </c>
      <c r="C26" s="109">
        <f>+C27+C28+C29</f>
        <v>0</v>
      </c>
      <c r="D26" s="109">
        <f>+D27+D28+D29</f>
        <v>0</v>
      </c>
      <c r="E26" s="136">
        <f>+E27+E28+E29</f>
        <v>0</v>
      </c>
    </row>
    <row r="27" spans="1:5" s="206" customFormat="1" ht="12" customHeight="1" x14ac:dyDescent="0.2">
      <c r="A27" s="200" t="s">
        <v>175</v>
      </c>
      <c r="B27" s="201" t="s">
        <v>171</v>
      </c>
      <c r="C27" s="261"/>
      <c r="D27" s="261"/>
      <c r="E27" s="259"/>
    </row>
    <row r="28" spans="1:5" s="206" customFormat="1" ht="12" customHeight="1" x14ac:dyDescent="0.2">
      <c r="A28" s="200" t="s">
        <v>176</v>
      </c>
      <c r="B28" s="201" t="s">
        <v>307</v>
      </c>
      <c r="C28" s="106"/>
      <c r="D28" s="106"/>
      <c r="E28" s="254"/>
    </row>
    <row r="29" spans="1:5" s="206" customFormat="1" ht="12" customHeight="1" x14ac:dyDescent="0.2">
      <c r="A29" s="200" t="s">
        <v>177</v>
      </c>
      <c r="B29" s="202" t="s">
        <v>309</v>
      </c>
      <c r="C29" s="106"/>
      <c r="D29" s="106"/>
      <c r="E29" s="254"/>
    </row>
    <row r="30" spans="1:5" s="206" customFormat="1" ht="12" customHeight="1" thickBot="1" x14ac:dyDescent="0.25">
      <c r="A30" s="199" t="s">
        <v>178</v>
      </c>
      <c r="B30" s="61" t="s">
        <v>407</v>
      </c>
      <c r="C30" s="49"/>
      <c r="D30" s="49"/>
      <c r="E30" s="309"/>
    </row>
    <row r="31" spans="1:5" s="206" customFormat="1" ht="12" customHeight="1" thickBot="1" x14ac:dyDescent="0.25">
      <c r="A31" s="74" t="s">
        <v>10</v>
      </c>
      <c r="B31" s="58" t="s">
        <v>310</v>
      </c>
      <c r="C31" s="109">
        <f>+C32+C33+C34</f>
        <v>0</v>
      </c>
      <c r="D31" s="109">
        <f>+D32+D33+D34</f>
        <v>0</v>
      </c>
      <c r="E31" s="136">
        <f>+E32+E33+E34</f>
        <v>0</v>
      </c>
    </row>
    <row r="32" spans="1:5" s="206" customFormat="1" ht="12" customHeight="1" x14ac:dyDescent="0.2">
      <c r="A32" s="200" t="s">
        <v>57</v>
      </c>
      <c r="B32" s="201" t="s">
        <v>197</v>
      </c>
      <c r="C32" s="261"/>
      <c r="D32" s="261"/>
      <c r="E32" s="259"/>
    </row>
    <row r="33" spans="1:5" s="206" customFormat="1" ht="12" customHeight="1" x14ac:dyDescent="0.2">
      <c r="A33" s="200" t="s">
        <v>58</v>
      </c>
      <c r="B33" s="202" t="s">
        <v>198</v>
      </c>
      <c r="C33" s="110"/>
      <c r="D33" s="110"/>
      <c r="E33" s="256"/>
    </row>
    <row r="34" spans="1:5" s="206" customFormat="1" ht="12" customHeight="1" thickBot="1" x14ac:dyDescent="0.25">
      <c r="A34" s="199" t="s">
        <v>59</v>
      </c>
      <c r="B34" s="61" t="s">
        <v>199</v>
      </c>
      <c r="C34" s="49"/>
      <c r="D34" s="49"/>
      <c r="E34" s="309"/>
    </row>
    <row r="35" spans="1:5" s="141" customFormat="1" ht="12" customHeight="1" thickBot="1" x14ac:dyDescent="0.25">
      <c r="A35" s="74" t="s">
        <v>11</v>
      </c>
      <c r="B35" s="58" t="s">
        <v>282</v>
      </c>
      <c r="C35" s="310"/>
      <c r="D35" s="310"/>
      <c r="E35" s="135"/>
    </row>
    <row r="36" spans="1:5" s="141" customFormat="1" ht="12" customHeight="1" thickBot="1" x14ac:dyDescent="0.25">
      <c r="A36" s="74" t="s">
        <v>12</v>
      </c>
      <c r="B36" s="58" t="s">
        <v>311</v>
      </c>
      <c r="C36" s="310"/>
      <c r="D36" s="310"/>
      <c r="E36" s="135"/>
    </row>
    <row r="37" spans="1:5" s="141" customFormat="1" ht="12" customHeight="1" thickBot="1" x14ac:dyDescent="0.25">
      <c r="A37" s="71" t="s">
        <v>13</v>
      </c>
      <c r="B37" s="58" t="s">
        <v>312</v>
      </c>
      <c r="C37" s="109">
        <f>+C8+C20+C25+C26+C31+C35+C36</f>
        <v>610000</v>
      </c>
      <c r="D37" s="109">
        <f>+D8+D20+D25+D26+D31+D35+D36</f>
        <v>4656021</v>
      </c>
      <c r="E37" s="136">
        <f>+E8+E20+E25+E26+E31+E35+E36</f>
        <v>5237479</v>
      </c>
    </row>
    <row r="38" spans="1:5" s="141" customFormat="1" ht="12" customHeight="1" thickBot="1" x14ac:dyDescent="0.25">
      <c r="A38" s="80" t="s">
        <v>14</v>
      </c>
      <c r="B38" s="58" t="s">
        <v>313</v>
      </c>
      <c r="C38" s="109">
        <f>+C39+C40+C41</f>
        <v>63628045</v>
      </c>
      <c r="D38" s="109">
        <f>+D39+D40+D41</f>
        <v>63764700</v>
      </c>
      <c r="E38" s="136">
        <f>+E39+E40+E41</f>
        <v>62790092</v>
      </c>
    </row>
    <row r="39" spans="1:5" s="141" customFormat="1" ht="12" customHeight="1" x14ac:dyDescent="0.2">
      <c r="A39" s="200" t="s">
        <v>314</v>
      </c>
      <c r="B39" s="201" t="s">
        <v>148</v>
      </c>
      <c r="C39" s="261">
        <v>983396</v>
      </c>
      <c r="D39" s="261">
        <v>983396</v>
      </c>
      <c r="E39" s="259">
        <v>983396</v>
      </c>
    </row>
    <row r="40" spans="1:5" s="141" customFormat="1" ht="12" customHeight="1" x14ac:dyDescent="0.2">
      <c r="A40" s="200" t="s">
        <v>315</v>
      </c>
      <c r="B40" s="202" t="s">
        <v>0</v>
      </c>
      <c r="C40" s="110"/>
      <c r="D40" s="110"/>
      <c r="E40" s="256"/>
    </row>
    <row r="41" spans="1:5" s="206" customFormat="1" ht="12" customHeight="1" thickBot="1" x14ac:dyDescent="0.25">
      <c r="A41" s="199" t="s">
        <v>316</v>
      </c>
      <c r="B41" s="61" t="s">
        <v>317</v>
      </c>
      <c r="C41" s="49">
        <v>62644649</v>
      </c>
      <c r="D41" s="49">
        <v>62781304</v>
      </c>
      <c r="E41" s="309">
        <v>61806696</v>
      </c>
    </row>
    <row r="42" spans="1:5" s="206" customFormat="1" ht="15.2" customHeight="1" thickBot="1" x14ac:dyDescent="0.25">
      <c r="A42" s="80" t="s">
        <v>15</v>
      </c>
      <c r="B42" s="81" t="s">
        <v>318</v>
      </c>
      <c r="C42" s="311">
        <f>+C37+C38</f>
        <v>64238045</v>
      </c>
      <c r="D42" s="311">
        <f>+D37+D38</f>
        <v>68420721</v>
      </c>
      <c r="E42" s="139">
        <f>+E37+E38</f>
        <v>68027571</v>
      </c>
    </row>
    <row r="43" spans="1:5" s="206" customFormat="1" ht="15.2" customHeight="1" x14ac:dyDescent="0.2">
      <c r="A43" s="82"/>
      <c r="B43" s="83"/>
      <c r="C43" s="137"/>
    </row>
    <row r="44" spans="1:5" ht="13.5" thickBot="1" x14ac:dyDescent="0.25">
      <c r="A44" s="84"/>
      <c r="B44" s="85"/>
      <c r="C44" s="138"/>
    </row>
    <row r="45" spans="1:5" s="205" customFormat="1" ht="16.5" customHeight="1" thickBot="1" x14ac:dyDescent="0.25">
      <c r="A45" s="716" t="s">
        <v>41</v>
      </c>
      <c r="B45" s="717"/>
      <c r="C45" s="717"/>
      <c r="D45" s="717"/>
      <c r="E45" s="718"/>
    </row>
    <row r="46" spans="1:5" s="207" customFormat="1" ht="12" customHeight="1" thickBot="1" x14ac:dyDescent="0.25">
      <c r="A46" s="74" t="s">
        <v>6</v>
      </c>
      <c r="B46" s="58" t="s">
        <v>319</v>
      </c>
      <c r="C46" s="109">
        <f>SUM(C47:C51)</f>
        <v>64238045</v>
      </c>
      <c r="D46" s="109">
        <f>SUM(D47:D51)</f>
        <v>68092821</v>
      </c>
      <c r="E46" s="136">
        <f>SUM(E47:E51)</f>
        <v>66855073</v>
      </c>
    </row>
    <row r="47" spans="1:5" ht="12" customHeight="1" x14ac:dyDescent="0.2">
      <c r="A47" s="199" t="s">
        <v>64</v>
      </c>
      <c r="B47" s="7" t="s">
        <v>35</v>
      </c>
      <c r="C47" s="261">
        <v>46925688</v>
      </c>
      <c r="D47" s="261">
        <v>52947121</v>
      </c>
      <c r="E47" s="259">
        <v>51709373</v>
      </c>
    </row>
    <row r="48" spans="1:5" ht="12" customHeight="1" x14ac:dyDescent="0.2">
      <c r="A48" s="199" t="s">
        <v>65</v>
      </c>
      <c r="B48" s="6" t="s">
        <v>124</v>
      </c>
      <c r="C48" s="48">
        <v>9376489</v>
      </c>
      <c r="D48" s="48">
        <v>10290263</v>
      </c>
      <c r="E48" s="257">
        <v>10290263</v>
      </c>
    </row>
    <row r="49" spans="1:5" ht="12" customHeight="1" x14ac:dyDescent="0.2">
      <c r="A49" s="199" t="s">
        <v>66</v>
      </c>
      <c r="B49" s="6" t="s">
        <v>92</v>
      </c>
      <c r="C49" s="48">
        <v>7935868</v>
      </c>
      <c r="D49" s="48">
        <v>4821059</v>
      </c>
      <c r="E49" s="257">
        <v>4821059</v>
      </c>
    </row>
    <row r="50" spans="1:5" ht="12" customHeight="1" x14ac:dyDescent="0.2">
      <c r="A50" s="199" t="s">
        <v>67</v>
      </c>
      <c r="B50" s="6" t="s">
        <v>125</v>
      </c>
      <c r="C50" s="48"/>
      <c r="D50" s="48"/>
      <c r="E50" s="257"/>
    </row>
    <row r="51" spans="1:5" ht="12" customHeight="1" thickBot="1" x14ac:dyDescent="0.25">
      <c r="A51" s="199" t="s">
        <v>99</v>
      </c>
      <c r="B51" s="6" t="s">
        <v>126</v>
      </c>
      <c r="C51" s="48"/>
      <c r="D51" s="48">
        <v>34378</v>
      </c>
      <c r="E51" s="257">
        <v>34378</v>
      </c>
    </row>
    <row r="52" spans="1:5" ht="12" customHeight="1" thickBot="1" x14ac:dyDescent="0.25">
      <c r="A52" s="74" t="s">
        <v>7</v>
      </c>
      <c r="B52" s="58" t="s">
        <v>320</v>
      </c>
      <c r="C52" s="109">
        <f>SUM(C53:C55)</f>
        <v>0</v>
      </c>
      <c r="D52" s="109">
        <f>SUM(D53:D55)</f>
        <v>327900</v>
      </c>
      <c r="E52" s="136">
        <f>SUM(E53:E55)</f>
        <v>327900</v>
      </c>
    </row>
    <row r="53" spans="1:5" s="207" customFormat="1" ht="12" customHeight="1" x14ac:dyDescent="0.2">
      <c r="A53" s="199" t="s">
        <v>70</v>
      </c>
      <c r="B53" s="7" t="s">
        <v>141</v>
      </c>
      <c r="C53" s="261"/>
      <c r="D53" s="261">
        <v>327900</v>
      </c>
      <c r="E53" s="259">
        <v>327900</v>
      </c>
    </row>
    <row r="54" spans="1:5" ht="12" customHeight="1" x14ac:dyDescent="0.2">
      <c r="A54" s="199" t="s">
        <v>71</v>
      </c>
      <c r="B54" s="6" t="s">
        <v>128</v>
      </c>
      <c r="C54" s="48"/>
      <c r="D54" s="48"/>
      <c r="E54" s="257"/>
    </row>
    <row r="55" spans="1:5" ht="12" customHeight="1" x14ac:dyDescent="0.2">
      <c r="A55" s="199" t="s">
        <v>72</v>
      </c>
      <c r="B55" s="6" t="s">
        <v>42</v>
      </c>
      <c r="C55" s="48"/>
      <c r="D55" s="48"/>
      <c r="E55" s="257"/>
    </row>
    <row r="56" spans="1:5" ht="12" customHeight="1" thickBot="1" x14ac:dyDescent="0.25">
      <c r="A56" s="199" t="s">
        <v>73</v>
      </c>
      <c r="B56" s="6" t="s">
        <v>408</v>
      </c>
      <c r="C56" s="48"/>
      <c r="D56" s="48"/>
      <c r="E56" s="257"/>
    </row>
    <row r="57" spans="1:5" ht="12" customHeight="1" thickBot="1" x14ac:dyDescent="0.25">
      <c r="A57" s="74" t="s">
        <v>8</v>
      </c>
      <c r="B57" s="58" t="s">
        <v>2</v>
      </c>
      <c r="C57" s="310"/>
      <c r="D57" s="310"/>
      <c r="E57" s="135"/>
    </row>
    <row r="58" spans="1:5" ht="15.2" customHeight="1" thickBot="1" x14ac:dyDescent="0.25">
      <c r="A58" s="74" t="s">
        <v>9</v>
      </c>
      <c r="B58" s="86" t="s">
        <v>409</v>
      </c>
      <c r="C58" s="311">
        <f>+C46+C52+C57</f>
        <v>64238045</v>
      </c>
      <c r="D58" s="311">
        <f>+D46+D52+D57</f>
        <v>68420721</v>
      </c>
      <c r="E58" s="139">
        <f>+E46+E52+E57</f>
        <v>67182973</v>
      </c>
    </row>
    <row r="59" spans="1:5" ht="13.5" thickBot="1" x14ac:dyDescent="0.25">
      <c r="C59" s="607">
        <f>C42-C58</f>
        <v>0</v>
      </c>
      <c r="D59" s="607">
        <f>D42-D58</f>
        <v>0</v>
      </c>
      <c r="E59" s="140"/>
    </row>
    <row r="60" spans="1:5" ht="15.2" customHeight="1" thickBot="1" x14ac:dyDescent="0.25">
      <c r="A60" s="313" t="s">
        <v>488</v>
      </c>
      <c r="B60" s="314"/>
      <c r="C60" s="306"/>
      <c r="D60" s="306"/>
      <c r="E60" s="305"/>
    </row>
    <row r="61" spans="1:5" ht="14.45" customHeight="1" thickBot="1" x14ac:dyDescent="0.25">
      <c r="A61" s="315" t="s">
        <v>489</v>
      </c>
      <c r="B61" s="316"/>
      <c r="C61" s="306"/>
      <c r="D61" s="306"/>
      <c r="E61" s="305"/>
    </row>
  </sheetData>
  <sheetProtection sheet="1"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topLeftCell="A46" zoomScale="120" zoomScaleNormal="120" workbookViewId="0">
      <selection activeCell="C47" sqref="C47:E51"/>
    </sheetView>
  </sheetViews>
  <sheetFormatPr defaultRowHeight="12.75" x14ac:dyDescent="0.2"/>
  <cols>
    <col min="1" max="1" width="13" style="87" customWidth="1"/>
    <col min="2" max="2" width="59" style="88" customWidth="1"/>
    <col min="3" max="5" width="15.83203125" style="88" customWidth="1"/>
    <col min="6" max="16384" width="9.33203125" style="88"/>
  </cols>
  <sheetData>
    <row r="1" spans="1:5" s="78" customFormat="1" ht="16.5" thickBot="1" x14ac:dyDescent="0.3">
      <c r="A1" s="370"/>
      <c r="B1" s="720" t="str">
        <f>CONCATENATE("6.2.1. melléklet ",Z_ALAPADATOK!A7," ",Z_ALAPADATOK!B7," ",Z_ALAPADATOK!C7," ",Z_ALAPADATOK!D7," ",Z_ALAPADATOK!E7," ",Z_ALAPADATOK!F7," ",Z_ALAPADATOK!G7," ",Z_ALAPADATOK!H7)</f>
        <v>6.2.1. melléklet a 6 / 2019. ( IV.25 ) önkormányzati rendelethez</v>
      </c>
      <c r="C1" s="721"/>
      <c r="D1" s="721"/>
      <c r="E1" s="721"/>
    </row>
    <row r="2" spans="1:5" s="203" customFormat="1" ht="24.75" thickBot="1" x14ac:dyDescent="0.25">
      <c r="A2" s="371" t="s">
        <v>455</v>
      </c>
      <c r="B2" s="722" t="str">
        <f>CONCATENATE('Z_6.2.sz.mell'!B2:D2)</f>
        <v>Polgármesteri /közös/ hivatal</v>
      </c>
      <c r="C2" s="723"/>
      <c r="D2" s="724"/>
      <c r="E2" s="372" t="s">
        <v>43</v>
      </c>
    </row>
    <row r="3" spans="1:5" s="203" customFormat="1" ht="24.75" thickBot="1" x14ac:dyDescent="0.25">
      <c r="A3" s="371" t="s">
        <v>137</v>
      </c>
      <c r="B3" s="722" t="s">
        <v>321</v>
      </c>
      <c r="C3" s="723"/>
      <c r="D3" s="724"/>
      <c r="E3" s="372" t="s">
        <v>43</v>
      </c>
    </row>
    <row r="4" spans="1:5" s="204" customFormat="1" ht="15.95" customHeight="1" thickBot="1" x14ac:dyDescent="0.3">
      <c r="A4" s="373"/>
      <c r="B4" s="373"/>
      <c r="C4" s="374"/>
      <c r="D4" s="375"/>
      <c r="E4" s="374" t="e">
        <f>'Z_6.2.sz.mell'!E4</f>
        <v>#REF!</v>
      </c>
    </row>
    <row r="5" spans="1:5" ht="24.75" thickBot="1" x14ac:dyDescent="0.25">
      <c r="A5" s="376" t="s">
        <v>138</v>
      </c>
      <c r="B5" s="377" t="s">
        <v>487</v>
      </c>
      <c r="C5" s="377" t="s">
        <v>451</v>
      </c>
      <c r="D5" s="378" t="s">
        <v>452</v>
      </c>
      <c r="E5" s="359" t="e">
        <f>CONCATENATE('Z_6.2.sz.mell'!E5)</f>
        <v>#REF!</v>
      </c>
    </row>
    <row r="6" spans="1:5" s="205" customFormat="1" ht="12.95" customHeight="1" thickBot="1" x14ac:dyDescent="0.25">
      <c r="A6" s="409" t="s">
        <v>383</v>
      </c>
      <c r="B6" s="410" t="s">
        <v>384</v>
      </c>
      <c r="C6" s="410" t="s">
        <v>385</v>
      </c>
      <c r="D6" s="411" t="s">
        <v>387</v>
      </c>
      <c r="E6" s="412" t="s">
        <v>386</v>
      </c>
    </row>
    <row r="7" spans="1:5" s="205" customFormat="1" ht="15.95" customHeight="1" thickBot="1" x14ac:dyDescent="0.25">
      <c r="A7" s="716" t="s">
        <v>40</v>
      </c>
      <c r="B7" s="717"/>
      <c r="C7" s="717"/>
      <c r="D7" s="717"/>
      <c r="E7" s="718"/>
    </row>
    <row r="8" spans="1:5" s="141" customFormat="1" ht="12" customHeight="1" thickBot="1" x14ac:dyDescent="0.25">
      <c r="A8" s="71" t="s">
        <v>6</v>
      </c>
      <c r="B8" s="79" t="s">
        <v>404</v>
      </c>
      <c r="C8" s="109">
        <f>SUM(C9:C19)</f>
        <v>0</v>
      </c>
      <c r="D8" s="109">
        <f>SUM(D9:D19)</f>
        <v>0</v>
      </c>
      <c r="E8" s="136">
        <f>SUM(E9:E19)</f>
        <v>0</v>
      </c>
    </row>
    <row r="9" spans="1:5" s="141" customFormat="1" ht="12" customHeight="1" x14ac:dyDescent="0.2">
      <c r="A9" s="198" t="s">
        <v>64</v>
      </c>
      <c r="B9" s="8" t="s">
        <v>183</v>
      </c>
      <c r="C9" s="262"/>
      <c r="D9" s="262"/>
      <c r="E9" s="308"/>
    </row>
    <row r="10" spans="1:5" s="141" customFormat="1" ht="12" customHeight="1" x14ac:dyDescent="0.2">
      <c r="A10" s="199" t="s">
        <v>65</v>
      </c>
      <c r="B10" s="6" t="s">
        <v>184</v>
      </c>
      <c r="C10" s="106"/>
      <c r="D10" s="106"/>
      <c r="E10" s="254"/>
    </row>
    <row r="11" spans="1:5" s="141" customFormat="1" ht="12" customHeight="1" x14ac:dyDescent="0.2">
      <c r="A11" s="199" t="s">
        <v>66</v>
      </c>
      <c r="B11" s="6" t="s">
        <v>185</v>
      </c>
      <c r="C11" s="106"/>
      <c r="D11" s="106"/>
      <c r="E11" s="254"/>
    </row>
    <row r="12" spans="1:5" s="141" customFormat="1" ht="12" customHeight="1" x14ac:dyDescent="0.2">
      <c r="A12" s="199" t="s">
        <v>67</v>
      </c>
      <c r="B12" s="6" t="s">
        <v>186</v>
      </c>
      <c r="C12" s="106"/>
      <c r="D12" s="106"/>
      <c r="E12" s="254"/>
    </row>
    <row r="13" spans="1:5" s="141" customFormat="1" ht="12" customHeight="1" x14ac:dyDescent="0.2">
      <c r="A13" s="199" t="s">
        <v>99</v>
      </c>
      <c r="B13" s="6" t="s">
        <v>187</v>
      </c>
      <c r="C13" s="106"/>
      <c r="D13" s="106"/>
      <c r="E13" s="254"/>
    </row>
    <row r="14" spans="1:5" s="141" customFormat="1" ht="12" customHeight="1" x14ac:dyDescent="0.2">
      <c r="A14" s="199" t="s">
        <v>68</v>
      </c>
      <c r="B14" s="6" t="s">
        <v>304</v>
      </c>
      <c r="C14" s="106"/>
      <c r="D14" s="106"/>
      <c r="E14" s="254"/>
    </row>
    <row r="15" spans="1:5" s="141" customFormat="1" ht="12" customHeight="1" x14ac:dyDescent="0.2">
      <c r="A15" s="199" t="s">
        <v>69</v>
      </c>
      <c r="B15" s="5" t="s">
        <v>305</v>
      </c>
      <c r="C15" s="106"/>
      <c r="D15" s="106"/>
      <c r="E15" s="254"/>
    </row>
    <row r="16" spans="1:5" s="141" customFormat="1" ht="12" customHeight="1" x14ac:dyDescent="0.2">
      <c r="A16" s="199" t="s">
        <v>77</v>
      </c>
      <c r="B16" s="6" t="s">
        <v>190</v>
      </c>
      <c r="C16" s="260"/>
      <c r="D16" s="260"/>
      <c r="E16" s="258"/>
    </row>
    <row r="17" spans="1:5" s="206" customFormat="1" ht="12" customHeight="1" x14ac:dyDescent="0.2">
      <c r="A17" s="199" t="s">
        <v>78</v>
      </c>
      <c r="B17" s="6" t="s">
        <v>191</v>
      </c>
      <c r="C17" s="106"/>
      <c r="D17" s="106"/>
      <c r="E17" s="254"/>
    </row>
    <row r="18" spans="1:5" s="206" customFormat="1" ht="12" customHeight="1" x14ac:dyDescent="0.2">
      <c r="A18" s="199" t="s">
        <v>79</v>
      </c>
      <c r="B18" s="6" t="s">
        <v>335</v>
      </c>
      <c r="C18" s="108"/>
      <c r="D18" s="108"/>
      <c r="E18" s="255"/>
    </row>
    <row r="19" spans="1:5" s="206" customFormat="1" ht="12" customHeight="1" thickBot="1" x14ac:dyDescent="0.25">
      <c r="A19" s="199" t="s">
        <v>80</v>
      </c>
      <c r="B19" s="5" t="s">
        <v>192</v>
      </c>
      <c r="C19" s="108"/>
      <c r="D19" s="108"/>
      <c r="E19" s="255"/>
    </row>
    <row r="20" spans="1:5" s="141" customFormat="1" ht="12" customHeight="1" thickBot="1" x14ac:dyDescent="0.25">
      <c r="A20" s="71" t="s">
        <v>7</v>
      </c>
      <c r="B20" s="79" t="s">
        <v>306</v>
      </c>
      <c r="C20" s="109">
        <f>SUM(C21:C23)</f>
        <v>0</v>
      </c>
      <c r="D20" s="109">
        <f>SUM(D21:D23)</f>
        <v>4046021</v>
      </c>
      <c r="E20" s="136">
        <f>SUM(E21:E23)</f>
        <v>4673557</v>
      </c>
    </row>
    <row r="21" spans="1:5" s="206" customFormat="1" ht="12" customHeight="1" x14ac:dyDescent="0.2">
      <c r="A21" s="199" t="s">
        <v>70</v>
      </c>
      <c r="B21" s="7" t="s">
        <v>166</v>
      </c>
      <c r="C21" s="106"/>
      <c r="D21" s="106">
        <v>4046021</v>
      </c>
      <c r="E21" s="254">
        <v>4673557</v>
      </c>
    </row>
    <row r="22" spans="1:5" s="206" customFormat="1" ht="12" customHeight="1" x14ac:dyDescent="0.2">
      <c r="A22" s="199" t="s">
        <v>71</v>
      </c>
      <c r="B22" s="6" t="s">
        <v>307</v>
      </c>
      <c r="C22" s="106"/>
      <c r="D22" s="106"/>
      <c r="E22" s="254"/>
    </row>
    <row r="23" spans="1:5" s="206" customFormat="1" ht="12" customHeight="1" x14ac:dyDescent="0.2">
      <c r="A23" s="199" t="s">
        <v>72</v>
      </c>
      <c r="B23" s="6" t="s">
        <v>308</v>
      </c>
      <c r="C23" s="106"/>
      <c r="D23" s="106"/>
      <c r="E23" s="254"/>
    </row>
    <row r="24" spans="1:5" s="206" customFormat="1" ht="12" customHeight="1" thickBot="1" x14ac:dyDescent="0.25">
      <c r="A24" s="199" t="s">
        <v>73</v>
      </c>
      <c r="B24" s="6" t="s">
        <v>405</v>
      </c>
      <c r="C24" s="106"/>
      <c r="D24" s="106"/>
      <c r="E24" s="254"/>
    </row>
    <row r="25" spans="1:5" s="206" customFormat="1" ht="12" customHeight="1" thickBot="1" x14ac:dyDescent="0.25">
      <c r="A25" s="74" t="s">
        <v>8</v>
      </c>
      <c r="B25" s="58" t="s">
        <v>115</v>
      </c>
      <c r="C25" s="310"/>
      <c r="D25" s="310"/>
      <c r="E25" s="135"/>
    </row>
    <row r="26" spans="1:5" s="206" customFormat="1" ht="12" customHeight="1" thickBot="1" x14ac:dyDescent="0.25">
      <c r="A26" s="74" t="s">
        <v>9</v>
      </c>
      <c r="B26" s="58" t="s">
        <v>406</v>
      </c>
      <c r="C26" s="109">
        <f>+C27+C28+C29</f>
        <v>0</v>
      </c>
      <c r="D26" s="109">
        <f>+D27+D28+D29</f>
        <v>0</v>
      </c>
      <c r="E26" s="136">
        <f>+E27+E28+E29</f>
        <v>0</v>
      </c>
    </row>
    <row r="27" spans="1:5" s="206" customFormat="1" ht="12" customHeight="1" x14ac:dyDescent="0.2">
      <c r="A27" s="200" t="s">
        <v>175</v>
      </c>
      <c r="B27" s="201" t="s">
        <v>171</v>
      </c>
      <c r="C27" s="261"/>
      <c r="D27" s="261"/>
      <c r="E27" s="259"/>
    </row>
    <row r="28" spans="1:5" s="206" customFormat="1" ht="12" customHeight="1" x14ac:dyDescent="0.2">
      <c r="A28" s="200" t="s">
        <v>176</v>
      </c>
      <c r="B28" s="201" t="s">
        <v>307</v>
      </c>
      <c r="C28" s="106"/>
      <c r="D28" s="106"/>
      <c r="E28" s="254"/>
    </row>
    <row r="29" spans="1:5" s="206" customFormat="1" ht="12" customHeight="1" x14ac:dyDescent="0.2">
      <c r="A29" s="200" t="s">
        <v>177</v>
      </c>
      <c r="B29" s="202" t="s">
        <v>309</v>
      </c>
      <c r="C29" s="106"/>
      <c r="D29" s="106"/>
      <c r="E29" s="254"/>
    </row>
    <row r="30" spans="1:5" s="206" customFormat="1" ht="12" customHeight="1" thickBot="1" x14ac:dyDescent="0.25">
      <c r="A30" s="199" t="s">
        <v>178</v>
      </c>
      <c r="B30" s="61" t="s">
        <v>407</v>
      </c>
      <c r="C30" s="49"/>
      <c r="D30" s="49"/>
      <c r="E30" s="309"/>
    </row>
    <row r="31" spans="1:5" s="206" customFormat="1" ht="12" customHeight="1" thickBot="1" x14ac:dyDescent="0.25">
      <c r="A31" s="74" t="s">
        <v>10</v>
      </c>
      <c r="B31" s="58" t="s">
        <v>310</v>
      </c>
      <c r="C31" s="109">
        <f>+C32+C33+C34</f>
        <v>0</v>
      </c>
      <c r="D31" s="109">
        <f>+D32+D33+D34</f>
        <v>0</v>
      </c>
      <c r="E31" s="136">
        <f>+E32+E33+E34</f>
        <v>0</v>
      </c>
    </row>
    <row r="32" spans="1:5" s="206" customFormat="1" ht="12" customHeight="1" x14ac:dyDescent="0.2">
      <c r="A32" s="200" t="s">
        <v>57</v>
      </c>
      <c r="B32" s="201" t="s">
        <v>197</v>
      </c>
      <c r="C32" s="261"/>
      <c r="D32" s="261"/>
      <c r="E32" s="259"/>
    </row>
    <row r="33" spans="1:5" s="206" customFormat="1" ht="12" customHeight="1" x14ac:dyDescent="0.2">
      <c r="A33" s="200" t="s">
        <v>58</v>
      </c>
      <c r="B33" s="202" t="s">
        <v>198</v>
      </c>
      <c r="C33" s="110"/>
      <c r="D33" s="110"/>
      <c r="E33" s="256"/>
    </row>
    <row r="34" spans="1:5" s="206" customFormat="1" ht="12" customHeight="1" thickBot="1" x14ac:dyDescent="0.25">
      <c r="A34" s="199" t="s">
        <v>59</v>
      </c>
      <c r="B34" s="61" t="s">
        <v>199</v>
      </c>
      <c r="C34" s="49"/>
      <c r="D34" s="49"/>
      <c r="E34" s="309"/>
    </row>
    <row r="35" spans="1:5" s="141" customFormat="1" ht="12" customHeight="1" thickBot="1" x14ac:dyDescent="0.25">
      <c r="A35" s="74" t="s">
        <v>11</v>
      </c>
      <c r="B35" s="58" t="s">
        <v>282</v>
      </c>
      <c r="C35" s="310"/>
      <c r="D35" s="310"/>
      <c r="E35" s="135"/>
    </row>
    <row r="36" spans="1:5" s="141" customFormat="1" ht="12" customHeight="1" thickBot="1" x14ac:dyDescent="0.25">
      <c r="A36" s="74" t="s">
        <v>12</v>
      </c>
      <c r="B36" s="58" t="s">
        <v>311</v>
      </c>
      <c r="C36" s="310"/>
      <c r="D36" s="310"/>
      <c r="E36" s="135"/>
    </row>
    <row r="37" spans="1:5" s="141" customFormat="1" ht="12" customHeight="1" thickBot="1" x14ac:dyDescent="0.25">
      <c r="A37" s="71" t="s">
        <v>13</v>
      </c>
      <c r="B37" s="58" t="s">
        <v>312</v>
      </c>
      <c r="C37" s="109">
        <f>+C8+C20+C25+C26+C31+C35+C36</f>
        <v>0</v>
      </c>
      <c r="D37" s="109">
        <f>+D8+D20+D25+D26+D31+D35+D36</f>
        <v>4046021</v>
      </c>
      <c r="E37" s="136">
        <f>+E8+E20+E25+E26+E31+E35+E36</f>
        <v>4673557</v>
      </c>
    </row>
    <row r="38" spans="1:5" s="141" customFormat="1" ht="12" customHeight="1" thickBot="1" x14ac:dyDescent="0.25">
      <c r="A38" s="80" t="s">
        <v>14</v>
      </c>
      <c r="B38" s="58" t="s">
        <v>313</v>
      </c>
      <c r="C38" s="109">
        <f>+C39+C40+C41</f>
        <v>63628045</v>
      </c>
      <c r="D38" s="109">
        <f>+D39+D40+D41</f>
        <v>63764700</v>
      </c>
      <c r="E38" s="136">
        <f>+E39+E40+E41</f>
        <v>62790092</v>
      </c>
    </row>
    <row r="39" spans="1:5" s="141" customFormat="1" ht="12" customHeight="1" x14ac:dyDescent="0.2">
      <c r="A39" s="200" t="s">
        <v>314</v>
      </c>
      <c r="B39" s="201" t="s">
        <v>148</v>
      </c>
      <c r="C39" s="261">
        <v>983396</v>
      </c>
      <c r="D39" s="261">
        <v>983396</v>
      </c>
      <c r="E39" s="259">
        <v>983396</v>
      </c>
    </row>
    <row r="40" spans="1:5" s="141" customFormat="1" ht="12" customHeight="1" x14ac:dyDescent="0.2">
      <c r="A40" s="200" t="s">
        <v>315</v>
      </c>
      <c r="B40" s="202" t="s">
        <v>0</v>
      </c>
      <c r="C40" s="110"/>
      <c r="D40" s="110"/>
      <c r="E40" s="256"/>
    </row>
    <row r="41" spans="1:5" s="206" customFormat="1" ht="12" customHeight="1" thickBot="1" x14ac:dyDescent="0.25">
      <c r="A41" s="199" t="s">
        <v>316</v>
      </c>
      <c r="B41" s="61" t="s">
        <v>317</v>
      </c>
      <c r="C41" s="49">
        <v>62644649</v>
      </c>
      <c r="D41" s="49">
        <v>62781304</v>
      </c>
      <c r="E41" s="309">
        <v>61806696</v>
      </c>
    </row>
    <row r="42" spans="1:5" s="206" customFormat="1" ht="15.2" customHeight="1" thickBot="1" x14ac:dyDescent="0.25">
      <c r="A42" s="80" t="s">
        <v>15</v>
      </c>
      <c r="B42" s="81" t="s">
        <v>318</v>
      </c>
      <c r="C42" s="311">
        <f>+C37+C38</f>
        <v>63628045</v>
      </c>
      <c r="D42" s="311">
        <f>+D37+D38</f>
        <v>67810721</v>
      </c>
      <c r="E42" s="139">
        <f>+E37+E38</f>
        <v>67463649</v>
      </c>
    </row>
    <row r="43" spans="1:5" s="206" customFormat="1" ht="15.2" customHeight="1" x14ac:dyDescent="0.2">
      <c r="A43" s="82"/>
      <c r="B43" s="83"/>
      <c r="C43" s="137"/>
    </row>
    <row r="44" spans="1:5" ht="13.5" thickBot="1" x14ac:dyDescent="0.25">
      <c r="A44" s="84"/>
      <c r="B44" s="85"/>
      <c r="C44" s="138"/>
    </row>
    <row r="45" spans="1:5" s="205" customFormat="1" ht="16.5" customHeight="1" thickBot="1" x14ac:dyDescent="0.25">
      <c r="A45" s="716" t="s">
        <v>41</v>
      </c>
      <c r="B45" s="717"/>
      <c r="C45" s="717"/>
      <c r="D45" s="717"/>
      <c r="E45" s="718"/>
    </row>
    <row r="46" spans="1:5" s="207" customFormat="1" ht="12" customHeight="1" thickBot="1" x14ac:dyDescent="0.25">
      <c r="A46" s="74" t="s">
        <v>6</v>
      </c>
      <c r="B46" s="58" t="s">
        <v>319</v>
      </c>
      <c r="C46" s="109">
        <f>SUM(C47:C51)</f>
        <v>64238045</v>
      </c>
      <c r="D46" s="109">
        <f>SUM(D47:D51)</f>
        <v>68092821</v>
      </c>
      <c r="E46" s="136">
        <f>SUM(E47:E51)</f>
        <v>66855073</v>
      </c>
    </row>
    <row r="47" spans="1:5" ht="12" customHeight="1" x14ac:dyDescent="0.2">
      <c r="A47" s="199" t="s">
        <v>64</v>
      </c>
      <c r="B47" s="7" t="s">
        <v>35</v>
      </c>
      <c r="C47" s="261">
        <v>46925688</v>
      </c>
      <c r="D47" s="261">
        <v>52947121</v>
      </c>
      <c r="E47" s="259">
        <v>51709373</v>
      </c>
    </row>
    <row r="48" spans="1:5" ht="12" customHeight="1" x14ac:dyDescent="0.2">
      <c r="A48" s="199" t="s">
        <v>65</v>
      </c>
      <c r="B48" s="6" t="s">
        <v>124</v>
      </c>
      <c r="C48" s="48">
        <v>9376489</v>
      </c>
      <c r="D48" s="48">
        <v>10290263</v>
      </c>
      <c r="E48" s="257">
        <v>10290263</v>
      </c>
    </row>
    <row r="49" spans="1:5" ht="12" customHeight="1" x14ac:dyDescent="0.2">
      <c r="A49" s="199" t="s">
        <v>66</v>
      </c>
      <c r="B49" s="6" t="s">
        <v>92</v>
      </c>
      <c r="C49" s="48">
        <v>7935868</v>
      </c>
      <c r="D49" s="48">
        <v>4821059</v>
      </c>
      <c r="E49" s="257">
        <v>4821059</v>
      </c>
    </row>
    <row r="50" spans="1:5" ht="12" customHeight="1" x14ac:dyDescent="0.2">
      <c r="A50" s="199" t="s">
        <v>67</v>
      </c>
      <c r="B50" s="6" t="s">
        <v>125</v>
      </c>
      <c r="C50" s="48"/>
      <c r="D50" s="48"/>
      <c r="E50" s="257"/>
    </row>
    <row r="51" spans="1:5" ht="12" customHeight="1" thickBot="1" x14ac:dyDescent="0.25">
      <c r="A51" s="199" t="s">
        <v>99</v>
      </c>
      <c r="B51" s="6" t="s">
        <v>126</v>
      </c>
      <c r="C51" s="48"/>
      <c r="D51" s="48">
        <v>34378</v>
      </c>
      <c r="E51" s="257">
        <v>34378</v>
      </c>
    </row>
    <row r="52" spans="1:5" ht="12" customHeight="1" thickBot="1" x14ac:dyDescent="0.25">
      <c r="A52" s="74" t="s">
        <v>7</v>
      </c>
      <c r="B52" s="58" t="s">
        <v>320</v>
      </c>
      <c r="C52" s="109">
        <f>SUM(C53:C55)</f>
        <v>0</v>
      </c>
      <c r="D52" s="109">
        <f>SUM(D53:D55)</f>
        <v>0</v>
      </c>
      <c r="E52" s="136">
        <f>SUM(E53:E55)</f>
        <v>0</v>
      </c>
    </row>
    <row r="53" spans="1:5" s="207" customFormat="1" ht="12" customHeight="1" x14ac:dyDescent="0.2">
      <c r="A53" s="199" t="s">
        <v>70</v>
      </c>
      <c r="B53" s="7" t="s">
        <v>141</v>
      </c>
      <c r="C53" s="261"/>
      <c r="D53" s="261"/>
      <c r="E53" s="259"/>
    </row>
    <row r="54" spans="1:5" ht="12" customHeight="1" x14ac:dyDescent="0.2">
      <c r="A54" s="199" t="s">
        <v>71</v>
      </c>
      <c r="B54" s="6" t="s">
        <v>128</v>
      </c>
      <c r="C54" s="48"/>
      <c r="D54" s="48"/>
      <c r="E54" s="257"/>
    </row>
    <row r="55" spans="1:5" ht="12" customHeight="1" x14ac:dyDescent="0.2">
      <c r="A55" s="199" t="s">
        <v>72</v>
      </c>
      <c r="B55" s="6" t="s">
        <v>42</v>
      </c>
      <c r="C55" s="48"/>
      <c r="D55" s="48"/>
      <c r="E55" s="257"/>
    </row>
    <row r="56" spans="1:5" ht="12" customHeight="1" thickBot="1" x14ac:dyDescent="0.25">
      <c r="A56" s="199" t="s">
        <v>73</v>
      </c>
      <c r="B56" s="6" t="s">
        <v>408</v>
      </c>
      <c r="C56" s="48"/>
      <c r="D56" s="48"/>
      <c r="E56" s="257"/>
    </row>
    <row r="57" spans="1:5" ht="12" customHeight="1" thickBot="1" x14ac:dyDescent="0.25">
      <c r="A57" s="74" t="s">
        <v>8</v>
      </c>
      <c r="B57" s="58" t="s">
        <v>2</v>
      </c>
      <c r="C57" s="310"/>
      <c r="D57" s="310"/>
      <c r="E57" s="135"/>
    </row>
    <row r="58" spans="1:5" ht="15.2" customHeight="1" thickBot="1" x14ac:dyDescent="0.25">
      <c r="A58" s="74" t="s">
        <v>9</v>
      </c>
      <c r="B58" s="86" t="s">
        <v>409</v>
      </c>
      <c r="C58" s="311">
        <f>+C46+C52+C57</f>
        <v>64238045</v>
      </c>
      <c r="D58" s="311">
        <f>+D46+D52+D57</f>
        <v>68092821</v>
      </c>
      <c r="E58" s="139">
        <f>+E46+E52+E57</f>
        <v>66855073</v>
      </c>
    </row>
    <row r="59" spans="1:5" ht="13.5" thickBot="1" x14ac:dyDescent="0.25">
      <c r="C59" s="607">
        <f>C42-C58</f>
        <v>-610000</v>
      </c>
      <c r="D59" s="607">
        <f>D42-D58</f>
        <v>-282100</v>
      </c>
      <c r="E59" s="140"/>
    </row>
    <row r="60" spans="1:5" ht="15.2" customHeight="1" thickBot="1" x14ac:dyDescent="0.25">
      <c r="A60" s="313" t="s">
        <v>488</v>
      </c>
      <c r="B60" s="314"/>
      <c r="C60" s="306"/>
      <c r="D60" s="306"/>
      <c r="E60" s="305"/>
    </row>
    <row r="61" spans="1:5" ht="14.45" customHeight="1" thickBot="1" x14ac:dyDescent="0.25">
      <c r="A61" s="315" t="s">
        <v>489</v>
      </c>
      <c r="B61" s="316"/>
      <c r="C61" s="306"/>
      <c r="D61" s="306"/>
      <c r="E61" s="30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I56" sqref="I56"/>
    </sheetView>
  </sheetViews>
  <sheetFormatPr defaultRowHeight="12.75" x14ac:dyDescent="0.2"/>
  <cols>
    <col min="1" max="1" width="13" style="87" customWidth="1"/>
    <col min="2" max="2" width="59" style="88" customWidth="1"/>
    <col min="3" max="5" width="15.83203125" style="88" customWidth="1"/>
    <col min="6" max="16384" width="9.33203125" style="88"/>
  </cols>
  <sheetData>
    <row r="1" spans="1:5" s="78" customFormat="1" ht="16.5" thickBot="1" x14ac:dyDescent="0.3">
      <c r="A1" s="370"/>
      <c r="B1" s="720" t="str">
        <f>CONCATENATE("6.2.2. melléklet ",Z_ALAPADATOK!A7," ",Z_ALAPADATOK!B7," ",Z_ALAPADATOK!C7," ",Z_ALAPADATOK!D7," ",Z_ALAPADATOK!E7," ",Z_ALAPADATOK!F7," ",Z_ALAPADATOK!G7," ",Z_ALAPADATOK!H7)</f>
        <v>6.2.2. melléklet a 6 / 2019. ( IV.25 ) önkormányzati rendelethez</v>
      </c>
      <c r="C1" s="721"/>
      <c r="D1" s="721"/>
      <c r="E1" s="721"/>
    </row>
    <row r="2" spans="1:5" s="203" customFormat="1" ht="24.75" thickBot="1" x14ac:dyDescent="0.25">
      <c r="A2" s="371" t="s">
        <v>455</v>
      </c>
      <c r="B2" s="722" t="str">
        <f>CONCATENATE('Z_6.2.1.sz.mell'!B2:D2)</f>
        <v>Polgármesteri /közös/ hivatal</v>
      </c>
      <c r="C2" s="723"/>
      <c r="D2" s="724"/>
      <c r="E2" s="372" t="s">
        <v>43</v>
      </c>
    </row>
    <row r="3" spans="1:5" s="203" customFormat="1" ht="24.75" thickBot="1" x14ac:dyDescent="0.25">
      <c r="A3" s="371" t="s">
        <v>137</v>
      </c>
      <c r="B3" s="722" t="s">
        <v>322</v>
      </c>
      <c r="C3" s="723"/>
      <c r="D3" s="724"/>
      <c r="E3" s="372" t="s">
        <v>44</v>
      </c>
    </row>
    <row r="4" spans="1:5" s="204" customFormat="1" ht="15.95" customHeight="1" thickBot="1" x14ac:dyDescent="0.3">
      <c r="A4" s="373"/>
      <c r="B4" s="373"/>
      <c r="C4" s="374"/>
      <c r="D4" s="375"/>
      <c r="E4" s="374" t="e">
        <f>'Z_6.2.1.sz.mell'!E4</f>
        <v>#REF!</v>
      </c>
    </row>
    <row r="5" spans="1:5" ht="24.75" thickBot="1" x14ac:dyDescent="0.25">
      <c r="A5" s="376" t="s">
        <v>138</v>
      </c>
      <c r="B5" s="377" t="s">
        <v>487</v>
      </c>
      <c r="C5" s="377" t="s">
        <v>451</v>
      </c>
      <c r="D5" s="378" t="s">
        <v>452</v>
      </c>
      <c r="E5" s="359" t="e">
        <f>CONCATENATE('Z_6.2.1.sz.mell'!E5)</f>
        <v>#REF!</v>
      </c>
    </row>
    <row r="6" spans="1:5" s="205" customFormat="1" ht="12.95" customHeight="1" thickBot="1" x14ac:dyDescent="0.25">
      <c r="A6" s="409" t="s">
        <v>383</v>
      </c>
      <c r="B6" s="410" t="s">
        <v>384</v>
      </c>
      <c r="C6" s="410" t="s">
        <v>385</v>
      </c>
      <c r="D6" s="411" t="s">
        <v>387</v>
      </c>
      <c r="E6" s="412" t="s">
        <v>386</v>
      </c>
    </row>
    <row r="7" spans="1:5" s="205" customFormat="1" ht="15.95" customHeight="1" thickBot="1" x14ac:dyDescent="0.25">
      <c r="A7" s="716" t="s">
        <v>40</v>
      </c>
      <c r="B7" s="717"/>
      <c r="C7" s="717"/>
      <c r="D7" s="717"/>
      <c r="E7" s="718"/>
    </row>
    <row r="8" spans="1:5" s="141" customFormat="1" ht="12" customHeight="1" thickBot="1" x14ac:dyDescent="0.25">
      <c r="A8" s="71" t="s">
        <v>6</v>
      </c>
      <c r="B8" s="79" t="s">
        <v>404</v>
      </c>
      <c r="C8" s="109">
        <f>SUM(C9:C19)</f>
        <v>610000</v>
      </c>
      <c r="D8" s="109">
        <f>SUM(D9:D19)</f>
        <v>610000</v>
      </c>
      <c r="E8" s="136">
        <f>SUM(E9:E19)</f>
        <v>563922</v>
      </c>
    </row>
    <row r="9" spans="1:5" s="141" customFormat="1" ht="12" customHeight="1" x14ac:dyDescent="0.2">
      <c r="A9" s="198" t="s">
        <v>64</v>
      </c>
      <c r="B9" s="8" t="s">
        <v>183</v>
      </c>
      <c r="C9" s="262"/>
      <c r="D9" s="262"/>
      <c r="E9" s="308"/>
    </row>
    <row r="10" spans="1:5" s="141" customFormat="1" ht="12" customHeight="1" x14ac:dyDescent="0.2">
      <c r="A10" s="199" t="s">
        <v>65</v>
      </c>
      <c r="B10" s="6" t="s">
        <v>184</v>
      </c>
      <c r="C10" s="106">
        <v>600000</v>
      </c>
      <c r="D10" s="106">
        <v>600000</v>
      </c>
      <c r="E10" s="254">
        <v>556000</v>
      </c>
    </row>
    <row r="11" spans="1:5" s="141" customFormat="1" ht="12" customHeight="1" x14ac:dyDescent="0.2">
      <c r="A11" s="199" t="s">
        <v>66</v>
      </c>
      <c r="B11" s="6" t="s">
        <v>185</v>
      </c>
      <c r="C11" s="106"/>
      <c r="D11" s="106"/>
      <c r="E11" s="254"/>
    </row>
    <row r="12" spans="1:5" s="141" customFormat="1" ht="12" customHeight="1" x14ac:dyDescent="0.2">
      <c r="A12" s="199" t="s">
        <v>67</v>
      </c>
      <c r="B12" s="6" t="s">
        <v>186</v>
      </c>
      <c r="C12" s="106"/>
      <c r="D12" s="106"/>
      <c r="E12" s="254"/>
    </row>
    <row r="13" spans="1:5" s="141" customFormat="1" ht="12" customHeight="1" x14ac:dyDescent="0.2">
      <c r="A13" s="199" t="s">
        <v>99</v>
      </c>
      <c r="B13" s="6" t="s">
        <v>187</v>
      </c>
      <c r="C13" s="106"/>
      <c r="D13" s="106"/>
      <c r="E13" s="254"/>
    </row>
    <row r="14" spans="1:5" s="141" customFormat="1" ht="12" customHeight="1" x14ac:dyDescent="0.2">
      <c r="A14" s="199" t="s">
        <v>68</v>
      </c>
      <c r="B14" s="6" t="s">
        <v>304</v>
      </c>
      <c r="C14" s="106"/>
      <c r="D14" s="106"/>
      <c r="E14" s="254"/>
    </row>
    <row r="15" spans="1:5" s="141" customFormat="1" ht="12" customHeight="1" x14ac:dyDescent="0.2">
      <c r="A15" s="199" t="s">
        <v>69</v>
      </c>
      <c r="B15" s="5" t="s">
        <v>305</v>
      </c>
      <c r="C15" s="106"/>
      <c r="D15" s="106"/>
      <c r="E15" s="254"/>
    </row>
    <row r="16" spans="1:5" s="141" customFormat="1" ht="12" customHeight="1" x14ac:dyDescent="0.2">
      <c r="A16" s="199" t="s">
        <v>77</v>
      </c>
      <c r="B16" s="6" t="s">
        <v>190</v>
      </c>
      <c r="C16" s="260">
        <v>10000</v>
      </c>
      <c r="D16" s="260">
        <v>10000</v>
      </c>
      <c r="E16" s="258">
        <v>7921</v>
      </c>
    </row>
    <row r="17" spans="1:5" s="206" customFormat="1" ht="12" customHeight="1" x14ac:dyDescent="0.2">
      <c r="A17" s="199" t="s">
        <v>78</v>
      </c>
      <c r="B17" s="6" t="s">
        <v>191</v>
      </c>
      <c r="C17" s="106"/>
      <c r="D17" s="106"/>
      <c r="E17" s="254">
        <v>1</v>
      </c>
    </row>
    <row r="18" spans="1:5" s="206" customFormat="1" ht="12" customHeight="1" x14ac:dyDescent="0.2">
      <c r="A18" s="199" t="s">
        <v>79</v>
      </c>
      <c r="B18" s="6" t="s">
        <v>335</v>
      </c>
      <c r="C18" s="108"/>
      <c r="D18" s="108"/>
      <c r="E18" s="255"/>
    </row>
    <row r="19" spans="1:5" s="206" customFormat="1" ht="12" customHeight="1" thickBot="1" x14ac:dyDescent="0.25">
      <c r="A19" s="199" t="s">
        <v>80</v>
      </c>
      <c r="B19" s="5" t="s">
        <v>192</v>
      </c>
      <c r="C19" s="108"/>
      <c r="D19" s="108"/>
      <c r="E19" s="255"/>
    </row>
    <row r="20" spans="1:5" s="141" customFormat="1" ht="12" customHeight="1" thickBot="1" x14ac:dyDescent="0.25">
      <c r="A20" s="71" t="s">
        <v>7</v>
      </c>
      <c r="B20" s="79" t="s">
        <v>306</v>
      </c>
      <c r="C20" s="109">
        <f>SUM(C21:C23)</f>
        <v>0</v>
      </c>
      <c r="D20" s="109">
        <f>SUM(D21:D23)</f>
        <v>0</v>
      </c>
      <c r="E20" s="136">
        <f>SUM(E21:E23)</f>
        <v>0</v>
      </c>
    </row>
    <row r="21" spans="1:5" s="206" customFormat="1" ht="12" customHeight="1" x14ac:dyDescent="0.2">
      <c r="A21" s="199" t="s">
        <v>70</v>
      </c>
      <c r="B21" s="7" t="s">
        <v>166</v>
      </c>
      <c r="C21" s="106"/>
      <c r="D21" s="106"/>
      <c r="E21" s="254"/>
    </row>
    <row r="22" spans="1:5" s="206" customFormat="1" ht="12" customHeight="1" x14ac:dyDescent="0.2">
      <c r="A22" s="199" t="s">
        <v>71</v>
      </c>
      <c r="B22" s="6" t="s">
        <v>307</v>
      </c>
      <c r="C22" s="106"/>
      <c r="D22" s="106"/>
      <c r="E22" s="254"/>
    </row>
    <row r="23" spans="1:5" s="206" customFormat="1" ht="12" customHeight="1" x14ac:dyDescent="0.2">
      <c r="A23" s="199" t="s">
        <v>72</v>
      </c>
      <c r="B23" s="6" t="s">
        <v>308</v>
      </c>
      <c r="C23" s="106"/>
      <c r="D23" s="106"/>
      <c r="E23" s="254"/>
    </row>
    <row r="24" spans="1:5" s="206" customFormat="1" ht="12" customHeight="1" thickBot="1" x14ac:dyDescent="0.25">
      <c r="A24" s="199" t="s">
        <v>73</v>
      </c>
      <c r="B24" s="6" t="s">
        <v>405</v>
      </c>
      <c r="C24" s="106"/>
      <c r="D24" s="106"/>
      <c r="E24" s="254"/>
    </row>
    <row r="25" spans="1:5" s="206" customFormat="1" ht="12" customHeight="1" thickBot="1" x14ac:dyDescent="0.25">
      <c r="A25" s="74" t="s">
        <v>8</v>
      </c>
      <c r="B25" s="58" t="s">
        <v>115</v>
      </c>
      <c r="C25" s="310"/>
      <c r="D25" s="310"/>
      <c r="E25" s="135"/>
    </row>
    <row r="26" spans="1:5" s="206" customFormat="1" ht="12" customHeight="1" thickBot="1" x14ac:dyDescent="0.25">
      <c r="A26" s="74" t="s">
        <v>9</v>
      </c>
      <c r="B26" s="58" t="s">
        <v>406</v>
      </c>
      <c r="C26" s="109">
        <f>+C27+C28+C29</f>
        <v>0</v>
      </c>
      <c r="D26" s="109">
        <f>+D27+D28+D29</f>
        <v>0</v>
      </c>
      <c r="E26" s="136">
        <f>+E27+E28+E29</f>
        <v>0</v>
      </c>
    </row>
    <row r="27" spans="1:5" s="206" customFormat="1" ht="12" customHeight="1" x14ac:dyDescent="0.2">
      <c r="A27" s="200" t="s">
        <v>175</v>
      </c>
      <c r="B27" s="201" t="s">
        <v>171</v>
      </c>
      <c r="C27" s="261"/>
      <c r="D27" s="261"/>
      <c r="E27" s="259"/>
    </row>
    <row r="28" spans="1:5" s="206" customFormat="1" ht="12" customHeight="1" x14ac:dyDescent="0.2">
      <c r="A28" s="200" t="s">
        <v>176</v>
      </c>
      <c r="B28" s="201" t="s">
        <v>307</v>
      </c>
      <c r="C28" s="106"/>
      <c r="D28" s="106"/>
      <c r="E28" s="254"/>
    </row>
    <row r="29" spans="1:5" s="206" customFormat="1" ht="12" customHeight="1" x14ac:dyDescent="0.2">
      <c r="A29" s="200" t="s">
        <v>177</v>
      </c>
      <c r="B29" s="202" t="s">
        <v>309</v>
      </c>
      <c r="C29" s="106"/>
      <c r="D29" s="106"/>
      <c r="E29" s="254"/>
    </row>
    <row r="30" spans="1:5" s="206" customFormat="1" ht="12" customHeight="1" thickBot="1" x14ac:dyDescent="0.25">
      <c r="A30" s="199" t="s">
        <v>178</v>
      </c>
      <c r="B30" s="61" t="s">
        <v>407</v>
      </c>
      <c r="C30" s="49"/>
      <c r="D30" s="49"/>
      <c r="E30" s="309"/>
    </row>
    <row r="31" spans="1:5" s="206" customFormat="1" ht="12" customHeight="1" thickBot="1" x14ac:dyDescent="0.25">
      <c r="A31" s="74" t="s">
        <v>10</v>
      </c>
      <c r="B31" s="58" t="s">
        <v>310</v>
      </c>
      <c r="C31" s="109">
        <f>+C32+C33+C34</f>
        <v>0</v>
      </c>
      <c r="D31" s="109">
        <f>+D32+D33+D34</f>
        <v>0</v>
      </c>
      <c r="E31" s="136">
        <f>+E32+E33+E34</f>
        <v>0</v>
      </c>
    </row>
    <row r="32" spans="1:5" s="206" customFormat="1" ht="12" customHeight="1" x14ac:dyDescent="0.2">
      <c r="A32" s="200" t="s">
        <v>57</v>
      </c>
      <c r="B32" s="201" t="s">
        <v>197</v>
      </c>
      <c r="C32" s="261"/>
      <c r="D32" s="261"/>
      <c r="E32" s="259"/>
    </row>
    <row r="33" spans="1:5" s="206" customFormat="1" ht="12" customHeight="1" x14ac:dyDescent="0.2">
      <c r="A33" s="200" t="s">
        <v>58</v>
      </c>
      <c r="B33" s="202" t="s">
        <v>198</v>
      </c>
      <c r="C33" s="110"/>
      <c r="D33" s="110"/>
      <c r="E33" s="256"/>
    </row>
    <row r="34" spans="1:5" s="206" customFormat="1" ht="12" customHeight="1" thickBot="1" x14ac:dyDescent="0.25">
      <c r="A34" s="199" t="s">
        <v>59</v>
      </c>
      <c r="B34" s="61" t="s">
        <v>199</v>
      </c>
      <c r="C34" s="49"/>
      <c r="D34" s="49"/>
      <c r="E34" s="309"/>
    </row>
    <row r="35" spans="1:5" s="141" customFormat="1" ht="12" customHeight="1" thickBot="1" x14ac:dyDescent="0.25">
      <c r="A35" s="74" t="s">
        <v>11</v>
      </c>
      <c r="B35" s="58" t="s">
        <v>282</v>
      </c>
      <c r="C35" s="310"/>
      <c r="D35" s="310"/>
      <c r="E35" s="135"/>
    </row>
    <row r="36" spans="1:5" s="141" customFormat="1" ht="12" customHeight="1" thickBot="1" x14ac:dyDescent="0.25">
      <c r="A36" s="74" t="s">
        <v>12</v>
      </c>
      <c r="B36" s="58" t="s">
        <v>311</v>
      </c>
      <c r="C36" s="310"/>
      <c r="D36" s="310"/>
      <c r="E36" s="135"/>
    </row>
    <row r="37" spans="1:5" s="141" customFormat="1" ht="12" customHeight="1" thickBot="1" x14ac:dyDescent="0.25">
      <c r="A37" s="71" t="s">
        <v>13</v>
      </c>
      <c r="B37" s="58" t="s">
        <v>312</v>
      </c>
      <c r="C37" s="109">
        <f>+C8+C20+C25+C26+C31+C35+C36</f>
        <v>610000</v>
      </c>
      <c r="D37" s="109">
        <f>+D8+D20+D25+D26+D31+D35+D36</f>
        <v>610000</v>
      </c>
      <c r="E37" s="136">
        <f>+E8+E20+E25+E26+E31+E35+E36</f>
        <v>563922</v>
      </c>
    </row>
    <row r="38" spans="1:5" s="141" customFormat="1" ht="12" customHeight="1" thickBot="1" x14ac:dyDescent="0.25">
      <c r="A38" s="80" t="s">
        <v>14</v>
      </c>
      <c r="B38" s="58" t="s">
        <v>313</v>
      </c>
      <c r="C38" s="109">
        <f>+C39+C40+C41</f>
        <v>0</v>
      </c>
      <c r="D38" s="109">
        <f>+D39+D40+D41</f>
        <v>0</v>
      </c>
      <c r="E38" s="136">
        <f>+E39+E40+E41</f>
        <v>0</v>
      </c>
    </row>
    <row r="39" spans="1:5" s="141" customFormat="1" ht="12" customHeight="1" x14ac:dyDescent="0.2">
      <c r="A39" s="200" t="s">
        <v>314</v>
      </c>
      <c r="B39" s="201" t="s">
        <v>148</v>
      </c>
      <c r="C39" s="261"/>
      <c r="D39" s="261"/>
      <c r="E39" s="259"/>
    </row>
    <row r="40" spans="1:5" s="141" customFormat="1" ht="12" customHeight="1" x14ac:dyDescent="0.2">
      <c r="A40" s="200" t="s">
        <v>315</v>
      </c>
      <c r="B40" s="202" t="s">
        <v>0</v>
      </c>
      <c r="C40" s="110"/>
      <c r="D40" s="110"/>
      <c r="E40" s="256"/>
    </row>
    <row r="41" spans="1:5" s="206" customFormat="1" ht="12" customHeight="1" thickBot="1" x14ac:dyDescent="0.25">
      <c r="A41" s="199" t="s">
        <v>316</v>
      </c>
      <c r="B41" s="61" t="s">
        <v>317</v>
      </c>
      <c r="C41" s="49"/>
      <c r="D41" s="49"/>
      <c r="E41" s="309"/>
    </row>
    <row r="42" spans="1:5" s="206" customFormat="1" ht="15.2" customHeight="1" thickBot="1" x14ac:dyDescent="0.25">
      <c r="A42" s="80" t="s">
        <v>15</v>
      </c>
      <c r="B42" s="81" t="s">
        <v>318</v>
      </c>
      <c r="C42" s="311">
        <f>+C37+C38</f>
        <v>610000</v>
      </c>
      <c r="D42" s="311">
        <f>+D37+D38</f>
        <v>610000</v>
      </c>
      <c r="E42" s="139">
        <f>+E37+E38</f>
        <v>563922</v>
      </c>
    </row>
    <row r="43" spans="1:5" s="206" customFormat="1" ht="15.2" customHeight="1" x14ac:dyDescent="0.2">
      <c r="A43" s="82"/>
      <c r="B43" s="83"/>
      <c r="C43" s="137"/>
    </row>
    <row r="44" spans="1:5" ht="13.5" thickBot="1" x14ac:dyDescent="0.25">
      <c r="A44" s="84"/>
      <c r="B44" s="85"/>
      <c r="C44" s="138"/>
    </row>
    <row r="45" spans="1:5" s="205" customFormat="1" ht="16.5" customHeight="1" thickBot="1" x14ac:dyDescent="0.25">
      <c r="A45" s="716" t="s">
        <v>41</v>
      </c>
      <c r="B45" s="717"/>
      <c r="C45" s="717"/>
      <c r="D45" s="717"/>
      <c r="E45" s="718"/>
    </row>
    <row r="46" spans="1:5" s="207" customFormat="1" ht="12" customHeight="1" thickBot="1" x14ac:dyDescent="0.25">
      <c r="A46" s="74" t="s">
        <v>6</v>
      </c>
      <c r="B46" s="58" t="s">
        <v>319</v>
      </c>
      <c r="C46" s="109">
        <f>SUM(C47:C51)</f>
        <v>0</v>
      </c>
      <c r="D46" s="109">
        <f>SUM(D47:D51)</f>
        <v>0</v>
      </c>
      <c r="E46" s="136">
        <f>SUM(E47:E51)</f>
        <v>0</v>
      </c>
    </row>
    <row r="47" spans="1:5" ht="12" customHeight="1" x14ac:dyDescent="0.2">
      <c r="A47" s="199" t="s">
        <v>64</v>
      </c>
      <c r="B47" s="7" t="s">
        <v>35</v>
      </c>
      <c r="C47" s="261"/>
      <c r="D47" s="261"/>
      <c r="E47" s="259"/>
    </row>
    <row r="48" spans="1:5" ht="12" customHeight="1" x14ac:dyDescent="0.2">
      <c r="A48" s="199" t="s">
        <v>65</v>
      </c>
      <c r="B48" s="6" t="s">
        <v>124</v>
      </c>
      <c r="C48" s="48"/>
      <c r="D48" s="48"/>
      <c r="E48" s="257"/>
    </row>
    <row r="49" spans="1:5" ht="12" customHeight="1" x14ac:dyDescent="0.2">
      <c r="A49" s="199" t="s">
        <v>66</v>
      </c>
      <c r="B49" s="6" t="s">
        <v>92</v>
      </c>
      <c r="C49" s="48"/>
      <c r="D49" s="48"/>
      <c r="E49" s="257"/>
    </row>
    <row r="50" spans="1:5" ht="12" customHeight="1" x14ac:dyDescent="0.2">
      <c r="A50" s="199" t="s">
        <v>67</v>
      </c>
      <c r="B50" s="6" t="s">
        <v>125</v>
      </c>
      <c r="C50" s="48"/>
      <c r="D50" s="48"/>
      <c r="E50" s="257"/>
    </row>
    <row r="51" spans="1:5" ht="12" customHeight="1" thickBot="1" x14ac:dyDescent="0.25">
      <c r="A51" s="199" t="s">
        <v>99</v>
      </c>
      <c r="B51" s="6" t="s">
        <v>126</v>
      </c>
      <c r="C51" s="48"/>
      <c r="D51" s="48"/>
      <c r="E51" s="257"/>
    </row>
    <row r="52" spans="1:5" ht="12" customHeight="1" thickBot="1" x14ac:dyDescent="0.25">
      <c r="A52" s="74" t="s">
        <v>7</v>
      </c>
      <c r="B52" s="58" t="s">
        <v>320</v>
      </c>
      <c r="C52" s="109">
        <f>SUM(C53:C55)</f>
        <v>0</v>
      </c>
      <c r="D52" s="109">
        <f>SUM(D53:D55)</f>
        <v>327900</v>
      </c>
      <c r="E52" s="136">
        <f>SUM(E53:E55)</f>
        <v>327900</v>
      </c>
    </row>
    <row r="53" spans="1:5" s="207" customFormat="1" ht="12" customHeight="1" x14ac:dyDescent="0.2">
      <c r="A53" s="199" t="s">
        <v>70</v>
      </c>
      <c r="B53" s="7" t="s">
        <v>141</v>
      </c>
      <c r="C53" s="261"/>
      <c r="D53" s="261">
        <v>327900</v>
      </c>
      <c r="E53" s="259">
        <v>327900</v>
      </c>
    </row>
    <row r="54" spans="1:5" ht="12" customHeight="1" x14ac:dyDescent="0.2">
      <c r="A54" s="199" t="s">
        <v>71</v>
      </c>
      <c r="B54" s="6" t="s">
        <v>128</v>
      </c>
      <c r="C54" s="48"/>
      <c r="D54" s="48"/>
      <c r="E54" s="257"/>
    </row>
    <row r="55" spans="1:5" ht="12" customHeight="1" x14ac:dyDescent="0.2">
      <c r="A55" s="199" t="s">
        <v>72</v>
      </c>
      <c r="B55" s="6" t="s">
        <v>42</v>
      </c>
      <c r="C55" s="48"/>
      <c r="D55" s="48"/>
      <c r="E55" s="257"/>
    </row>
    <row r="56" spans="1:5" ht="12" customHeight="1" thickBot="1" x14ac:dyDescent="0.25">
      <c r="A56" s="199" t="s">
        <v>73</v>
      </c>
      <c r="B56" s="6" t="s">
        <v>408</v>
      </c>
      <c r="C56" s="48"/>
      <c r="D56" s="48"/>
      <c r="E56" s="257"/>
    </row>
    <row r="57" spans="1:5" ht="12" customHeight="1" thickBot="1" x14ac:dyDescent="0.25">
      <c r="A57" s="74" t="s">
        <v>8</v>
      </c>
      <c r="B57" s="58" t="s">
        <v>2</v>
      </c>
      <c r="C57" s="310"/>
      <c r="D57" s="310"/>
      <c r="E57" s="135"/>
    </row>
    <row r="58" spans="1:5" ht="15.2" customHeight="1" thickBot="1" x14ac:dyDescent="0.25">
      <c r="A58" s="74" t="s">
        <v>9</v>
      </c>
      <c r="B58" s="86" t="s">
        <v>409</v>
      </c>
      <c r="C58" s="311">
        <f>+C46+C52+C57</f>
        <v>0</v>
      </c>
      <c r="D58" s="311">
        <f>+D46+D52+D57</f>
        <v>327900</v>
      </c>
      <c r="E58" s="139">
        <f>+E46+E52+E57</f>
        <v>327900</v>
      </c>
    </row>
    <row r="59" spans="1:5" ht="13.5" thickBot="1" x14ac:dyDescent="0.25">
      <c r="C59" s="607">
        <f>C42-C58</f>
        <v>610000</v>
      </c>
      <c r="D59" s="607">
        <f>D42-D58</f>
        <v>282100</v>
      </c>
      <c r="E59" s="140"/>
    </row>
    <row r="60" spans="1:5" ht="15.2" customHeight="1" thickBot="1" x14ac:dyDescent="0.25">
      <c r="A60" s="313" t="s">
        <v>488</v>
      </c>
      <c r="B60" s="314"/>
      <c r="C60" s="306"/>
      <c r="D60" s="306"/>
      <c r="E60" s="305"/>
    </row>
    <row r="61" spans="1:5" ht="14.45" customHeight="1" thickBot="1" x14ac:dyDescent="0.25">
      <c r="A61" s="315" t="s">
        <v>489</v>
      </c>
      <c r="B61" s="316"/>
      <c r="C61" s="306"/>
      <c r="D61" s="306"/>
      <c r="E61" s="30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0"/>
  <sheetViews>
    <sheetView zoomScale="120" zoomScaleNormal="120" workbookViewId="0">
      <selection activeCell="F11" sqref="F11"/>
    </sheetView>
  </sheetViews>
  <sheetFormatPr defaultRowHeight="12.75" x14ac:dyDescent="0.2"/>
  <cols>
    <col min="1" max="1" width="7" style="635" customWidth="1"/>
    <col min="2" max="2" width="32" style="88" customWidth="1"/>
    <col min="3" max="3" width="12.5" style="88" customWidth="1"/>
    <col min="4" max="6" width="11.83203125" style="88" customWidth="1"/>
    <col min="7" max="7" width="12.83203125" style="88" customWidth="1"/>
    <col min="8" max="16384" width="9.33203125" style="88"/>
  </cols>
  <sheetData>
    <row r="1" spans="1:7" ht="18.75" customHeight="1" x14ac:dyDescent="0.2">
      <c r="A1" s="729" t="str">
        <f>CONCATENATE("7. melléklet ",Z_ALAPADATOK!A7," ",Z_ALAPADATOK!B7," ",Z_ALAPADATOK!C7," ",Z_ALAPADATOK!D7," ",Z_ALAPADATOK!E7," ",Z_ALAPADATOK!F7," ",Z_ALAPADATOK!G7," ",Z_ALAPADATOK!H7)</f>
        <v>7. melléklet a 6 / 2019. ( IV.25 ) önkormányzati rendelethez</v>
      </c>
      <c r="B1" s="730"/>
      <c r="C1" s="730"/>
      <c r="D1" s="730"/>
      <c r="E1" s="730"/>
      <c r="F1" s="730"/>
      <c r="G1" s="730"/>
    </row>
    <row r="3" spans="1:7" ht="15.75" x14ac:dyDescent="0.2">
      <c r="A3" s="727" t="s">
        <v>795</v>
      </c>
      <c r="B3" s="728"/>
      <c r="C3" s="728"/>
      <c r="D3" s="728"/>
      <c r="E3" s="728"/>
      <c r="F3" s="728"/>
      <c r="G3" s="728"/>
    </row>
    <row r="5" spans="1:7" ht="14.25" thickBot="1" x14ac:dyDescent="0.25">
      <c r="G5" s="636" t="s">
        <v>799</v>
      </c>
    </row>
    <row r="6" spans="1:7" ht="17.25" customHeight="1" thickBot="1" x14ac:dyDescent="0.25">
      <c r="A6" s="731" t="s">
        <v>4</v>
      </c>
      <c r="B6" s="733" t="s">
        <v>787</v>
      </c>
      <c r="C6" s="733" t="s">
        <v>788</v>
      </c>
      <c r="D6" s="733" t="s">
        <v>789</v>
      </c>
      <c r="E6" s="735" t="s">
        <v>790</v>
      </c>
      <c r="F6" s="735"/>
      <c r="G6" s="736"/>
    </row>
    <row r="7" spans="1:7" s="639" customFormat="1" ht="57.75" customHeight="1" thickBot="1" x14ac:dyDescent="0.25">
      <c r="A7" s="732"/>
      <c r="B7" s="734"/>
      <c r="C7" s="734"/>
      <c r="D7" s="734"/>
      <c r="E7" s="637" t="s">
        <v>791</v>
      </c>
      <c r="F7" s="637" t="s">
        <v>792</v>
      </c>
      <c r="G7" s="638" t="s">
        <v>793</v>
      </c>
    </row>
    <row r="8" spans="1:7" s="207" customFormat="1" ht="15" customHeight="1" thickBot="1" x14ac:dyDescent="0.25">
      <c r="A8" s="71" t="s">
        <v>383</v>
      </c>
      <c r="B8" s="72" t="s">
        <v>384</v>
      </c>
      <c r="C8" s="72" t="s">
        <v>385</v>
      </c>
      <c r="D8" s="72" t="s">
        <v>387</v>
      </c>
      <c r="E8" s="72" t="s">
        <v>794</v>
      </c>
      <c r="F8" s="72" t="s">
        <v>388</v>
      </c>
      <c r="G8" s="73" t="s">
        <v>389</v>
      </c>
    </row>
    <row r="9" spans="1:7" ht="15" customHeight="1" x14ac:dyDescent="0.2">
      <c r="A9" s="640" t="s">
        <v>6</v>
      </c>
      <c r="B9" s="641" t="s">
        <v>831</v>
      </c>
      <c r="C9" s="642">
        <v>69930996</v>
      </c>
      <c r="D9" s="642"/>
      <c r="E9" s="643">
        <f>C9+D9</f>
        <v>69930996</v>
      </c>
      <c r="F9" s="642">
        <v>69930996</v>
      </c>
      <c r="G9" s="644"/>
    </row>
    <row r="10" spans="1:7" ht="15" customHeight="1" x14ac:dyDescent="0.2">
      <c r="A10" s="645" t="s">
        <v>7</v>
      </c>
      <c r="B10" s="646" t="s">
        <v>819</v>
      </c>
      <c r="C10" s="21">
        <v>983396</v>
      </c>
      <c r="D10" s="21"/>
      <c r="E10" s="643">
        <f t="shared" ref="E10:E39" si="0">C10+D10</f>
        <v>983396</v>
      </c>
      <c r="F10" s="21">
        <v>983396</v>
      </c>
      <c r="G10" s="444"/>
    </row>
    <row r="11" spans="1:7" ht="15" customHeight="1" x14ac:dyDescent="0.2">
      <c r="A11" s="645" t="s">
        <v>8</v>
      </c>
      <c r="B11" s="646"/>
      <c r="C11" s="21"/>
      <c r="D11" s="21"/>
      <c r="E11" s="643">
        <f t="shared" si="0"/>
        <v>0</v>
      </c>
      <c r="F11" s="21"/>
      <c r="G11" s="444"/>
    </row>
    <row r="12" spans="1:7" ht="15" customHeight="1" x14ac:dyDescent="0.2">
      <c r="A12" s="645" t="s">
        <v>9</v>
      </c>
      <c r="B12" s="646"/>
      <c r="C12" s="21"/>
      <c r="D12" s="21"/>
      <c r="E12" s="643">
        <f t="shared" si="0"/>
        <v>0</v>
      </c>
      <c r="F12" s="21"/>
      <c r="G12" s="444"/>
    </row>
    <row r="13" spans="1:7" ht="15" customHeight="1" x14ac:dyDescent="0.2">
      <c r="A13" s="645" t="s">
        <v>10</v>
      </c>
      <c r="B13" s="646"/>
      <c r="C13" s="21"/>
      <c r="D13" s="21"/>
      <c r="E13" s="643">
        <f t="shared" si="0"/>
        <v>0</v>
      </c>
      <c r="F13" s="21"/>
      <c r="G13" s="444"/>
    </row>
    <row r="14" spans="1:7" ht="15" customHeight="1" x14ac:dyDescent="0.2">
      <c r="A14" s="645" t="s">
        <v>11</v>
      </c>
      <c r="B14" s="646"/>
      <c r="C14" s="21"/>
      <c r="D14" s="21"/>
      <c r="E14" s="643">
        <f t="shared" si="0"/>
        <v>0</v>
      </c>
      <c r="F14" s="21"/>
      <c r="G14" s="444"/>
    </row>
    <row r="15" spans="1:7" ht="15" customHeight="1" x14ac:dyDescent="0.2">
      <c r="A15" s="645" t="s">
        <v>12</v>
      </c>
      <c r="B15" s="646"/>
      <c r="C15" s="21"/>
      <c r="D15" s="21"/>
      <c r="E15" s="643">
        <f t="shared" si="0"/>
        <v>0</v>
      </c>
      <c r="F15" s="21"/>
      <c r="G15" s="444"/>
    </row>
    <row r="16" spans="1:7" ht="15" customHeight="1" x14ac:dyDescent="0.2">
      <c r="A16" s="645" t="s">
        <v>13</v>
      </c>
      <c r="B16" s="646"/>
      <c r="C16" s="21"/>
      <c r="D16" s="21"/>
      <c r="E16" s="643">
        <f t="shared" si="0"/>
        <v>0</v>
      </c>
      <c r="F16" s="21"/>
      <c r="G16" s="444"/>
    </row>
    <row r="17" spans="1:7" ht="15" customHeight="1" x14ac:dyDescent="0.2">
      <c r="A17" s="645" t="s">
        <v>14</v>
      </c>
      <c r="B17" s="646"/>
      <c r="C17" s="21"/>
      <c r="D17" s="21"/>
      <c r="E17" s="643">
        <f t="shared" si="0"/>
        <v>0</v>
      </c>
      <c r="F17" s="21"/>
      <c r="G17" s="444"/>
    </row>
    <row r="18" spans="1:7" ht="15" customHeight="1" x14ac:dyDescent="0.2">
      <c r="A18" s="645" t="s">
        <v>15</v>
      </c>
      <c r="B18" s="646"/>
      <c r="C18" s="21"/>
      <c r="D18" s="21"/>
      <c r="E18" s="643">
        <f t="shared" si="0"/>
        <v>0</v>
      </c>
      <c r="F18" s="21"/>
      <c r="G18" s="444"/>
    </row>
    <row r="19" spans="1:7" ht="15" customHeight="1" x14ac:dyDescent="0.2">
      <c r="A19" s="645" t="s">
        <v>16</v>
      </c>
      <c r="B19" s="646"/>
      <c r="C19" s="21"/>
      <c r="D19" s="21"/>
      <c r="E19" s="643">
        <f t="shared" si="0"/>
        <v>0</v>
      </c>
      <c r="F19" s="21"/>
      <c r="G19" s="444"/>
    </row>
    <row r="20" spans="1:7" ht="15" customHeight="1" x14ac:dyDescent="0.2">
      <c r="A20" s="645" t="s">
        <v>17</v>
      </c>
      <c r="B20" s="646"/>
      <c r="C20" s="21"/>
      <c r="D20" s="21"/>
      <c r="E20" s="643">
        <f t="shared" si="0"/>
        <v>0</v>
      </c>
      <c r="F20" s="21"/>
      <c r="G20" s="444"/>
    </row>
    <row r="21" spans="1:7" ht="15" customHeight="1" x14ac:dyDescent="0.2">
      <c r="A21" s="645" t="s">
        <v>18</v>
      </c>
      <c r="B21" s="646"/>
      <c r="C21" s="21"/>
      <c r="D21" s="21"/>
      <c r="E21" s="643">
        <f t="shared" si="0"/>
        <v>0</v>
      </c>
      <c r="F21" s="21"/>
      <c r="G21" s="444"/>
    </row>
    <row r="22" spans="1:7" ht="15" customHeight="1" x14ac:dyDescent="0.2">
      <c r="A22" s="645" t="s">
        <v>19</v>
      </c>
      <c r="B22" s="646"/>
      <c r="C22" s="21"/>
      <c r="D22" s="21"/>
      <c r="E22" s="643">
        <f t="shared" si="0"/>
        <v>0</v>
      </c>
      <c r="F22" s="21"/>
      <c r="G22" s="444"/>
    </row>
    <row r="23" spans="1:7" ht="15" customHeight="1" x14ac:dyDescent="0.2">
      <c r="A23" s="645" t="s">
        <v>20</v>
      </c>
      <c r="B23" s="646"/>
      <c r="C23" s="21"/>
      <c r="D23" s="21"/>
      <c r="E23" s="643">
        <f t="shared" si="0"/>
        <v>0</v>
      </c>
      <c r="F23" s="21"/>
      <c r="G23" s="444"/>
    </row>
    <row r="24" spans="1:7" ht="15" customHeight="1" x14ac:dyDescent="0.2">
      <c r="A24" s="645" t="s">
        <v>21</v>
      </c>
      <c r="B24" s="646"/>
      <c r="C24" s="21"/>
      <c r="D24" s="21"/>
      <c r="E24" s="643">
        <f t="shared" si="0"/>
        <v>0</v>
      </c>
      <c r="F24" s="21"/>
      <c r="G24" s="444"/>
    </row>
    <row r="25" spans="1:7" ht="15" customHeight="1" x14ac:dyDescent="0.2">
      <c r="A25" s="645" t="s">
        <v>22</v>
      </c>
      <c r="B25" s="646"/>
      <c r="C25" s="21"/>
      <c r="D25" s="21"/>
      <c r="E25" s="643">
        <f t="shared" si="0"/>
        <v>0</v>
      </c>
      <c r="F25" s="21"/>
      <c r="G25" s="444"/>
    </row>
    <row r="26" spans="1:7" ht="15" customHeight="1" x14ac:dyDescent="0.2">
      <c r="A26" s="645" t="s">
        <v>23</v>
      </c>
      <c r="B26" s="646"/>
      <c r="C26" s="21"/>
      <c r="D26" s="21"/>
      <c r="E26" s="643">
        <f t="shared" si="0"/>
        <v>0</v>
      </c>
      <c r="F26" s="21"/>
      <c r="G26" s="444"/>
    </row>
    <row r="27" spans="1:7" ht="15" customHeight="1" x14ac:dyDescent="0.2">
      <c r="A27" s="645" t="s">
        <v>24</v>
      </c>
      <c r="B27" s="646"/>
      <c r="C27" s="21"/>
      <c r="D27" s="21"/>
      <c r="E27" s="643">
        <f t="shared" si="0"/>
        <v>0</v>
      </c>
      <c r="F27" s="21"/>
      <c r="G27" s="444"/>
    </row>
    <row r="28" spans="1:7" ht="15" customHeight="1" x14ac:dyDescent="0.2">
      <c r="A28" s="645" t="s">
        <v>25</v>
      </c>
      <c r="B28" s="646"/>
      <c r="C28" s="21"/>
      <c r="D28" s="21"/>
      <c r="E28" s="643">
        <f t="shared" si="0"/>
        <v>0</v>
      </c>
      <c r="F28" s="21"/>
      <c r="G28" s="444"/>
    </row>
    <row r="29" spans="1:7" ht="15" customHeight="1" x14ac:dyDescent="0.2">
      <c r="A29" s="645" t="s">
        <v>26</v>
      </c>
      <c r="B29" s="646"/>
      <c r="C29" s="21"/>
      <c r="D29" s="21"/>
      <c r="E29" s="643">
        <f t="shared" si="0"/>
        <v>0</v>
      </c>
      <c r="F29" s="21"/>
      <c r="G29" s="444"/>
    </row>
    <row r="30" spans="1:7" ht="15" customHeight="1" x14ac:dyDescent="0.2">
      <c r="A30" s="645" t="s">
        <v>27</v>
      </c>
      <c r="B30" s="646"/>
      <c r="C30" s="21"/>
      <c r="D30" s="21"/>
      <c r="E30" s="643">
        <f t="shared" si="0"/>
        <v>0</v>
      </c>
      <c r="F30" s="21"/>
      <c r="G30" s="444"/>
    </row>
    <row r="31" spans="1:7" ht="15" customHeight="1" x14ac:dyDescent="0.2">
      <c r="A31" s="645" t="s">
        <v>28</v>
      </c>
      <c r="B31" s="646"/>
      <c r="C31" s="21"/>
      <c r="D31" s="21"/>
      <c r="E31" s="643">
        <f t="shared" si="0"/>
        <v>0</v>
      </c>
      <c r="F31" s="21"/>
      <c r="G31" s="444"/>
    </row>
    <row r="32" spans="1:7" ht="15" customHeight="1" x14ac:dyDescent="0.2">
      <c r="A32" s="645" t="s">
        <v>29</v>
      </c>
      <c r="B32" s="646"/>
      <c r="C32" s="21"/>
      <c r="D32" s="21"/>
      <c r="E32" s="643">
        <f t="shared" si="0"/>
        <v>0</v>
      </c>
      <c r="F32" s="21"/>
      <c r="G32" s="444"/>
    </row>
    <row r="33" spans="1:7" ht="15" customHeight="1" x14ac:dyDescent="0.2">
      <c r="A33" s="645" t="s">
        <v>30</v>
      </c>
      <c r="B33" s="646"/>
      <c r="C33" s="21"/>
      <c r="D33" s="21"/>
      <c r="E33" s="643">
        <f t="shared" si="0"/>
        <v>0</v>
      </c>
      <c r="F33" s="21"/>
      <c r="G33" s="444"/>
    </row>
    <row r="34" spans="1:7" ht="15" customHeight="1" x14ac:dyDescent="0.2">
      <c r="A34" s="645" t="s">
        <v>31</v>
      </c>
      <c r="B34" s="646"/>
      <c r="C34" s="21"/>
      <c r="D34" s="21"/>
      <c r="E34" s="643"/>
      <c r="F34" s="21"/>
      <c r="G34" s="444"/>
    </row>
    <row r="35" spans="1:7" ht="15" customHeight="1" x14ac:dyDescent="0.2">
      <c r="A35" s="645" t="s">
        <v>32</v>
      </c>
      <c r="B35" s="646"/>
      <c r="C35" s="21"/>
      <c r="D35" s="21"/>
      <c r="E35" s="643">
        <f t="shared" si="0"/>
        <v>0</v>
      </c>
      <c r="F35" s="21"/>
      <c r="G35" s="444"/>
    </row>
    <row r="36" spans="1:7" ht="15" customHeight="1" x14ac:dyDescent="0.2">
      <c r="A36" s="645" t="s">
        <v>33</v>
      </c>
      <c r="B36" s="646"/>
      <c r="C36" s="21"/>
      <c r="D36" s="21"/>
      <c r="E36" s="643">
        <f t="shared" si="0"/>
        <v>0</v>
      </c>
      <c r="F36" s="21"/>
      <c r="G36" s="444"/>
    </row>
    <row r="37" spans="1:7" ht="15" customHeight="1" x14ac:dyDescent="0.2">
      <c r="A37" s="645" t="s">
        <v>558</v>
      </c>
      <c r="B37" s="646"/>
      <c r="C37" s="21"/>
      <c r="D37" s="21"/>
      <c r="E37" s="643">
        <f t="shared" si="0"/>
        <v>0</v>
      </c>
      <c r="F37" s="21"/>
      <c r="G37" s="444"/>
    </row>
    <row r="38" spans="1:7" ht="15" customHeight="1" x14ac:dyDescent="0.2">
      <c r="A38" s="645" t="s">
        <v>559</v>
      </c>
      <c r="B38" s="646"/>
      <c r="C38" s="21"/>
      <c r="D38" s="21"/>
      <c r="E38" s="643">
        <f t="shared" si="0"/>
        <v>0</v>
      </c>
      <c r="F38" s="21"/>
      <c r="G38" s="444"/>
    </row>
    <row r="39" spans="1:7" ht="15" customHeight="1" thickBot="1" x14ac:dyDescent="0.25">
      <c r="A39" s="645" t="s">
        <v>560</v>
      </c>
      <c r="B39" s="647"/>
      <c r="C39" s="22"/>
      <c r="D39" s="22"/>
      <c r="E39" s="643">
        <f t="shared" si="0"/>
        <v>0</v>
      </c>
      <c r="F39" s="22"/>
      <c r="G39" s="648"/>
    </row>
    <row r="40" spans="1:7" ht="15" customHeight="1" thickBot="1" x14ac:dyDescent="0.25">
      <c r="A40" s="725" t="s">
        <v>38</v>
      </c>
      <c r="B40" s="726"/>
      <c r="C40" s="37">
        <f>SUM(C9:C39)</f>
        <v>70914392</v>
      </c>
      <c r="D40" s="37">
        <f>SUM(D9:D39)</f>
        <v>0</v>
      </c>
      <c r="E40" s="37">
        <f>SUM(E9:E39)</f>
        <v>70914392</v>
      </c>
      <c r="F40" s="37">
        <f>SUM(F9:F39)</f>
        <v>70914392</v>
      </c>
      <c r="G40" s="38">
        <f>SUM(G9:G39)</f>
        <v>0</v>
      </c>
    </row>
  </sheetData>
  <sheetProtection sheet="1"/>
  <mergeCells count="8">
    <mergeCell ref="A40:B40"/>
    <mergeCell ref="A3:G3"/>
    <mergeCell ref="A1:G1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……/2018. (……) önkormányzati rendelethez&amp;"Times New Roman CE,Dőlt"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120" zoomScaleNormal="120" workbookViewId="0">
      <selection activeCell="F7" sqref="F7"/>
    </sheetView>
  </sheetViews>
  <sheetFormatPr defaultRowHeight="12.75" x14ac:dyDescent="0.2"/>
  <cols>
    <col min="1" max="1" width="43.33203125" customWidth="1"/>
    <col min="2" max="2" width="49.1640625" customWidth="1"/>
    <col min="3" max="3" width="1.33203125" bestFit="1" customWidth="1"/>
    <col min="4" max="4" width="6.83203125" customWidth="1"/>
    <col min="5" max="5" width="1.5" bestFit="1" customWidth="1"/>
    <col min="7" max="7" width="1.5" bestFit="1" customWidth="1"/>
  </cols>
  <sheetData>
    <row r="1" spans="1:8" x14ac:dyDescent="0.2">
      <c r="B1">
        <v>2018</v>
      </c>
      <c r="C1" t="s">
        <v>798</v>
      </c>
    </row>
    <row r="2" spans="1:8" ht="15.75" x14ac:dyDescent="0.25">
      <c r="A2" s="659" t="s">
        <v>496</v>
      </c>
      <c r="B2" s="659"/>
      <c r="C2" s="659"/>
      <c r="D2" s="659"/>
      <c r="E2" s="659"/>
      <c r="F2" s="659"/>
    </row>
    <row r="3" spans="1:8" ht="15.75" x14ac:dyDescent="0.25">
      <c r="A3" s="662" t="s">
        <v>818</v>
      </c>
      <c r="B3" s="662"/>
      <c r="C3" s="662"/>
      <c r="D3" s="662"/>
      <c r="E3" s="662"/>
      <c r="F3" s="662"/>
      <c r="G3" s="662"/>
    </row>
    <row r="6" spans="1:8" ht="15" x14ac:dyDescent="0.25">
      <c r="A6" s="360" t="s">
        <v>779</v>
      </c>
    </row>
    <row r="7" spans="1:8" x14ac:dyDescent="0.2">
      <c r="A7" s="606" t="s">
        <v>773</v>
      </c>
      <c r="B7" s="649">
        <v>6</v>
      </c>
      <c r="C7" t="s">
        <v>774</v>
      </c>
      <c r="D7" t="s">
        <v>782</v>
      </c>
      <c r="E7" t="s">
        <v>775</v>
      </c>
      <c r="F7" s="649" t="s">
        <v>846</v>
      </c>
      <c r="G7" t="s">
        <v>776</v>
      </c>
      <c r="H7" t="s">
        <v>777</v>
      </c>
    </row>
    <row r="8" spans="1:8" x14ac:dyDescent="0.2">
      <c r="A8" s="606"/>
      <c r="B8" s="413"/>
      <c r="F8" s="413"/>
    </row>
    <row r="9" spans="1:8" x14ac:dyDescent="0.2">
      <c r="A9" s="606"/>
      <c r="B9" s="413"/>
      <c r="F9" s="413"/>
    </row>
    <row r="11" spans="1:8" ht="15.75" x14ac:dyDescent="0.25">
      <c r="A11" s="660" t="s">
        <v>819</v>
      </c>
      <c r="B11" s="661"/>
      <c r="C11" s="661"/>
      <c r="D11" s="661"/>
      <c r="E11" s="661"/>
      <c r="F11" s="661"/>
      <c r="G11" s="661"/>
    </row>
    <row r="13" spans="1:8" ht="14.25" x14ac:dyDescent="0.2">
      <c r="A13" s="361" t="s">
        <v>497</v>
      </c>
      <c r="B13" s="657" t="s">
        <v>498</v>
      </c>
      <c r="C13" s="658"/>
      <c r="D13" s="658"/>
      <c r="E13" s="658"/>
      <c r="F13" s="658"/>
      <c r="G13" s="658"/>
    </row>
    <row r="14" spans="1:8" ht="14.25" x14ac:dyDescent="0.2">
      <c r="B14" s="650"/>
      <c r="C14" s="592"/>
      <c r="D14" s="592"/>
      <c r="E14" s="592"/>
      <c r="F14" s="592"/>
      <c r="G14" s="592"/>
    </row>
    <row r="15" spans="1:8" ht="14.25" x14ac:dyDescent="0.2">
      <c r="A15" s="361" t="s">
        <v>499</v>
      </c>
      <c r="B15" s="657" t="s">
        <v>500</v>
      </c>
      <c r="C15" s="658"/>
      <c r="D15" s="658"/>
      <c r="E15" s="658"/>
      <c r="F15" s="658"/>
      <c r="G15" s="658"/>
    </row>
    <row r="16" spans="1:8" ht="14.25" x14ac:dyDescent="0.2">
      <c r="B16" s="650"/>
      <c r="C16" s="592"/>
      <c r="D16" s="592"/>
      <c r="E16" s="592"/>
      <c r="F16" s="592"/>
      <c r="G16" s="592"/>
    </row>
    <row r="17" spans="1:7" ht="14.25" x14ac:dyDescent="0.2">
      <c r="A17" s="361" t="s">
        <v>501</v>
      </c>
      <c r="B17" s="657" t="s">
        <v>502</v>
      </c>
      <c r="C17" s="658"/>
      <c r="D17" s="658"/>
      <c r="E17" s="658"/>
      <c r="F17" s="658"/>
      <c r="G17" s="658"/>
    </row>
    <row r="18" spans="1:7" ht="14.25" x14ac:dyDescent="0.2">
      <c r="B18" s="650"/>
      <c r="C18" s="592"/>
      <c r="D18" s="592"/>
      <c r="E18" s="592"/>
      <c r="F18" s="592"/>
      <c r="G18" s="592"/>
    </row>
    <row r="19" spans="1:7" ht="14.25" x14ac:dyDescent="0.2">
      <c r="A19" s="361" t="s">
        <v>503</v>
      </c>
      <c r="B19" s="657" t="s">
        <v>504</v>
      </c>
      <c r="C19" s="658"/>
      <c r="D19" s="658"/>
      <c r="E19" s="658"/>
      <c r="F19" s="658"/>
      <c r="G19" s="658"/>
    </row>
    <row r="20" spans="1:7" ht="14.25" x14ac:dyDescent="0.2">
      <c r="B20" s="650"/>
      <c r="C20" s="592"/>
      <c r="D20" s="592"/>
      <c r="E20" s="592"/>
      <c r="F20" s="592"/>
      <c r="G20" s="592"/>
    </row>
    <row r="21" spans="1:7" ht="14.25" x14ac:dyDescent="0.2">
      <c r="A21" s="361" t="s">
        <v>505</v>
      </c>
      <c r="B21" s="657" t="s">
        <v>506</v>
      </c>
      <c r="C21" s="658"/>
      <c r="D21" s="658"/>
      <c r="E21" s="658"/>
      <c r="F21" s="658"/>
      <c r="G21" s="658"/>
    </row>
    <row r="22" spans="1:7" ht="14.25" x14ac:dyDescent="0.2">
      <c r="B22" s="650"/>
      <c r="C22" s="592"/>
      <c r="D22" s="592"/>
      <c r="E22" s="592"/>
      <c r="F22" s="592"/>
      <c r="G22" s="592"/>
    </row>
    <row r="23" spans="1:7" ht="14.25" x14ac:dyDescent="0.2">
      <c r="A23" s="361" t="s">
        <v>507</v>
      </c>
      <c r="B23" s="657" t="s">
        <v>508</v>
      </c>
      <c r="C23" s="658"/>
      <c r="D23" s="658"/>
      <c r="E23" s="658"/>
      <c r="F23" s="658"/>
      <c r="G23" s="658"/>
    </row>
    <row r="24" spans="1:7" ht="14.25" x14ac:dyDescent="0.2">
      <c r="B24" s="650"/>
      <c r="C24" s="592"/>
      <c r="D24" s="592"/>
      <c r="E24" s="592"/>
      <c r="F24" s="592"/>
      <c r="G24" s="592"/>
    </row>
    <row r="25" spans="1:7" ht="14.25" x14ac:dyDescent="0.2">
      <c r="A25" s="361" t="s">
        <v>509</v>
      </c>
      <c r="B25" s="657" t="s">
        <v>510</v>
      </c>
      <c r="C25" s="658"/>
      <c r="D25" s="658"/>
      <c r="E25" s="658"/>
      <c r="F25" s="658"/>
      <c r="G25" s="658"/>
    </row>
    <row r="26" spans="1:7" ht="14.25" x14ac:dyDescent="0.2">
      <c r="B26" s="650"/>
      <c r="C26" s="592"/>
      <c r="D26" s="592"/>
      <c r="E26" s="592"/>
      <c r="F26" s="592"/>
      <c r="G26" s="592"/>
    </row>
    <row r="27" spans="1:7" ht="14.25" x14ac:dyDescent="0.2">
      <c r="A27" s="361" t="s">
        <v>511</v>
      </c>
      <c r="B27" s="657" t="s">
        <v>512</v>
      </c>
      <c r="C27" s="658"/>
      <c r="D27" s="658"/>
      <c r="E27" s="658"/>
      <c r="F27" s="658"/>
      <c r="G27" s="658"/>
    </row>
    <row r="28" spans="1:7" ht="14.25" x14ac:dyDescent="0.2">
      <c r="B28" s="650"/>
      <c r="C28" s="592"/>
      <c r="D28" s="592"/>
      <c r="E28" s="592"/>
      <c r="F28" s="592"/>
      <c r="G28" s="592"/>
    </row>
    <row r="29" spans="1:7" ht="14.25" x14ac:dyDescent="0.2">
      <c r="A29" s="361" t="s">
        <v>511</v>
      </c>
      <c r="B29" s="657" t="s">
        <v>513</v>
      </c>
      <c r="C29" s="658"/>
      <c r="D29" s="658"/>
      <c r="E29" s="658"/>
      <c r="F29" s="658"/>
      <c r="G29" s="658"/>
    </row>
    <row r="30" spans="1:7" ht="14.25" x14ac:dyDescent="0.2">
      <c r="B30" s="650"/>
      <c r="C30" s="592"/>
      <c r="D30" s="592"/>
      <c r="E30" s="592"/>
      <c r="F30" s="592"/>
      <c r="G30" s="592"/>
    </row>
    <row r="31" spans="1:7" ht="14.25" x14ac:dyDescent="0.2">
      <c r="A31" s="361" t="s">
        <v>514</v>
      </c>
      <c r="B31" s="657" t="s">
        <v>515</v>
      </c>
      <c r="C31" s="658"/>
      <c r="D31" s="658"/>
      <c r="E31" s="658"/>
      <c r="F31" s="658"/>
      <c r="G31" s="658"/>
    </row>
  </sheetData>
  <sheetProtection sheet="1"/>
  <mergeCells count="13">
    <mergeCell ref="B31:G31"/>
    <mergeCell ref="B19:G19"/>
    <mergeCell ref="B21:G21"/>
    <mergeCell ref="B23:G23"/>
    <mergeCell ref="B25:G25"/>
    <mergeCell ref="B27:G27"/>
    <mergeCell ref="B29:G29"/>
    <mergeCell ref="B17:G17"/>
    <mergeCell ref="A2:F2"/>
    <mergeCell ref="A11:G11"/>
    <mergeCell ref="A3:G3"/>
    <mergeCell ref="B13:G13"/>
    <mergeCell ref="B15:G15"/>
  </mergeCells>
  <phoneticPr fontId="24" type="noConversion"/>
  <dataValidations count="1">
    <dataValidation type="list" allowBlank="1" showInputMessage="1" showErrorMessage="1" sqref="A6">
      <formula1>",Előterjesztéskor,Jóváhagyás után"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6"/>
  <sheetViews>
    <sheetView zoomScale="120" zoomScaleNormal="120" zoomScalePageLayoutView="120" workbookViewId="0">
      <selection activeCell="I9" sqref="I9"/>
    </sheetView>
  </sheetViews>
  <sheetFormatPr defaultRowHeight="12.75" x14ac:dyDescent="0.2"/>
  <cols>
    <col min="1" max="1" width="13.83203125" style="31" customWidth="1"/>
    <col min="2" max="2" width="88.6640625" style="31" customWidth="1"/>
    <col min="3" max="5" width="15.83203125" style="31" customWidth="1"/>
    <col min="6" max="6" width="4.83203125" style="634" customWidth="1"/>
    <col min="7" max="16384" width="9.33203125" style="31"/>
  </cols>
  <sheetData>
    <row r="1" spans="1:6" ht="47.25" customHeight="1" x14ac:dyDescent="0.2">
      <c r="B1" s="737" t="s">
        <v>801</v>
      </c>
      <c r="C1" s="737"/>
      <c r="D1" s="737"/>
      <c r="E1" s="737"/>
      <c r="F1" s="738" t="str">
        <f>CONCATENATE("8. melléklet ",Z_ALAPADATOK!A7," ",Z_ALAPADATOK!B7," ",Z_ALAPADATOK!C7," ",Z_ALAPADATOK!D7," ",Z_ALAPADATOK!E7," ",Z_ALAPADATOK!F7," ",Z_ALAPADATOK!G7," ",Z_ALAPADATOK!H7)</f>
        <v>8. melléklet a 6 / 2019. ( IV.25 ) önkormányzati rendelethez</v>
      </c>
    </row>
    <row r="2" spans="1:6" ht="22.5" customHeight="1" thickBot="1" x14ac:dyDescent="0.3">
      <c r="B2" s="739"/>
      <c r="C2" s="739"/>
      <c r="D2" s="739"/>
      <c r="E2" s="611" t="s">
        <v>783</v>
      </c>
      <c r="F2" s="738"/>
    </row>
    <row r="3" spans="1:6" s="32" customFormat="1" ht="54" customHeight="1" thickBot="1" x14ac:dyDescent="0.25">
      <c r="A3" s="612" t="s">
        <v>800</v>
      </c>
      <c r="B3" s="613" t="s">
        <v>784</v>
      </c>
      <c r="C3" s="614" t="str">
        <f>+CONCATENATE(Z_ALAPADATOK!B1,". évi tervezett támogatás összesen")</f>
        <v>2018. évi tervezett támogatás összesen</v>
      </c>
      <c r="D3" s="614" t="s">
        <v>785</v>
      </c>
      <c r="E3" s="615" t="s">
        <v>786</v>
      </c>
      <c r="F3" s="738"/>
    </row>
    <row r="4" spans="1:6" s="620" customFormat="1" ht="13.5" thickBot="1" x14ac:dyDescent="0.25">
      <c r="A4" s="616" t="s">
        <v>383</v>
      </c>
      <c r="B4" s="617" t="s">
        <v>384</v>
      </c>
      <c r="C4" s="618" t="s">
        <v>385</v>
      </c>
      <c r="D4" s="618" t="s">
        <v>387</v>
      </c>
      <c r="E4" s="619" t="s">
        <v>386</v>
      </c>
      <c r="F4" s="738"/>
    </row>
    <row r="5" spans="1:6" x14ac:dyDescent="0.2">
      <c r="A5" s="621"/>
      <c r="B5" s="652" t="s">
        <v>161</v>
      </c>
      <c r="C5" s="157">
        <v>97189685</v>
      </c>
      <c r="D5" s="244">
        <v>97231897</v>
      </c>
      <c r="E5" s="94">
        <v>97231897</v>
      </c>
      <c r="F5" s="738"/>
    </row>
    <row r="6" spans="1:6" ht="12.75" customHeight="1" x14ac:dyDescent="0.2">
      <c r="A6" s="624"/>
      <c r="B6" s="653"/>
      <c r="C6" s="156"/>
      <c r="D6" s="245"/>
      <c r="E6" s="93"/>
      <c r="F6" s="738"/>
    </row>
    <row r="7" spans="1:6" x14ac:dyDescent="0.2">
      <c r="A7" s="624"/>
      <c r="B7" s="653" t="s">
        <v>163</v>
      </c>
      <c r="C7" s="156">
        <v>12394560</v>
      </c>
      <c r="D7" s="245">
        <v>12169060</v>
      </c>
      <c r="E7" s="93">
        <v>12169060</v>
      </c>
      <c r="F7" s="738"/>
    </row>
    <row r="8" spans="1:6" x14ac:dyDescent="0.2">
      <c r="A8" s="624"/>
      <c r="B8" s="653" t="s">
        <v>164</v>
      </c>
      <c r="C8" s="156">
        <v>1800000</v>
      </c>
      <c r="D8" s="245">
        <v>1800000</v>
      </c>
      <c r="E8" s="93">
        <v>1800000</v>
      </c>
      <c r="F8" s="738"/>
    </row>
    <row r="9" spans="1:6" x14ac:dyDescent="0.2">
      <c r="A9" s="624"/>
      <c r="B9" s="653" t="s">
        <v>391</v>
      </c>
      <c r="C9" s="156">
        <v>492400</v>
      </c>
      <c r="D9" s="245">
        <v>3201598</v>
      </c>
      <c r="E9" s="93">
        <v>3201598</v>
      </c>
      <c r="F9" s="738"/>
    </row>
    <row r="10" spans="1:6" x14ac:dyDescent="0.2">
      <c r="A10" s="624"/>
      <c r="B10" s="653"/>
      <c r="C10" s="156"/>
      <c r="D10" s="245"/>
      <c r="E10" s="93"/>
      <c r="F10" s="738"/>
    </row>
    <row r="11" spans="1:6" x14ac:dyDescent="0.2">
      <c r="A11" s="624"/>
      <c r="B11" s="625"/>
      <c r="C11" s="622"/>
      <c r="D11" s="622"/>
      <c r="E11" s="623"/>
      <c r="F11" s="738"/>
    </row>
    <row r="12" spans="1:6" x14ac:dyDescent="0.2">
      <c r="A12" s="624"/>
      <c r="B12" s="625"/>
      <c r="C12" s="622"/>
      <c r="D12" s="622"/>
      <c r="E12" s="623"/>
      <c r="F12" s="738"/>
    </row>
    <row r="13" spans="1:6" ht="12.95" customHeight="1" x14ac:dyDescent="0.2">
      <c r="A13" s="624"/>
      <c r="B13" s="625"/>
      <c r="C13" s="622"/>
      <c r="D13" s="622"/>
      <c r="E13" s="623"/>
      <c r="F13" s="738"/>
    </row>
    <row r="14" spans="1:6" x14ac:dyDescent="0.2">
      <c r="A14" s="624"/>
      <c r="B14" s="625"/>
      <c r="C14" s="622"/>
      <c r="D14" s="622"/>
      <c r="E14" s="623"/>
      <c r="F14" s="738"/>
    </row>
    <row r="15" spans="1:6" x14ac:dyDescent="0.2">
      <c r="A15" s="624"/>
      <c r="B15" s="625"/>
      <c r="C15" s="622"/>
      <c r="D15" s="622"/>
      <c r="E15" s="623"/>
      <c r="F15" s="738"/>
    </row>
    <row r="16" spans="1:6" x14ac:dyDescent="0.2">
      <c r="A16" s="624"/>
      <c r="B16" s="625"/>
      <c r="C16" s="622"/>
      <c r="D16" s="622"/>
      <c r="E16" s="623"/>
      <c r="F16" s="738"/>
    </row>
    <row r="17" spans="1:6" x14ac:dyDescent="0.2">
      <c r="A17" s="624"/>
      <c r="B17" s="625"/>
      <c r="C17" s="622"/>
      <c r="D17" s="622"/>
      <c r="E17" s="623"/>
      <c r="F17" s="738"/>
    </row>
    <row r="18" spans="1:6" x14ac:dyDescent="0.2">
      <c r="A18" s="624"/>
      <c r="B18" s="625"/>
      <c r="C18" s="622"/>
      <c r="D18" s="622"/>
      <c r="E18" s="623"/>
      <c r="F18" s="738"/>
    </row>
    <row r="19" spans="1:6" x14ac:dyDescent="0.2">
      <c r="A19" s="624"/>
      <c r="B19" s="625"/>
      <c r="C19" s="622"/>
      <c r="D19" s="622"/>
      <c r="E19" s="623"/>
      <c r="F19" s="738"/>
    </row>
    <row r="20" spans="1:6" x14ac:dyDescent="0.2">
      <c r="A20" s="624"/>
      <c r="B20" s="625"/>
      <c r="C20" s="622"/>
      <c r="D20" s="622"/>
      <c r="E20" s="623"/>
      <c r="F20" s="738"/>
    </row>
    <row r="21" spans="1:6" x14ac:dyDescent="0.2">
      <c r="A21" s="624"/>
      <c r="B21" s="625"/>
      <c r="C21" s="622"/>
      <c r="D21" s="622"/>
      <c r="E21" s="623"/>
      <c r="F21" s="738"/>
    </row>
    <row r="22" spans="1:6" x14ac:dyDescent="0.2">
      <c r="A22" s="624"/>
      <c r="B22" s="625"/>
      <c r="C22" s="622"/>
      <c r="D22" s="622"/>
      <c r="E22" s="623"/>
      <c r="F22" s="738"/>
    </row>
    <row r="23" spans="1:6" x14ac:dyDescent="0.2">
      <c r="A23" s="624"/>
      <c r="B23" s="625"/>
      <c r="C23" s="622"/>
      <c r="D23" s="622"/>
      <c r="E23" s="623"/>
      <c r="F23" s="738"/>
    </row>
    <row r="24" spans="1:6" ht="13.5" thickBot="1" x14ac:dyDescent="0.25">
      <c r="A24" s="626"/>
      <c r="B24" s="627"/>
      <c r="C24" s="628"/>
      <c r="D24" s="628"/>
      <c r="E24" s="623"/>
      <c r="F24" s="738"/>
    </row>
    <row r="25" spans="1:6" s="633" customFormat="1" ht="19.5" customHeight="1" thickBot="1" x14ac:dyDescent="0.25">
      <c r="A25" s="629"/>
      <c r="B25" s="630" t="s">
        <v>38</v>
      </c>
      <c r="C25" s="631">
        <f>SUM(C5:C24)</f>
        <v>111876645</v>
      </c>
      <c r="D25" s="631">
        <f>SUM(D5:D24)</f>
        <v>114402555</v>
      </c>
      <c r="E25" s="632">
        <f>SUM(E5:E24)</f>
        <v>114402555</v>
      </c>
      <c r="F25" s="738"/>
    </row>
    <row r="26" spans="1:6" x14ac:dyDescent="0.2">
      <c r="A26" s="740" t="s">
        <v>802</v>
      </c>
      <c r="B26" s="740"/>
    </row>
  </sheetData>
  <sheetProtection sheet="1"/>
  <mergeCells count="4">
    <mergeCell ref="B1:E1"/>
    <mergeCell ref="F1:F25"/>
    <mergeCell ref="B2:D2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0"/>
  <sheetViews>
    <sheetView zoomScale="120" zoomScaleNormal="120" zoomScaleSheetLayoutView="100" workbookViewId="0">
      <selection activeCell="D153" sqref="D153"/>
    </sheetView>
  </sheetViews>
  <sheetFormatPr defaultRowHeight="15.75" x14ac:dyDescent="0.25"/>
  <cols>
    <col min="1" max="1" width="9" style="143" customWidth="1"/>
    <col min="2" max="2" width="68.83203125" style="143" customWidth="1"/>
    <col min="3" max="3" width="18.83203125" style="143" customWidth="1"/>
    <col min="4" max="5" width="18.83203125" style="144" customWidth="1"/>
    <col min="6" max="16384" width="9.33203125" style="165"/>
  </cols>
  <sheetData>
    <row r="1" spans="1:5" x14ac:dyDescent="0.25">
      <c r="A1" s="663" t="str">
        <f>CONCATENATE("1. tájékoztató tábla ",Z_ALAPADATOK!A7," ",Z_ALAPADATOK!B7," ",Z_ALAPADATOK!C7," ",Z_ALAPADATOK!D7," ",Z_ALAPADATOK!E7," ",Z_ALAPADATOK!F7," ",Z_ALAPADATOK!G7," ",Z_ALAPADATOK!H7)</f>
        <v>1. tájékoztató tábla a 6 / 2019. ( IV.25 ) önkormányzati rendelethez</v>
      </c>
      <c r="B1" s="664"/>
      <c r="C1" s="664"/>
      <c r="D1" s="664"/>
      <c r="E1" s="664"/>
    </row>
    <row r="2" spans="1:5" x14ac:dyDescent="0.25">
      <c r="A2" s="665" t="str">
        <f>CONCATENATE(Z_ALAPADATOK!A3)</f>
        <v>Kajárpéc Közésgi Önkormányzat</v>
      </c>
      <c r="B2" s="666"/>
      <c r="C2" s="666"/>
      <c r="D2" s="666"/>
      <c r="E2" s="666"/>
    </row>
    <row r="3" spans="1:5" x14ac:dyDescent="0.25">
      <c r="A3" s="665" t="s">
        <v>718</v>
      </c>
      <c r="B3" s="666"/>
      <c r="C3" s="666"/>
      <c r="D3" s="666"/>
      <c r="E3" s="666"/>
    </row>
    <row r="4" spans="1:5" ht="15.95" customHeight="1" x14ac:dyDescent="0.25">
      <c r="A4" s="677" t="s">
        <v>3</v>
      </c>
      <c r="B4" s="677"/>
      <c r="C4" s="677"/>
      <c r="D4" s="677"/>
      <c r="E4" s="677"/>
    </row>
    <row r="5" spans="1:5" ht="15.95" customHeight="1" thickBot="1" x14ac:dyDescent="0.3">
      <c r="A5" s="566" t="s">
        <v>102</v>
      </c>
      <c r="B5" s="566"/>
      <c r="C5" s="566"/>
      <c r="D5" s="567"/>
      <c r="E5" s="567" t="e">
        <f>CONCATENATE(#REF!)</f>
        <v>#REF!</v>
      </c>
    </row>
    <row r="6" spans="1:5" ht="15.95" customHeight="1" x14ac:dyDescent="0.25">
      <c r="A6" s="741" t="s">
        <v>52</v>
      </c>
      <c r="B6" s="743" t="s">
        <v>5</v>
      </c>
      <c r="C6" s="745" t="s">
        <v>807</v>
      </c>
      <c r="D6" s="747" t="s">
        <v>808</v>
      </c>
      <c r="E6" s="748"/>
    </row>
    <row r="7" spans="1:5" ht="38.1" customHeight="1" thickBot="1" x14ac:dyDescent="0.3">
      <c r="A7" s="742"/>
      <c r="B7" s="744"/>
      <c r="C7" s="746"/>
      <c r="D7" s="568" t="s">
        <v>452</v>
      </c>
      <c r="E7" s="352" t="s">
        <v>440</v>
      </c>
    </row>
    <row r="8" spans="1:5" s="166" customFormat="1" ht="12" customHeight="1" thickBot="1" x14ac:dyDescent="0.25">
      <c r="A8" s="569" t="s">
        <v>383</v>
      </c>
      <c r="B8" s="570" t="s">
        <v>384</v>
      </c>
      <c r="C8" s="570" t="s">
        <v>385</v>
      </c>
      <c r="D8" s="570" t="s">
        <v>386</v>
      </c>
      <c r="E8" s="571" t="s">
        <v>388</v>
      </c>
    </row>
    <row r="9" spans="1:5" s="167" customFormat="1" ht="12" customHeight="1" thickBot="1" x14ac:dyDescent="0.25">
      <c r="A9" s="18" t="s">
        <v>6</v>
      </c>
      <c r="B9" s="415" t="s">
        <v>160</v>
      </c>
      <c r="C9" s="155">
        <f>+C10+C11+C12+C13+C14+C15</f>
        <v>97049102</v>
      </c>
      <c r="D9" s="155">
        <f>+D10+D11+D12+D13+D14+D15</f>
        <v>114402555</v>
      </c>
      <c r="E9" s="92">
        <f>+E10+E11+E12+E13+E14+E15</f>
        <v>114402555</v>
      </c>
    </row>
    <row r="10" spans="1:5" s="167" customFormat="1" ht="12" customHeight="1" x14ac:dyDescent="0.2">
      <c r="A10" s="13" t="s">
        <v>64</v>
      </c>
      <c r="B10" s="416" t="s">
        <v>161</v>
      </c>
      <c r="C10" s="157">
        <v>79958946</v>
      </c>
      <c r="D10" s="157">
        <v>97231897</v>
      </c>
      <c r="E10" s="94">
        <v>97231897</v>
      </c>
    </row>
    <row r="11" spans="1:5" s="167" customFormat="1" ht="12" customHeight="1" x14ac:dyDescent="0.2">
      <c r="A11" s="12" t="s">
        <v>65</v>
      </c>
      <c r="B11" s="417" t="s">
        <v>162</v>
      </c>
      <c r="C11" s="156"/>
      <c r="D11" s="156"/>
      <c r="E11" s="93"/>
    </row>
    <row r="12" spans="1:5" s="167" customFormat="1" ht="12" customHeight="1" x14ac:dyDescent="0.2">
      <c r="A12" s="12" t="s">
        <v>66</v>
      </c>
      <c r="B12" s="417" t="s">
        <v>163</v>
      </c>
      <c r="C12" s="156">
        <v>12149060</v>
      </c>
      <c r="D12" s="156">
        <v>12169060</v>
      </c>
      <c r="E12" s="93">
        <v>12169060</v>
      </c>
    </row>
    <row r="13" spans="1:5" s="167" customFormat="1" ht="12" customHeight="1" x14ac:dyDescent="0.2">
      <c r="A13" s="12" t="s">
        <v>67</v>
      </c>
      <c r="B13" s="417" t="s">
        <v>164</v>
      </c>
      <c r="C13" s="156">
        <v>1456920</v>
      </c>
      <c r="D13" s="156">
        <v>1800000</v>
      </c>
      <c r="E13" s="93">
        <v>1800000</v>
      </c>
    </row>
    <row r="14" spans="1:5" s="167" customFormat="1" ht="12" customHeight="1" x14ac:dyDescent="0.2">
      <c r="A14" s="12" t="s">
        <v>99</v>
      </c>
      <c r="B14" s="417" t="s">
        <v>832</v>
      </c>
      <c r="C14" s="418">
        <v>303058</v>
      </c>
      <c r="D14" s="156"/>
      <c r="E14" s="93"/>
    </row>
    <row r="15" spans="1:5" s="167" customFormat="1" ht="12" customHeight="1" thickBot="1" x14ac:dyDescent="0.25">
      <c r="A15" s="14" t="s">
        <v>68</v>
      </c>
      <c r="B15" s="419" t="s">
        <v>525</v>
      </c>
      <c r="C15" s="420">
        <v>3181118</v>
      </c>
      <c r="D15" s="158">
        <v>3201598</v>
      </c>
      <c r="E15" s="95">
        <v>3201598</v>
      </c>
    </row>
    <row r="16" spans="1:5" s="167" customFormat="1" ht="12" customHeight="1" thickBot="1" x14ac:dyDescent="0.25">
      <c r="A16" s="18" t="s">
        <v>7</v>
      </c>
      <c r="B16" s="421" t="s">
        <v>165</v>
      </c>
      <c r="C16" s="155">
        <f>+C17+C18+C19+C20+C21</f>
        <v>17552051</v>
      </c>
      <c r="D16" s="155">
        <f>+D17+D18+D19+D20+D21</f>
        <v>25764285</v>
      </c>
      <c r="E16" s="92">
        <f>+E17+E18+E19+E20+E21</f>
        <v>22924473</v>
      </c>
    </row>
    <row r="17" spans="1:5" s="167" customFormat="1" ht="12" customHeight="1" x14ac:dyDescent="0.2">
      <c r="A17" s="13" t="s">
        <v>70</v>
      </c>
      <c r="B17" s="416" t="s">
        <v>166</v>
      </c>
      <c r="C17" s="157"/>
      <c r="D17" s="157"/>
      <c r="E17" s="94"/>
    </row>
    <row r="18" spans="1:5" s="167" customFormat="1" ht="12" customHeight="1" x14ac:dyDescent="0.2">
      <c r="A18" s="12" t="s">
        <v>71</v>
      </c>
      <c r="B18" s="417" t="s">
        <v>167</v>
      </c>
      <c r="C18" s="156"/>
      <c r="D18" s="156"/>
      <c r="E18" s="93"/>
    </row>
    <row r="19" spans="1:5" s="167" customFormat="1" ht="12" customHeight="1" x14ac:dyDescent="0.2">
      <c r="A19" s="12" t="s">
        <v>72</v>
      </c>
      <c r="B19" s="417" t="s">
        <v>324</v>
      </c>
      <c r="C19" s="156"/>
      <c r="D19" s="156"/>
      <c r="E19" s="93"/>
    </row>
    <row r="20" spans="1:5" s="167" customFormat="1" ht="12" customHeight="1" x14ac:dyDescent="0.2">
      <c r="A20" s="12" t="s">
        <v>73</v>
      </c>
      <c r="B20" s="417" t="s">
        <v>325</v>
      </c>
      <c r="C20" s="156"/>
      <c r="D20" s="156"/>
      <c r="E20" s="93"/>
    </row>
    <row r="21" spans="1:5" s="167" customFormat="1" ht="12" customHeight="1" x14ac:dyDescent="0.2">
      <c r="A21" s="12" t="s">
        <v>74</v>
      </c>
      <c r="B21" s="417" t="s">
        <v>168</v>
      </c>
      <c r="C21" s="156">
        <v>17552051</v>
      </c>
      <c r="D21" s="156">
        <v>25764285</v>
      </c>
      <c r="E21" s="93">
        <v>22924473</v>
      </c>
    </row>
    <row r="22" spans="1:5" s="167" customFormat="1" ht="12" customHeight="1" thickBot="1" x14ac:dyDescent="0.25">
      <c r="A22" s="14" t="s">
        <v>81</v>
      </c>
      <c r="B22" s="419" t="s">
        <v>169</v>
      </c>
      <c r="C22" s="158"/>
      <c r="D22" s="158"/>
      <c r="E22" s="95"/>
    </row>
    <row r="23" spans="1:5" s="167" customFormat="1" ht="12" customHeight="1" thickBot="1" x14ac:dyDescent="0.25">
      <c r="A23" s="18" t="s">
        <v>8</v>
      </c>
      <c r="B23" s="415" t="s">
        <v>170</v>
      </c>
      <c r="C23" s="155">
        <f>+C24+C25+C26+C27+C28</f>
        <v>56105346</v>
      </c>
      <c r="D23" s="155">
        <f>+D24+D25+D26+D27+D28</f>
        <v>11497731</v>
      </c>
      <c r="E23" s="92">
        <f>+E24+E25+E26+E27+E28</f>
        <v>11497731</v>
      </c>
    </row>
    <row r="24" spans="1:5" s="167" customFormat="1" ht="12" customHeight="1" x14ac:dyDescent="0.2">
      <c r="A24" s="13" t="s">
        <v>53</v>
      </c>
      <c r="B24" s="416" t="s">
        <v>171</v>
      </c>
      <c r="C24" s="157">
        <v>56105346</v>
      </c>
      <c r="D24" s="157">
        <v>11497731</v>
      </c>
      <c r="E24" s="94">
        <v>11497731</v>
      </c>
    </row>
    <row r="25" spans="1:5" s="167" customFormat="1" ht="12" customHeight="1" x14ac:dyDescent="0.2">
      <c r="A25" s="12" t="s">
        <v>54</v>
      </c>
      <c r="B25" s="417" t="s">
        <v>172</v>
      </c>
      <c r="C25" s="156"/>
      <c r="D25" s="156"/>
      <c r="E25" s="93"/>
    </row>
    <row r="26" spans="1:5" s="167" customFormat="1" ht="12" customHeight="1" x14ac:dyDescent="0.2">
      <c r="A26" s="12" t="s">
        <v>55</v>
      </c>
      <c r="B26" s="417" t="s">
        <v>326</v>
      </c>
      <c r="C26" s="156"/>
      <c r="D26" s="156"/>
      <c r="E26" s="93"/>
    </row>
    <row r="27" spans="1:5" s="167" customFormat="1" ht="12" customHeight="1" x14ac:dyDescent="0.2">
      <c r="A27" s="12" t="s">
        <v>56</v>
      </c>
      <c r="B27" s="417" t="s">
        <v>327</v>
      </c>
      <c r="C27" s="156"/>
      <c r="D27" s="156"/>
      <c r="E27" s="93"/>
    </row>
    <row r="28" spans="1:5" s="167" customFormat="1" ht="12" customHeight="1" x14ac:dyDescent="0.2">
      <c r="A28" s="12" t="s">
        <v>112</v>
      </c>
      <c r="B28" s="417" t="s">
        <v>173</v>
      </c>
      <c r="C28" s="156"/>
      <c r="D28" s="156"/>
      <c r="E28" s="93"/>
    </row>
    <row r="29" spans="1:5" s="167" customFormat="1" ht="12" customHeight="1" thickBot="1" x14ac:dyDescent="0.25">
      <c r="A29" s="14" t="s">
        <v>113</v>
      </c>
      <c r="B29" s="419" t="s">
        <v>174</v>
      </c>
      <c r="C29" s="158"/>
      <c r="D29" s="158"/>
      <c r="E29" s="95"/>
    </row>
    <row r="30" spans="1:5" s="167" customFormat="1" ht="12" customHeight="1" thickBot="1" x14ac:dyDescent="0.25">
      <c r="A30" s="25" t="s">
        <v>114</v>
      </c>
      <c r="B30" s="19" t="s">
        <v>526</v>
      </c>
      <c r="C30" s="161">
        <f>SUM(C31:C36)</f>
        <v>38195744</v>
      </c>
      <c r="D30" s="161">
        <f>SUM(D31:D36)</f>
        <v>40600000</v>
      </c>
      <c r="E30" s="197">
        <f>SUM(E31:E36)</f>
        <v>46481642</v>
      </c>
    </row>
    <row r="31" spans="1:5" s="167" customFormat="1" ht="12" customHeight="1" x14ac:dyDescent="0.2">
      <c r="A31" s="185" t="s">
        <v>175</v>
      </c>
      <c r="B31" s="168" t="s">
        <v>479</v>
      </c>
      <c r="C31" s="157"/>
      <c r="D31" s="157"/>
      <c r="E31" s="94"/>
    </row>
    <row r="32" spans="1:5" s="167" customFormat="1" ht="12" customHeight="1" x14ac:dyDescent="0.2">
      <c r="A32" s="186" t="s">
        <v>176</v>
      </c>
      <c r="B32" s="169" t="s">
        <v>480</v>
      </c>
      <c r="C32" s="156"/>
      <c r="D32" s="156"/>
      <c r="E32" s="93"/>
    </row>
    <row r="33" spans="1:5" s="167" customFormat="1" ht="12" customHeight="1" x14ac:dyDescent="0.2">
      <c r="A33" s="186" t="s">
        <v>177</v>
      </c>
      <c r="B33" s="169" t="s">
        <v>481</v>
      </c>
      <c r="C33" s="156">
        <v>13032670</v>
      </c>
      <c r="D33" s="156">
        <v>13500000</v>
      </c>
      <c r="E33" s="93">
        <v>16402953</v>
      </c>
    </row>
    <row r="34" spans="1:5" s="167" customFormat="1" ht="12" customHeight="1" x14ac:dyDescent="0.2">
      <c r="A34" s="186" t="s">
        <v>483</v>
      </c>
      <c r="B34" s="169" t="s">
        <v>834</v>
      </c>
      <c r="C34" s="156">
        <v>19086452</v>
      </c>
      <c r="D34" s="156">
        <v>20200000</v>
      </c>
      <c r="E34" s="93">
        <v>23218918</v>
      </c>
    </row>
    <row r="35" spans="1:5" s="167" customFormat="1" ht="12" customHeight="1" x14ac:dyDescent="0.2">
      <c r="A35" s="186" t="s">
        <v>484</v>
      </c>
      <c r="B35" s="169" t="s">
        <v>833</v>
      </c>
      <c r="C35" s="156">
        <v>6053782</v>
      </c>
      <c r="D35" s="156">
        <v>6400000</v>
      </c>
      <c r="E35" s="93">
        <v>6815965</v>
      </c>
    </row>
    <row r="36" spans="1:5" s="167" customFormat="1" ht="12" customHeight="1" thickBot="1" x14ac:dyDescent="0.25">
      <c r="A36" s="187" t="s">
        <v>485</v>
      </c>
      <c r="B36" s="101" t="s">
        <v>180</v>
      </c>
      <c r="C36" s="158">
        <v>22840</v>
      </c>
      <c r="D36" s="158">
        <v>500000</v>
      </c>
      <c r="E36" s="95">
        <v>43806</v>
      </c>
    </row>
    <row r="37" spans="1:5" s="167" customFormat="1" ht="12" customHeight="1" thickBot="1" x14ac:dyDescent="0.25">
      <c r="A37" s="18" t="s">
        <v>10</v>
      </c>
      <c r="B37" s="415" t="s">
        <v>527</v>
      </c>
      <c r="C37" s="155">
        <f>SUM(C38:C47)</f>
        <v>8548976</v>
      </c>
      <c r="D37" s="155">
        <f>SUM(D38:D47)</f>
        <v>9323429</v>
      </c>
      <c r="E37" s="92">
        <f>SUM(E38:E47)</f>
        <v>10227384</v>
      </c>
    </row>
    <row r="38" spans="1:5" s="167" customFormat="1" ht="12" customHeight="1" x14ac:dyDescent="0.2">
      <c r="A38" s="13" t="s">
        <v>57</v>
      </c>
      <c r="B38" s="416" t="s">
        <v>183</v>
      </c>
      <c r="C38" s="157"/>
      <c r="D38" s="157"/>
      <c r="E38" s="94">
        <v>9913</v>
      </c>
    </row>
    <row r="39" spans="1:5" s="167" customFormat="1" ht="12" customHeight="1" x14ac:dyDescent="0.2">
      <c r="A39" s="12" t="s">
        <v>58</v>
      </c>
      <c r="B39" s="417" t="s">
        <v>184</v>
      </c>
      <c r="C39" s="156">
        <v>2465600</v>
      </c>
      <c r="D39" s="156">
        <v>4211037</v>
      </c>
      <c r="E39" s="93">
        <v>5576208</v>
      </c>
    </row>
    <row r="40" spans="1:5" s="167" customFormat="1" ht="12" customHeight="1" x14ac:dyDescent="0.2">
      <c r="A40" s="12" t="s">
        <v>59</v>
      </c>
      <c r="B40" s="417" t="s">
        <v>185</v>
      </c>
      <c r="C40" s="156">
        <v>475893</v>
      </c>
      <c r="D40" s="156">
        <v>400000</v>
      </c>
      <c r="E40" s="93">
        <v>371019</v>
      </c>
    </row>
    <row r="41" spans="1:5" s="167" customFormat="1" ht="12" customHeight="1" x14ac:dyDescent="0.2">
      <c r="A41" s="12" t="s">
        <v>116</v>
      </c>
      <c r="B41" s="417" t="s">
        <v>186</v>
      </c>
      <c r="C41" s="156">
        <v>95680</v>
      </c>
      <c r="D41" s="156">
        <v>95680</v>
      </c>
      <c r="E41" s="93">
        <v>47840</v>
      </c>
    </row>
    <row r="42" spans="1:5" s="167" customFormat="1" ht="12" customHeight="1" x14ac:dyDescent="0.2">
      <c r="A42" s="12" t="s">
        <v>117</v>
      </c>
      <c r="B42" s="417" t="s">
        <v>187</v>
      </c>
      <c r="C42" s="156">
        <v>3334534</v>
      </c>
      <c r="D42" s="156">
        <v>3253100</v>
      </c>
      <c r="E42" s="93">
        <v>2907425</v>
      </c>
    </row>
    <row r="43" spans="1:5" s="167" customFormat="1" ht="12" customHeight="1" x14ac:dyDescent="0.2">
      <c r="A43" s="12" t="s">
        <v>118</v>
      </c>
      <c r="B43" s="417" t="s">
        <v>188</v>
      </c>
      <c r="C43" s="156">
        <v>1056086</v>
      </c>
      <c r="D43" s="156">
        <v>1263612</v>
      </c>
      <c r="E43" s="93">
        <v>1003965</v>
      </c>
    </row>
    <row r="44" spans="1:5" s="167" customFormat="1" ht="12" customHeight="1" x14ac:dyDescent="0.2">
      <c r="A44" s="12" t="s">
        <v>119</v>
      </c>
      <c r="B44" s="417" t="s">
        <v>189</v>
      </c>
      <c r="C44" s="156">
        <v>412000</v>
      </c>
      <c r="D44" s="156"/>
      <c r="E44" s="93"/>
    </row>
    <row r="45" spans="1:5" s="167" customFormat="1" ht="12" customHeight="1" x14ac:dyDescent="0.2">
      <c r="A45" s="12" t="s">
        <v>120</v>
      </c>
      <c r="B45" s="417" t="s">
        <v>190</v>
      </c>
      <c r="C45" s="156">
        <v>98320</v>
      </c>
      <c r="D45" s="156">
        <v>100000</v>
      </c>
      <c r="E45" s="93">
        <v>202640</v>
      </c>
    </row>
    <row r="46" spans="1:5" s="167" customFormat="1" ht="12" customHeight="1" x14ac:dyDescent="0.2">
      <c r="A46" s="12" t="s">
        <v>181</v>
      </c>
      <c r="B46" s="417" t="s">
        <v>835</v>
      </c>
      <c r="C46" s="159">
        <v>297300</v>
      </c>
      <c r="D46" s="159"/>
      <c r="E46" s="96">
        <v>58370</v>
      </c>
    </row>
    <row r="47" spans="1:5" s="167" customFormat="1" ht="12" customHeight="1" thickBot="1" x14ac:dyDescent="0.25">
      <c r="A47" s="14" t="s">
        <v>182</v>
      </c>
      <c r="B47" s="419" t="s">
        <v>192</v>
      </c>
      <c r="C47" s="160">
        <v>313563</v>
      </c>
      <c r="D47" s="160"/>
      <c r="E47" s="97">
        <v>50004</v>
      </c>
    </row>
    <row r="48" spans="1:5" s="167" customFormat="1" ht="12" customHeight="1" thickBot="1" x14ac:dyDescent="0.25">
      <c r="A48" s="18" t="s">
        <v>11</v>
      </c>
      <c r="B48" s="415" t="s">
        <v>193</v>
      </c>
      <c r="C48" s="155">
        <f>SUM(C49:C53)</f>
        <v>1030000</v>
      </c>
      <c r="D48" s="155">
        <f>SUM(D49:D53)</f>
        <v>0</v>
      </c>
      <c r="E48" s="92">
        <f>SUM(E49:E53)</f>
        <v>0</v>
      </c>
    </row>
    <row r="49" spans="1:5" s="167" customFormat="1" ht="12" customHeight="1" x14ac:dyDescent="0.2">
      <c r="A49" s="13" t="s">
        <v>60</v>
      </c>
      <c r="B49" s="416" t="s">
        <v>197</v>
      </c>
      <c r="C49" s="208"/>
      <c r="D49" s="208"/>
      <c r="E49" s="98"/>
    </row>
    <row r="50" spans="1:5" s="167" customFormat="1" ht="12" customHeight="1" x14ac:dyDescent="0.2">
      <c r="A50" s="12" t="s">
        <v>61</v>
      </c>
      <c r="B50" s="417" t="s">
        <v>198</v>
      </c>
      <c r="C50" s="159">
        <v>980000</v>
      </c>
      <c r="D50" s="159"/>
      <c r="E50" s="96"/>
    </row>
    <row r="51" spans="1:5" s="167" customFormat="1" ht="12" customHeight="1" x14ac:dyDescent="0.2">
      <c r="A51" s="12" t="s">
        <v>194</v>
      </c>
      <c r="B51" s="417" t="s">
        <v>836</v>
      </c>
      <c r="C51" s="159">
        <v>50000</v>
      </c>
      <c r="D51" s="159"/>
      <c r="E51" s="96"/>
    </row>
    <row r="52" spans="1:5" s="167" customFormat="1" ht="12" customHeight="1" x14ac:dyDescent="0.2">
      <c r="A52" s="12" t="s">
        <v>195</v>
      </c>
      <c r="B52" s="417" t="s">
        <v>200</v>
      </c>
      <c r="C52" s="159"/>
      <c r="D52" s="159"/>
      <c r="E52" s="96"/>
    </row>
    <row r="53" spans="1:5" s="167" customFormat="1" ht="12" customHeight="1" thickBot="1" x14ac:dyDescent="0.25">
      <c r="A53" s="14" t="s">
        <v>196</v>
      </c>
      <c r="B53" s="419" t="s">
        <v>201</v>
      </c>
      <c r="C53" s="160"/>
      <c r="D53" s="160"/>
      <c r="E53" s="97"/>
    </row>
    <row r="54" spans="1:5" s="167" customFormat="1" ht="13.5" thickBot="1" x14ac:dyDescent="0.25">
      <c r="A54" s="18" t="s">
        <v>121</v>
      </c>
      <c r="B54" s="415" t="s">
        <v>202</v>
      </c>
      <c r="C54" s="155">
        <f>SUM(C55:C57)</f>
        <v>0</v>
      </c>
      <c r="D54" s="155">
        <f>SUM(D55:D57)</f>
        <v>0</v>
      </c>
      <c r="E54" s="92">
        <f>SUM(E55:E57)</f>
        <v>0</v>
      </c>
    </row>
    <row r="55" spans="1:5" s="167" customFormat="1" ht="12.75" x14ac:dyDescent="0.2">
      <c r="A55" s="13" t="s">
        <v>62</v>
      </c>
      <c r="B55" s="416" t="s">
        <v>203</v>
      </c>
      <c r="C55" s="157"/>
      <c r="D55" s="157"/>
      <c r="E55" s="94"/>
    </row>
    <row r="56" spans="1:5" s="167" customFormat="1" ht="14.45" customHeight="1" x14ac:dyDescent="0.2">
      <c r="A56" s="12" t="s">
        <v>63</v>
      </c>
      <c r="B56" s="417" t="s">
        <v>528</v>
      </c>
      <c r="C56" s="156"/>
      <c r="D56" s="156"/>
      <c r="E56" s="93"/>
    </row>
    <row r="57" spans="1:5" s="167" customFormat="1" ht="12.75" x14ac:dyDescent="0.2">
      <c r="A57" s="12" t="s">
        <v>206</v>
      </c>
      <c r="B57" s="417" t="s">
        <v>204</v>
      </c>
      <c r="C57" s="156"/>
      <c r="D57" s="156"/>
      <c r="E57" s="93"/>
    </row>
    <row r="58" spans="1:5" s="167" customFormat="1" ht="13.5" thickBot="1" x14ac:dyDescent="0.25">
      <c r="A58" s="14" t="s">
        <v>207</v>
      </c>
      <c r="B58" s="419" t="s">
        <v>205</v>
      </c>
      <c r="C58" s="158"/>
      <c r="D58" s="158"/>
      <c r="E58" s="95"/>
    </row>
    <row r="59" spans="1:5" s="167" customFormat="1" ht="13.5" thickBot="1" x14ac:dyDescent="0.25">
      <c r="A59" s="18" t="s">
        <v>13</v>
      </c>
      <c r="B59" s="421" t="s">
        <v>208</v>
      </c>
      <c r="C59" s="155">
        <f>SUM(C60:C62)</f>
        <v>0</v>
      </c>
      <c r="D59" s="155">
        <f>SUM(D60:D62)</f>
        <v>0</v>
      </c>
      <c r="E59" s="92">
        <f>SUM(E60:E62)</f>
        <v>0</v>
      </c>
    </row>
    <row r="60" spans="1:5" s="167" customFormat="1" ht="12.75" x14ac:dyDescent="0.2">
      <c r="A60" s="12" t="s">
        <v>122</v>
      </c>
      <c r="B60" s="416" t="s">
        <v>210</v>
      </c>
      <c r="C60" s="159"/>
      <c r="D60" s="159"/>
      <c r="E60" s="96"/>
    </row>
    <row r="61" spans="1:5" s="167" customFormat="1" ht="12.75" customHeight="1" x14ac:dyDescent="0.2">
      <c r="A61" s="12" t="s">
        <v>123</v>
      </c>
      <c r="B61" s="417" t="s">
        <v>529</v>
      </c>
      <c r="C61" s="159"/>
      <c r="D61" s="159"/>
      <c r="E61" s="96"/>
    </row>
    <row r="62" spans="1:5" s="167" customFormat="1" ht="12.75" x14ac:dyDescent="0.2">
      <c r="A62" s="12" t="s">
        <v>142</v>
      </c>
      <c r="B62" s="417" t="s">
        <v>211</v>
      </c>
      <c r="C62" s="159"/>
      <c r="D62" s="159"/>
      <c r="E62" s="96"/>
    </row>
    <row r="63" spans="1:5" s="167" customFormat="1" ht="13.5" thickBot="1" x14ac:dyDescent="0.25">
      <c r="A63" s="12" t="s">
        <v>209</v>
      </c>
      <c r="B63" s="419" t="s">
        <v>212</v>
      </c>
      <c r="C63" s="159"/>
      <c r="D63" s="159"/>
      <c r="E63" s="96"/>
    </row>
    <row r="64" spans="1:5" s="167" customFormat="1" ht="13.5" thickBot="1" x14ac:dyDescent="0.25">
      <c r="A64" s="18" t="s">
        <v>14</v>
      </c>
      <c r="B64" s="415" t="s">
        <v>213</v>
      </c>
      <c r="C64" s="161">
        <f>+C9+C16+C23+C30+C37+C48+C54+C59</f>
        <v>218481219</v>
      </c>
      <c r="D64" s="161">
        <f>+D9+D16+D23+D30+D37+D48+D54+D59</f>
        <v>201588000</v>
      </c>
      <c r="E64" s="197">
        <f>+E9+E16+E23+E30+E37+E48+E54+E59</f>
        <v>205533785</v>
      </c>
    </row>
    <row r="65" spans="1:5" s="167" customFormat="1" ht="13.5" thickBot="1" x14ac:dyDescent="0.25">
      <c r="A65" s="209" t="s">
        <v>214</v>
      </c>
      <c r="B65" s="421" t="s">
        <v>530</v>
      </c>
      <c r="C65" s="155">
        <f>SUM(C66:C68)</f>
        <v>0</v>
      </c>
      <c r="D65" s="155">
        <f>SUM(D66:D68)</f>
        <v>0</v>
      </c>
      <c r="E65" s="92">
        <f>SUM(E66:E68)</f>
        <v>0</v>
      </c>
    </row>
    <row r="66" spans="1:5" s="167" customFormat="1" ht="12.75" x14ac:dyDescent="0.2">
      <c r="A66" s="12" t="s">
        <v>243</v>
      </c>
      <c r="B66" s="416" t="s">
        <v>216</v>
      </c>
      <c r="C66" s="159"/>
      <c r="D66" s="159"/>
      <c r="E66" s="96"/>
    </row>
    <row r="67" spans="1:5" s="167" customFormat="1" ht="12.75" x14ac:dyDescent="0.2">
      <c r="A67" s="12" t="s">
        <v>252</v>
      </c>
      <c r="B67" s="417" t="s">
        <v>217</v>
      </c>
      <c r="C67" s="159"/>
      <c r="D67" s="159"/>
      <c r="E67" s="96"/>
    </row>
    <row r="68" spans="1:5" s="167" customFormat="1" ht="13.5" thickBot="1" x14ac:dyDescent="0.25">
      <c r="A68" s="12" t="s">
        <v>253</v>
      </c>
      <c r="B68" s="219" t="s">
        <v>360</v>
      </c>
      <c r="C68" s="159"/>
      <c r="D68" s="159"/>
      <c r="E68" s="96"/>
    </row>
    <row r="69" spans="1:5" s="167" customFormat="1" ht="13.5" thickBot="1" x14ac:dyDescent="0.25">
      <c r="A69" s="209" t="s">
        <v>219</v>
      </c>
      <c r="B69" s="421" t="s">
        <v>220</v>
      </c>
      <c r="C69" s="155">
        <f>SUM(C70:C73)</f>
        <v>0</v>
      </c>
      <c r="D69" s="155">
        <f>SUM(D70:D73)</f>
        <v>0</v>
      </c>
      <c r="E69" s="92">
        <f>SUM(E70:E73)</f>
        <v>0</v>
      </c>
    </row>
    <row r="70" spans="1:5" s="167" customFormat="1" ht="12.75" x14ac:dyDescent="0.2">
      <c r="A70" s="12" t="s">
        <v>100</v>
      </c>
      <c r="B70" s="422" t="s">
        <v>221</v>
      </c>
      <c r="C70" s="159"/>
      <c r="D70" s="159"/>
      <c r="E70" s="96"/>
    </row>
    <row r="71" spans="1:5" s="167" customFormat="1" ht="12.75" x14ac:dyDescent="0.2">
      <c r="A71" s="12" t="s">
        <v>101</v>
      </c>
      <c r="B71" s="422" t="s">
        <v>493</v>
      </c>
      <c r="C71" s="159"/>
      <c r="D71" s="159"/>
      <c r="E71" s="96"/>
    </row>
    <row r="72" spans="1:5" s="167" customFormat="1" ht="12" customHeight="1" x14ac:dyDescent="0.2">
      <c r="A72" s="12" t="s">
        <v>244</v>
      </c>
      <c r="B72" s="422" t="s">
        <v>222</v>
      </c>
      <c r="C72" s="159"/>
      <c r="D72" s="159"/>
      <c r="E72" s="96"/>
    </row>
    <row r="73" spans="1:5" s="167" customFormat="1" ht="12" customHeight="1" thickBot="1" x14ac:dyDescent="0.25">
      <c r="A73" s="12" t="s">
        <v>245</v>
      </c>
      <c r="B73" s="423" t="s">
        <v>494</v>
      </c>
      <c r="C73" s="159"/>
      <c r="D73" s="159"/>
      <c r="E73" s="96"/>
    </row>
    <row r="74" spans="1:5" s="167" customFormat="1" ht="12" customHeight="1" thickBot="1" x14ac:dyDescent="0.25">
      <c r="A74" s="209" t="s">
        <v>223</v>
      </c>
      <c r="B74" s="421" t="s">
        <v>224</v>
      </c>
      <c r="C74" s="155">
        <f>SUM(C75:C76)</f>
        <v>11457685</v>
      </c>
      <c r="D74" s="155">
        <f>SUM(D75:D76)</f>
        <v>69930996</v>
      </c>
      <c r="E74" s="92">
        <f>SUM(E75:E76)</f>
        <v>69930996</v>
      </c>
    </row>
    <row r="75" spans="1:5" s="167" customFormat="1" ht="12" customHeight="1" x14ac:dyDescent="0.2">
      <c r="A75" s="12" t="s">
        <v>246</v>
      </c>
      <c r="B75" s="416" t="s">
        <v>225</v>
      </c>
      <c r="C75" s="159">
        <v>11457685</v>
      </c>
      <c r="D75" s="159">
        <v>69930996</v>
      </c>
      <c r="E75" s="96">
        <v>69930996</v>
      </c>
    </row>
    <row r="76" spans="1:5" s="167" customFormat="1" ht="12" customHeight="1" thickBot="1" x14ac:dyDescent="0.25">
      <c r="A76" s="12" t="s">
        <v>247</v>
      </c>
      <c r="B76" s="419" t="s">
        <v>226</v>
      </c>
      <c r="C76" s="159"/>
      <c r="D76" s="159"/>
      <c r="E76" s="96"/>
    </row>
    <row r="77" spans="1:5" s="167" customFormat="1" ht="12" customHeight="1" thickBot="1" x14ac:dyDescent="0.25">
      <c r="A77" s="209" t="s">
        <v>227</v>
      </c>
      <c r="B77" s="421" t="s">
        <v>228</v>
      </c>
      <c r="C77" s="155">
        <f>SUM(C78:C80)</f>
        <v>4455369</v>
      </c>
      <c r="D77" s="155">
        <f>SUM(D78:D80)</f>
        <v>0</v>
      </c>
      <c r="E77" s="92">
        <f>SUM(E78:E80)</f>
        <v>4360332</v>
      </c>
    </row>
    <row r="78" spans="1:5" s="167" customFormat="1" ht="12" customHeight="1" x14ac:dyDescent="0.2">
      <c r="A78" s="12" t="s">
        <v>248</v>
      </c>
      <c r="B78" s="416" t="s">
        <v>229</v>
      </c>
      <c r="C78" s="159">
        <v>4455369</v>
      </c>
      <c r="D78" s="159"/>
      <c r="E78" s="96">
        <v>4360332</v>
      </c>
    </row>
    <row r="79" spans="1:5" s="167" customFormat="1" ht="12" customHeight="1" x14ac:dyDescent="0.2">
      <c r="A79" s="12" t="s">
        <v>249</v>
      </c>
      <c r="B79" s="417" t="s">
        <v>230</v>
      </c>
      <c r="C79" s="159"/>
      <c r="D79" s="159"/>
      <c r="E79" s="96"/>
    </row>
    <row r="80" spans="1:5" s="167" customFormat="1" ht="12" customHeight="1" thickBot="1" x14ac:dyDescent="0.25">
      <c r="A80" s="12" t="s">
        <v>250</v>
      </c>
      <c r="B80" s="424" t="s">
        <v>531</v>
      </c>
      <c r="C80" s="159"/>
      <c r="D80" s="159"/>
      <c r="E80" s="96"/>
    </row>
    <row r="81" spans="1:5" s="167" customFormat="1" ht="12" customHeight="1" thickBot="1" x14ac:dyDescent="0.25">
      <c r="A81" s="209" t="s">
        <v>231</v>
      </c>
      <c r="B81" s="421" t="s">
        <v>251</v>
      </c>
      <c r="C81" s="155">
        <f>SUM(C82:C85)</f>
        <v>0</v>
      </c>
      <c r="D81" s="155">
        <f>SUM(D82:D85)</f>
        <v>0</v>
      </c>
      <c r="E81" s="92">
        <f>SUM(E82:E85)</f>
        <v>0</v>
      </c>
    </row>
    <row r="82" spans="1:5" s="167" customFormat="1" ht="12" customHeight="1" x14ac:dyDescent="0.2">
      <c r="A82" s="425" t="s">
        <v>232</v>
      </c>
      <c r="B82" s="416" t="s">
        <v>233</v>
      </c>
      <c r="C82" s="159"/>
      <c r="D82" s="159"/>
      <c r="E82" s="96"/>
    </row>
    <row r="83" spans="1:5" s="167" customFormat="1" ht="12" customHeight="1" x14ac:dyDescent="0.2">
      <c r="A83" s="426" t="s">
        <v>234</v>
      </c>
      <c r="B83" s="417" t="s">
        <v>235</v>
      </c>
      <c r="C83" s="159"/>
      <c r="D83" s="159"/>
      <c r="E83" s="96"/>
    </row>
    <row r="84" spans="1:5" s="167" customFormat="1" ht="12" customHeight="1" x14ac:dyDescent="0.2">
      <c r="A84" s="426" t="s">
        <v>236</v>
      </c>
      <c r="B84" s="417" t="s">
        <v>237</v>
      </c>
      <c r="C84" s="159"/>
      <c r="D84" s="159"/>
      <c r="E84" s="96"/>
    </row>
    <row r="85" spans="1:5" s="167" customFormat="1" ht="12" customHeight="1" thickBot="1" x14ac:dyDescent="0.25">
      <c r="A85" s="427" t="s">
        <v>238</v>
      </c>
      <c r="B85" s="419" t="s">
        <v>239</v>
      </c>
      <c r="C85" s="159"/>
      <c r="D85" s="159"/>
      <c r="E85" s="96"/>
    </row>
    <row r="86" spans="1:5" s="167" customFormat="1" ht="12" customHeight="1" thickBot="1" x14ac:dyDescent="0.25">
      <c r="A86" s="209" t="s">
        <v>240</v>
      </c>
      <c r="B86" s="421" t="s">
        <v>241</v>
      </c>
      <c r="C86" s="211"/>
      <c r="D86" s="211"/>
      <c r="E86" s="212"/>
    </row>
    <row r="87" spans="1:5" s="167" customFormat="1" ht="13.5" customHeight="1" thickBot="1" x14ac:dyDescent="0.25">
      <c r="A87" s="209" t="s">
        <v>242</v>
      </c>
      <c r="B87" s="428" t="s">
        <v>532</v>
      </c>
      <c r="C87" s="161">
        <f>+C65+C69+C74+C77+C81+C86</f>
        <v>15913054</v>
      </c>
      <c r="D87" s="161">
        <f>+D65+D69+D74+D77+D81+D86</f>
        <v>69930996</v>
      </c>
      <c r="E87" s="197">
        <f>+E65+E69+E74+E77+E81+E86</f>
        <v>74291328</v>
      </c>
    </row>
    <row r="88" spans="1:5" s="167" customFormat="1" ht="12" customHeight="1" thickBot="1" x14ac:dyDescent="0.25">
      <c r="A88" s="210" t="s">
        <v>254</v>
      </c>
      <c r="B88" s="429" t="s">
        <v>533</v>
      </c>
      <c r="C88" s="161">
        <f>+C64+C87</f>
        <v>234394273</v>
      </c>
      <c r="D88" s="161">
        <f>+D64+D87</f>
        <v>271518996</v>
      </c>
      <c r="E88" s="197">
        <f>+E64+E87</f>
        <v>279825113</v>
      </c>
    </row>
    <row r="89" spans="1:5" ht="16.5" customHeight="1" x14ac:dyDescent="0.25">
      <c r="A89" s="678" t="s">
        <v>34</v>
      </c>
      <c r="B89" s="678"/>
      <c r="C89" s="678"/>
      <c r="D89" s="678"/>
      <c r="E89" s="678"/>
    </row>
    <row r="90" spans="1:5" s="177" customFormat="1" ht="16.5" customHeight="1" thickBot="1" x14ac:dyDescent="0.3">
      <c r="A90" s="430" t="s">
        <v>103</v>
      </c>
      <c r="B90" s="430"/>
      <c r="C90" s="430"/>
      <c r="D90" s="60"/>
      <c r="E90" s="60" t="e">
        <f>E5</f>
        <v>#REF!</v>
      </c>
    </row>
    <row r="91" spans="1:5" s="177" customFormat="1" ht="16.5" customHeight="1" x14ac:dyDescent="0.25">
      <c r="A91" s="749" t="s">
        <v>52</v>
      </c>
      <c r="B91" s="674" t="s">
        <v>414</v>
      </c>
      <c r="C91" s="671" t="str">
        <f>+C6</f>
        <v>2017. évi tény</v>
      </c>
      <c r="D91" s="752" t="str">
        <f>+D6</f>
        <v>2018. évi</v>
      </c>
      <c r="E91" s="753"/>
    </row>
    <row r="92" spans="1:5" ht="38.1" customHeight="1" thickBot="1" x14ac:dyDescent="0.3">
      <c r="A92" s="750"/>
      <c r="B92" s="751"/>
      <c r="C92" s="672"/>
      <c r="D92" s="239" t="s">
        <v>452</v>
      </c>
      <c r="E92" s="414" t="s">
        <v>440</v>
      </c>
    </row>
    <row r="93" spans="1:5" s="166" customFormat="1" ht="12" customHeight="1" thickBot="1" x14ac:dyDescent="0.25">
      <c r="A93" s="25" t="s">
        <v>383</v>
      </c>
      <c r="B93" s="26" t="s">
        <v>384</v>
      </c>
      <c r="C93" s="26" t="s">
        <v>385</v>
      </c>
      <c r="D93" s="26" t="s">
        <v>386</v>
      </c>
      <c r="E93" s="431" t="s">
        <v>388</v>
      </c>
    </row>
    <row r="94" spans="1:5" ht="12" customHeight="1" thickBot="1" x14ac:dyDescent="0.3">
      <c r="A94" s="20" t="s">
        <v>6</v>
      </c>
      <c r="B94" s="24" t="s">
        <v>534</v>
      </c>
      <c r="C94" s="154">
        <f>SUM(C95:C99)</f>
        <v>64986587</v>
      </c>
      <c r="D94" s="154">
        <f>+D95+D96+D97+D98+D99</f>
        <v>105158235</v>
      </c>
      <c r="E94" s="226">
        <f>+E95+E96+E97+E98+E99</f>
        <v>81294203</v>
      </c>
    </row>
    <row r="95" spans="1:5" ht="12" customHeight="1" x14ac:dyDescent="0.25">
      <c r="A95" s="15" t="s">
        <v>64</v>
      </c>
      <c r="B95" s="432" t="s">
        <v>35</v>
      </c>
      <c r="C95" s="233">
        <v>18532263</v>
      </c>
      <c r="D95" s="233">
        <v>21122770</v>
      </c>
      <c r="E95" s="227">
        <v>21026893</v>
      </c>
    </row>
    <row r="96" spans="1:5" ht="12" customHeight="1" x14ac:dyDescent="0.25">
      <c r="A96" s="12" t="s">
        <v>65</v>
      </c>
      <c r="B96" s="433" t="s">
        <v>124</v>
      </c>
      <c r="C96" s="156">
        <v>3516051</v>
      </c>
      <c r="D96" s="156">
        <v>3887979</v>
      </c>
      <c r="E96" s="93">
        <v>3463589</v>
      </c>
    </row>
    <row r="97" spans="1:5" ht="12" customHeight="1" x14ac:dyDescent="0.25">
      <c r="A97" s="12" t="s">
        <v>66</v>
      </c>
      <c r="B97" s="433" t="s">
        <v>92</v>
      </c>
      <c r="C97" s="158">
        <v>34156828</v>
      </c>
      <c r="D97" s="158">
        <v>60706285</v>
      </c>
      <c r="E97" s="95">
        <v>49697831</v>
      </c>
    </row>
    <row r="98" spans="1:5" ht="12" customHeight="1" x14ac:dyDescent="0.25">
      <c r="A98" s="12" t="s">
        <v>67</v>
      </c>
      <c r="B98" s="434" t="s">
        <v>125</v>
      </c>
      <c r="C98" s="158">
        <v>1467930</v>
      </c>
      <c r="D98" s="158">
        <v>5091000</v>
      </c>
      <c r="E98" s="95">
        <v>2537250</v>
      </c>
    </row>
    <row r="99" spans="1:5" ht="12" customHeight="1" x14ac:dyDescent="0.25">
      <c r="A99" s="12" t="s">
        <v>76</v>
      </c>
      <c r="B99" s="435" t="s">
        <v>126</v>
      </c>
      <c r="C99" s="158">
        <v>7313515</v>
      </c>
      <c r="D99" s="158">
        <v>14350201</v>
      </c>
      <c r="E99" s="95">
        <v>4568640</v>
      </c>
    </row>
    <row r="100" spans="1:5" ht="12" customHeight="1" x14ac:dyDescent="0.25">
      <c r="A100" s="12" t="s">
        <v>68</v>
      </c>
      <c r="B100" s="433" t="s">
        <v>535</v>
      </c>
      <c r="C100" s="158"/>
      <c r="D100" s="158"/>
      <c r="E100" s="95"/>
    </row>
    <row r="101" spans="1:5" ht="12" customHeight="1" x14ac:dyDescent="0.25">
      <c r="A101" s="12" t="s">
        <v>69</v>
      </c>
      <c r="B101" s="436" t="s">
        <v>257</v>
      </c>
      <c r="C101" s="158"/>
      <c r="D101" s="158"/>
      <c r="E101" s="95"/>
    </row>
    <row r="102" spans="1:5" ht="12" customHeight="1" x14ac:dyDescent="0.25">
      <c r="A102" s="12" t="s">
        <v>77</v>
      </c>
      <c r="B102" s="433" t="s">
        <v>258</v>
      </c>
      <c r="C102" s="158"/>
      <c r="D102" s="158"/>
      <c r="E102" s="95"/>
    </row>
    <row r="103" spans="1:5" ht="12" customHeight="1" x14ac:dyDescent="0.25">
      <c r="A103" s="12" t="s">
        <v>78</v>
      </c>
      <c r="B103" s="433" t="s">
        <v>259</v>
      </c>
      <c r="C103" s="158"/>
      <c r="D103" s="158"/>
      <c r="E103" s="95"/>
    </row>
    <row r="104" spans="1:5" ht="12" customHeight="1" x14ac:dyDescent="0.25">
      <c r="A104" s="12" t="s">
        <v>79</v>
      </c>
      <c r="B104" s="436" t="s">
        <v>260</v>
      </c>
      <c r="C104" s="158"/>
      <c r="D104" s="158"/>
      <c r="E104" s="95"/>
    </row>
    <row r="105" spans="1:5" ht="12" customHeight="1" x14ac:dyDescent="0.25">
      <c r="A105" s="12" t="s">
        <v>80</v>
      </c>
      <c r="B105" s="436" t="s">
        <v>261</v>
      </c>
      <c r="C105" s="158"/>
      <c r="D105" s="158"/>
      <c r="E105" s="95"/>
    </row>
    <row r="106" spans="1:5" ht="12" customHeight="1" x14ac:dyDescent="0.25">
      <c r="A106" s="12" t="s">
        <v>82</v>
      </c>
      <c r="B106" s="433" t="s">
        <v>262</v>
      </c>
      <c r="C106" s="158"/>
      <c r="D106" s="158"/>
      <c r="E106" s="95"/>
    </row>
    <row r="107" spans="1:5" ht="12" customHeight="1" x14ac:dyDescent="0.25">
      <c r="A107" s="11" t="s">
        <v>127</v>
      </c>
      <c r="B107" s="437" t="s">
        <v>263</v>
      </c>
      <c r="C107" s="158"/>
      <c r="D107" s="158"/>
      <c r="E107" s="95"/>
    </row>
    <row r="108" spans="1:5" ht="12" customHeight="1" x14ac:dyDescent="0.25">
      <c r="A108" s="12" t="s">
        <v>255</v>
      </c>
      <c r="B108" s="437" t="s">
        <v>264</v>
      </c>
      <c r="C108" s="158"/>
      <c r="D108" s="158"/>
      <c r="E108" s="95"/>
    </row>
    <row r="109" spans="1:5" ht="12" customHeight="1" thickBot="1" x14ac:dyDescent="0.3">
      <c r="A109" s="16" t="s">
        <v>256</v>
      </c>
      <c r="B109" s="438" t="s">
        <v>265</v>
      </c>
      <c r="C109" s="234"/>
      <c r="D109" s="234"/>
      <c r="E109" s="228"/>
    </row>
    <row r="110" spans="1:5" ht="12" customHeight="1" thickBot="1" x14ac:dyDescent="0.3">
      <c r="A110" s="18" t="s">
        <v>7</v>
      </c>
      <c r="B110" s="23" t="s">
        <v>536</v>
      </c>
      <c r="C110" s="155">
        <f>+C111+C113+C115</f>
        <v>18754350</v>
      </c>
      <c r="D110" s="155">
        <f>+D111+D113+D115</f>
        <v>78475088</v>
      </c>
      <c r="E110" s="92">
        <f>+E111+E113+E115</f>
        <v>70402557</v>
      </c>
    </row>
    <row r="111" spans="1:5" ht="12" customHeight="1" x14ac:dyDescent="0.25">
      <c r="A111" s="13" t="s">
        <v>70</v>
      </c>
      <c r="B111" s="433" t="s">
        <v>141</v>
      </c>
      <c r="C111" s="157">
        <v>17417808</v>
      </c>
      <c r="D111" s="157">
        <v>11759782</v>
      </c>
      <c r="E111" s="94">
        <v>9576213</v>
      </c>
    </row>
    <row r="112" spans="1:5" ht="12" customHeight="1" x14ac:dyDescent="0.25">
      <c r="A112" s="13" t="s">
        <v>71</v>
      </c>
      <c r="B112" s="437" t="s">
        <v>270</v>
      </c>
      <c r="C112" s="157"/>
      <c r="D112" s="157"/>
      <c r="E112" s="94"/>
    </row>
    <row r="113" spans="1:5" x14ac:dyDescent="0.25">
      <c r="A113" s="13" t="s">
        <v>72</v>
      </c>
      <c r="B113" s="437" t="s">
        <v>128</v>
      </c>
      <c r="C113" s="156">
        <v>836542</v>
      </c>
      <c r="D113" s="156">
        <v>66715306</v>
      </c>
      <c r="E113" s="93">
        <v>60826344</v>
      </c>
    </row>
    <row r="114" spans="1:5" ht="12" customHeight="1" x14ac:dyDescent="0.25">
      <c r="A114" s="13" t="s">
        <v>73</v>
      </c>
      <c r="B114" s="437" t="s">
        <v>271</v>
      </c>
      <c r="C114" s="156"/>
      <c r="D114" s="156"/>
      <c r="E114" s="93"/>
    </row>
    <row r="115" spans="1:5" ht="12" customHeight="1" x14ac:dyDescent="0.25">
      <c r="A115" s="13" t="s">
        <v>74</v>
      </c>
      <c r="B115" s="419" t="s">
        <v>143</v>
      </c>
      <c r="C115" s="156">
        <v>500000</v>
      </c>
      <c r="D115" s="156"/>
      <c r="E115" s="93"/>
    </row>
    <row r="116" spans="1:5" x14ac:dyDescent="0.25">
      <c r="A116" s="13" t="s">
        <v>81</v>
      </c>
      <c r="B116" s="417" t="s">
        <v>330</v>
      </c>
      <c r="C116" s="156"/>
      <c r="D116" s="156"/>
      <c r="E116" s="93"/>
    </row>
    <row r="117" spans="1:5" x14ac:dyDescent="0.25">
      <c r="A117" s="13" t="s">
        <v>83</v>
      </c>
      <c r="B117" s="439" t="s">
        <v>276</v>
      </c>
      <c r="C117" s="156"/>
      <c r="D117" s="156"/>
      <c r="E117" s="93"/>
    </row>
    <row r="118" spans="1:5" ht="12" customHeight="1" x14ac:dyDescent="0.25">
      <c r="A118" s="13" t="s">
        <v>129</v>
      </c>
      <c r="B118" s="433" t="s">
        <v>259</v>
      </c>
      <c r="C118" s="156"/>
      <c r="D118" s="156"/>
      <c r="E118" s="93"/>
    </row>
    <row r="119" spans="1:5" ht="12" customHeight="1" x14ac:dyDescent="0.25">
      <c r="A119" s="13" t="s">
        <v>130</v>
      </c>
      <c r="B119" s="433" t="s">
        <v>275</v>
      </c>
      <c r="C119" s="156"/>
      <c r="D119" s="156"/>
      <c r="E119" s="93"/>
    </row>
    <row r="120" spans="1:5" ht="12" customHeight="1" x14ac:dyDescent="0.25">
      <c r="A120" s="13" t="s">
        <v>131</v>
      </c>
      <c r="B120" s="433" t="s">
        <v>274</v>
      </c>
      <c r="C120" s="156"/>
      <c r="D120" s="156"/>
      <c r="E120" s="93"/>
    </row>
    <row r="121" spans="1:5" s="440" customFormat="1" ht="12" customHeight="1" x14ac:dyDescent="0.2">
      <c r="A121" s="13" t="s">
        <v>267</v>
      </c>
      <c r="B121" s="433" t="s">
        <v>262</v>
      </c>
      <c r="C121" s="156"/>
      <c r="D121" s="156"/>
      <c r="E121" s="93"/>
    </row>
    <row r="122" spans="1:5" ht="12" customHeight="1" x14ac:dyDescent="0.25">
      <c r="A122" s="13" t="s">
        <v>268</v>
      </c>
      <c r="B122" s="433" t="s">
        <v>273</v>
      </c>
      <c r="C122" s="156"/>
      <c r="D122" s="156"/>
      <c r="E122" s="93"/>
    </row>
    <row r="123" spans="1:5" ht="12" customHeight="1" thickBot="1" x14ac:dyDescent="0.3">
      <c r="A123" s="11" t="s">
        <v>269</v>
      </c>
      <c r="B123" s="433" t="s">
        <v>272</v>
      </c>
      <c r="C123" s="158"/>
      <c r="D123" s="158"/>
      <c r="E123" s="95"/>
    </row>
    <row r="124" spans="1:5" ht="12" customHeight="1" thickBot="1" x14ac:dyDescent="0.3">
      <c r="A124" s="18" t="s">
        <v>8</v>
      </c>
      <c r="B124" s="441" t="s">
        <v>537</v>
      </c>
      <c r="C124" s="155">
        <f>+C125+C126</f>
        <v>0</v>
      </c>
      <c r="D124" s="155">
        <f>+D125+D126</f>
        <v>0</v>
      </c>
      <c r="E124" s="92">
        <f>+E125+E126</f>
        <v>0</v>
      </c>
    </row>
    <row r="125" spans="1:5" ht="12" customHeight="1" x14ac:dyDescent="0.25">
      <c r="A125" s="13" t="s">
        <v>53</v>
      </c>
      <c r="B125" s="439" t="s">
        <v>538</v>
      </c>
      <c r="C125" s="157"/>
      <c r="D125" s="157"/>
      <c r="E125" s="94"/>
    </row>
    <row r="126" spans="1:5" ht="12" customHeight="1" thickBot="1" x14ac:dyDescent="0.3">
      <c r="A126" s="14" t="s">
        <v>54</v>
      </c>
      <c r="B126" s="437" t="s">
        <v>539</v>
      </c>
      <c r="C126" s="158"/>
      <c r="D126" s="158"/>
      <c r="E126" s="95"/>
    </row>
    <row r="127" spans="1:5" ht="12" customHeight="1" thickBot="1" x14ac:dyDescent="0.3">
      <c r="A127" s="18" t="s">
        <v>9</v>
      </c>
      <c r="B127" s="441" t="s">
        <v>540</v>
      </c>
      <c r="C127" s="155">
        <f>+C94+C110+C124</f>
        <v>83740937</v>
      </c>
      <c r="D127" s="155">
        <f>+D94+D110+D124</f>
        <v>183633323</v>
      </c>
      <c r="E127" s="92">
        <f>+E94+E110+E124</f>
        <v>151696760</v>
      </c>
    </row>
    <row r="128" spans="1:5" ht="12" customHeight="1" thickBot="1" x14ac:dyDescent="0.3">
      <c r="A128" s="18" t="s">
        <v>10</v>
      </c>
      <c r="B128" s="441" t="s">
        <v>541</v>
      </c>
      <c r="C128" s="155">
        <f>+C129+C130+C131</f>
        <v>0</v>
      </c>
      <c r="D128" s="155">
        <f>+D129+D130+D131</f>
        <v>0</v>
      </c>
      <c r="E128" s="92">
        <f>+E129+E130+E131</f>
        <v>0</v>
      </c>
    </row>
    <row r="129" spans="1:9" ht="12" customHeight="1" x14ac:dyDescent="0.25">
      <c r="A129" s="13" t="s">
        <v>57</v>
      </c>
      <c r="B129" s="439" t="s">
        <v>402</v>
      </c>
      <c r="C129" s="156"/>
      <c r="D129" s="156"/>
      <c r="E129" s="93"/>
    </row>
    <row r="130" spans="1:9" ht="12" customHeight="1" x14ac:dyDescent="0.25">
      <c r="A130" s="13" t="s">
        <v>58</v>
      </c>
      <c r="B130" s="439" t="s">
        <v>356</v>
      </c>
      <c r="C130" s="156"/>
      <c r="D130" s="156"/>
      <c r="E130" s="93"/>
    </row>
    <row r="131" spans="1:9" ht="12" customHeight="1" thickBot="1" x14ac:dyDescent="0.3">
      <c r="A131" s="11" t="s">
        <v>59</v>
      </c>
      <c r="B131" s="442" t="s">
        <v>401</v>
      </c>
      <c r="C131" s="156"/>
      <c r="D131" s="156"/>
      <c r="E131" s="93"/>
    </row>
    <row r="132" spans="1:9" ht="12" customHeight="1" thickBot="1" x14ac:dyDescent="0.3">
      <c r="A132" s="18" t="s">
        <v>11</v>
      </c>
      <c r="B132" s="441" t="s">
        <v>542</v>
      </c>
      <c r="C132" s="155">
        <f>+C133+C134+C135+C136</f>
        <v>0</v>
      </c>
      <c r="D132" s="155">
        <f>+D133+D134+D135+D136</f>
        <v>0</v>
      </c>
      <c r="E132" s="92">
        <f>+E133+E134+E135+E136</f>
        <v>0</v>
      </c>
    </row>
    <row r="133" spans="1:9" ht="12" customHeight="1" x14ac:dyDescent="0.25">
      <c r="A133" s="13" t="s">
        <v>60</v>
      </c>
      <c r="B133" s="439" t="s">
        <v>358</v>
      </c>
      <c r="C133" s="156"/>
      <c r="D133" s="156"/>
      <c r="E133" s="93"/>
    </row>
    <row r="134" spans="1:9" ht="12" customHeight="1" x14ac:dyDescent="0.25">
      <c r="A134" s="13" t="s">
        <v>61</v>
      </c>
      <c r="B134" s="439" t="s">
        <v>543</v>
      </c>
      <c r="C134" s="156"/>
      <c r="D134" s="156"/>
      <c r="E134" s="93"/>
    </row>
    <row r="135" spans="1:9" ht="12" customHeight="1" x14ac:dyDescent="0.25">
      <c r="A135" s="13" t="s">
        <v>194</v>
      </c>
      <c r="B135" s="439" t="s">
        <v>350</v>
      </c>
      <c r="C135" s="156"/>
      <c r="D135" s="156"/>
      <c r="E135" s="93"/>
    </row>
    <row r="136" spans="1:9" ht="12" customHeight="1" thickBot="1" x14ac:dyDescent="0.3">
      <c r="A136" s="11" t="s">
        <v>195</v>
      </c>
      <c r="B136" s="442" t="s">
        <v>544</v>
      </c>
      <c r="C136" s="156"/>
      <c r="D136" s="156"/>
      <c r="E136" s="93"/>
    </row>
    <row r="137" spans="1:9" ht="12" customHeight="1" thickBot="1" x14ac:dyDescent="0.3">
      <c r="A137" s="18" t="s">
        <v>12</v>
      </c>
      <c r="B137" s="441" t="s">
        <v>545</v>
      </c>
      <c r="C137" s="161">
        <f>+C138+C139+C140+C141</f>
        <v>3716223</v>
      </c>
      <c r="D137" s="161">
        <f>+D138+D139+D140+D141</f>
        <v>4455369</v>
      </c>
      <c r="E137" s="197">
        <f>+E138+E139+E140+E141</f>
        <v>4455369</v>
      </c>
    </row>
    <row r="138" spans="1:9" ht="12" customHeight="1" x14ac:dyDescent="0.25">
      <c r="A138" s="13" t="s">
        <v>62</v>
      </c>
      <c r="B138" s="439" t="s">
        <v>277</v>
      </c>
      <c r="C138" s="156"/>
      <c r="D138" s="156"/>
      <c r="E138" s="93"/>
    </row>
    <row r="139" spans="1:9" ht="12" customHeight="1" x14ac:dyDescent="0.25">
      <c r="A139" s="13" t="s">
        <v>63</v>
      </c>
      <c r="B139" s="439" t="s">
        <v>278</v>
      </c>
      <c r="C139" s="156">
        <v>3716223</v>
      </c>
      <c r="D139" s="156">
        <v>4455369</v>
      </c>
      <c r="E139" s="93">
        <v>4455369</v>
      </c>
    </row>
    <row r="140" spans="1:9" ht="12" customHeight="1" x14ac:dyDescent="0.25">
      <c r="A140" s="13" t="s">
        <v>206</v>
      </c>
      <c r="B140" s="439" t="s">
        <v>546</v>
      </c>
      <c r="C140" s="156"/>
      <c r="D140" s="156"/>
      <c r="E140" s="93"/>
    </row>
    <row r="141" spans="1:9" ht="12" customHeight="1" thickBot="1" x14ac:dyDescent="0.3">
      <c r="A141" s="11" t="s">
        <v>207</v>
      </c>
      <c r="B141" s="442" t="s">
        <v>294</v>
      </c>
      <c r="C141" s="156"/>
      <c r="D141" s="156"/>
      <c r="E141" s="93"/>
    </row>
    <row r="142" spans="1:9" ht="15.2" customHeight="1" thickBot="1" x14ac:dyDescent="0.3">
      <c r="A142" s="18" t="s">
        <v>13</v>
      </c>
      <c r="B142" s="441" t="s">
        <v>547</v>
      </c>
      <c r="C142" s="236">
        <f>+C143+C144+C145+C146</f>
        <v>0</v>
      </c>
      <c r="D142" s="236">
        <f>+D143+D144+D145+D146</f>
        <v>0</v>
      </c>
      <c r="E142" s="230">
        <f>+E143+E144+E145+E146</f>
        <v>0</v>
      </c>
      <c r="F142" s="178"/>
      <c r="G142" s="179"/>
      <c r="H142" s="179"/>
      <c r="I142" s="179"/>
    </row>
    <row r="143" spans="1:9" s="167" customFormat="1" ht="12.95" customHeight="1" x14ac:dyDescent="0.2">
      <c r="A143" s="13" t="s">
        <v>122</v>
      </c>
      <c r="B143" s="439" t="s">
        <v>548</v>
      </c>
      <c r="C143" s="156"/>
      <c r="D143" s="156"/>
      <c r="E143" s="93"/>
    </row>
    <row r="144" spans="1:9" ht="13.5" customHeight="1" x14ac:dyDescent="0.25">
      <c r="A144" s="13" t="s">
        <v>123</v>
      </c>
      <c r="B144" s="439" t="s">
        <v>549</v>
      </c>
      <c r="C144" s="156"/>
      <c r="D144" s="156"/>
      <c r="E144" s="93"/>
    </row>
    <row r="145" spans="1:5" ht="13.5" customHeight="1" x14ac:dyDescent="0.25">
      <c r="A145" s="13" t="s">
        <v>142</v>
      </c>
      <c r="B145" s="439" t="s">
        <v>550</v>
      </c>
      <c r="C145" s="156"/>
      <c r="D145" s="156"/>
      <c r="E145" s="93"/>
    </row>
    <row r="146" spans="1:5" ht="13.5" customHeight="1" thickBot="1" x14ac:dyDescent="0.3">
      <c r="A146" s="13" t="s">
        <v>209</v>
      </c>
      <c r="B146" s="439" t="s">
        <v>551</v>
      </c>
      <c r="C146" s="156"/>
      <c r="D146" s="156"/>
      <c r="E146" s="93"/>
    </row>
    <row r="147" spans="1:5" ht="12.75" customHeight="1" thickBot="1" x14ac:dyDescent="0.3">
      <c r="A147" s="18" t="s">
        <v>14</v>
      </c>
      <c r="B147" s="441" t="s">
        <v>552</v>
      </c>
      <c r="C147" s="238">
        <f>+C128+C132+C137+C142</f>
        <v>3716223</v>
      </c>
      <c r="D147" s="238">
        <f>+D128+D132+D137+D142</f>
        <v>4455369</v>
      </c>
      <c r="E147" s="232">
        <f>+E128+E132+E137+E142</f>
        <v>4455369</v>
      </c>
    </row>
    <row r="148" spans="1:5" ht="13.5" customHeight="1" thickBot="1" x14ac:dyDescent="0.3">
      <c r="A148" s="102" t="s">
        <v>15</v>
      </c>
      <c r="B148" s="443" t="s">
        <v>553</v>
      </c>
      <c r="C148" s="238">
        <f>+C127+C147</f>
        <v>87457160</v>
      </c>
      <c r="D148" s="238">
        <f>+D127+D147</f>
        <v>188088692</v>
      </c>
      <c r="E148" s="232">
        <f>+E127+E147</f>
        <v>156152129</v>
      </c>
    </row>
    <row r="149" spans="1:5" ht="13.5" customHeight="1" x14ac:dyDescent="0.25">
      <c r="C149" s="608"/>
      <c r="D149" s="608"/>
    </row>
    <row r="150" spans="1:5" ht="13.5" customHeight="1" x14ac:dyDescent="0.25"/>
    <row r="151" spans="1:5" ht="7.5" customHeight="1" x14ac:dyDescent="0.25"/>
    <row r="153" spans="1:5" ht="12.7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</sheetData>
  <mergeCells count="13">
    <mergeCell ref="A89:E89"/>
    <mergeCell ref="A91:A92"/>
    <mergeCell ref="B91:B92"/>
    <mergeCell ref="C91:C92"/>
    <mergeCell ref="D91:E91"/>
    <mergeCell ref="A1:E1"/>
    <mergeCell ref="A2:E2"/>
    <mergeCell ref="A3:E3"/>
    <mergeCell ref="A4:E4"/>
    <mergeCell ref="A6:A7"/>
    <mergeCell ref="B6:B7"/>
    <mergeCell ref="C6:C7"/>
    <mergeCell ref="D6:E6"/>
  </mergeCells>
  <printOptions horizontalCentered="1"/>
  <pageMargins left="0.59055118110236227" right="0.59055118110236227" top="0.59055118110236227" bottom="0.59055118110236227" header="0.39370078740157483" footer="0.39370078740157483"/>
  <pageSetup paperSize="8" scale="67" fitToHeight="2" orientation="portrait" r:id="rId1"/>
  <headerFooter alignWithMargins="0"/>
  <rowBreaks count="1" manualBreakCount="1">
    <brk id="88" max="4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1"/>
  <sheetViews>
    <sheetView zoomScale="120" zoomScaleNormal="120" workbookViewId="0">
      <selection activeCell="C17" sqref="C17"/>
    </sheetView>
  </sheetViews>
  <sheetFormatPr defaultRowHeight="12.75" x14ac:dyDescent="0.2"/>
  <cols>
    <col min="1" max="1" width="6.6640625" style="31" customWidth="1"/>
    <col min="2" max="2" width="46" style="31" customWidth="1"/>
    <col min="3" max="3" width="20.83203125" style="31" customWidth="1"/>
    <col min="4" max="5" width="12.83203125" style="31" customWidth="1"/>
    <col min="6" max="16384" width="9.33203125" style="31"/>
  </cols>
  <sheetData>
    <row r="1" spans="1:5" ht="15" x14ac:dyDescent="0.25">
      <c r="A1" s="756" t="str">
        <f>CONCATENATE("6. tájékoztató tábla ",Z_ALAPADATOK!A7," ",Z_ALAPADATOK!B7," ",Z_ALAPADATOK!C7," ",Z_ALAPADATOK!D7," ",Z_ALAPADATOK!E7," ",Z_ALAPADATOK!F7," ",Z_ALAPADATOK!G7," ",Z_ALAPADATOK!H7)</f>
        <v>6. tájékoztató tábla a 6 / 2019. ( IV.25 ) önkormányzati rendelethez</v>
      </c>
      <c r="B1" s="756"/>
      <c r="C1" s="756"/>
      <c r="D1" s="756"/>
      <c r="E1" s="756"/>
    </row>
    <row r="2" spans="1:5" x14ac:dyDescent="0.2">
      <c r="A2" s="67"/>
      <c r="B2" s="67"/>
      <c r="C2" s="67"/>
      <c r="D2" s="67"/>
      <c r="E2" s="67"/>
    </row>
    <row r="3" spans="1:5" ht="15.75" x14ac:dyDescent="0.25">
      <c r="A3" s="690" t="s">
        <v>724</v>
      </c>
      <c r="B3" s="690"/>
      <c r="C3" s="690"/>
      <c r="D3" s="690"/>
      <c r="E3" s="690"/>
    </row>
    <row r="4" spans="1:5" ht="15.75" x14ac:dyDescent="0.25">
      <c r="A4" s="690" t="s">
        <v>806</v>
      </c>
      <c r="B4" s="690"/>
      <c r="C4" s="690"/>
      <c r="D4" s="690"/>
      <c r="E4" s="690"/>
    </row>
    <row r="5" spans="1:5" x14ac:dyDescent="0.2">
      <c r="A5" s="67"/>
      <c r="B5" s="67"/>
      <c r="C5" s="67"/>
      <c r="D5" s="67"/>
      <c r="E5" s="67"/>
    </row>
    <row r="6" spans="1:5" ht="14.25" thickBot="1" x14ac:dyDescent="0.3">
      <c r="A6" s="67"/>
      <c r="B6" s="67"/>
      <c r="C6" s="67"/>
      <c r="D6" s="572"/>
      <c r="E6" s="572" t="e">
        <f>#REF!</f>
        <v>#REF!</v>
      </c>
    </row>
    <row r="7" spans="1:5" ht="42.75" customHeight="1" thickBot="1" x14ac:dyDescent="0.25">
      <c r="A7" s="573" t="s">
        <v>52</v>
      </c>
      <c r="B7" s="574" t="s">
        <v>554</v>
      </c>
      <c r="C7" s="574" t="s">
        <v>555</v>
      </c>
      <c r="D7" s="575" t="s">
        <v>556</v>
      </c>
      <c r="E7" s="576" t="s">
        <v>557</v>
      </c>
    </row>
    <row r="8" spans="1:5" ht="15.95" customHeight="1" thickBot="1" x14ac:dyDescent="0.25">
      <c r="A8" s="445" t="s">
        <v>6</v>
      </c>
      <c r="B8" s="446" t="s">
        <v>838</v>
      </c>
      <c r="C8" s="446" t="s">
        <v>837</v>
      </c>
      <c r="D8" s="447">
        <v>20000</v>
      </c>
      <c r="E8" s="448">
        <v>20000</v>
      </c>
    </row>
    <row r="9" spans="1:5" ht="15.95" customHeight="1" thickBot="1" x14ac:dyDescent="0.25">
      <c r="A9" s="449" t="s">
        <v>7</v>
      </c>
      <c r="B9" s="450" t="s">
        <v>839</v>
      </c>
      <c r="C9" s="446" t="s">
        <v>837</v>
      </c>
      <c r="D9" s="451">
        <v>10000</v>
      </c>
      <c r="E9" s="452">
        <v>10000</v>
      </c>
    </row>
    <row r="10" spans="1:5" ht="15.95" customHeight="1" thickBot="1" x14ac:dyDescent="0.25">
      <c r="A10" s="449" t="s">
        <v>8</v>
      </c>
      <c r="B10" s="450" t="s">
        <v>840</v>
      </c>
      <c r="C10" s="446" t="s">
        <v>837</v>
      </c>
      <c r="D10" s="451">
        <v>140000</v>
      </c>
      <c r="E10" s="452">
        <v>140000</v>
      </c>
    </row>
    <row r="11" spans="1:5" ht="15.95" customHeight="1" thickBot="1" x14ac:dyDescent="0.25">
      <c r="A11" s="449" t="s">
        <v>9</v>
      </c>
      <c r="B11" s="450" t="s">
        <v>841</v>
      </c>
      <c r="C11" s="446" t="s">
        <v>837</v>
      </c>
      <c r="D11" s="451">
        <v>5000</v>
      </c>
      <c r="E11" s="452">
        <v>5000</v>
      </c>
    </row>
    <row r="12" spans="1:5" ht="15.95" customHeight="1" thickBot="1" x14ac:dyDescent="0.25">
      <c r="A12" s="449" t="s">
        <v>10</v>
      </c>
      <c r="B12" s="450" t="s">
        <v>842</v>
      </c>
      <c r="C12" s="446" t="s">
        <v>837</v>
      </c>
      <c r="D12" s="451">
        <v>1200000</v>
      </c>
      <c r="E12" s="452">
        <v>1200000</v>
      </c>
    </row>
    <row r="13" spans="1:5" ht="15.95" customHeight="1" thickBot="1" x14ac:dyDescent="0.25">
      <c r="A13" s="449" t="s">
        <v>11</v>
      </c>
      <c r="B13" s="450" t="s">
        <v>843</v>
      </c>
      <c r="C13" s="446" t="s">
        <v>837</v>
      </c>
      <c r="D13" s="451">
        <v>50000</v>
      </c>
      <c r="E13" s="452">
        <v>50000</v>
      </c>
    </row>
    <row r="14" spans="1:5" ht="15.95" customHeight="1" x14ac:dyDescent="0.2">
      <c r="A14" s="449" t="s">
        <v>12</v>
      </c>
      <c r="B14" s="450" t="s">
        <v>844</v>
      </c>
      <c r="C14" s="446" t="s">
        <v>837</v>
      </c>
      <c r="D14" s="451">
        <v>650000</v>
      </c>
      <c r="E14" s="452">
        <v>650000</v>
      </c>
    </row>
    <row r="15" spans="1:5" ht="15.95" customHeight="1" x14ac:dyDescent="0.2">
      <c r="A15" s="449" t="s">
        <v>13</v>
      </c>
      <c r="B15" s="450"/>
      <c r="C15" s="450"/>
      <c r="D15" s="451"/>
      <c r="E15" s="452"/>
    </row>
    <row r="16" spans="1:5" ht="15.95" customHeight="1" x14ac:dyDescent="0.2">
      <c r="A16" s="449" t="s">
        <v>14</v>
      </c>
      <c r="B16" s="450"/>
      <c r="C16" s="450"/>
      <c r="D16" s="451"/>
      <c r="E16" s="452"/>
    </row>
    <row r="17" spans="1:5" ht="15.95" customHeight="1" x14ac:dyDescent="0.2">
      <c r="A17" s="449" t="s">
        <v>15</v>
      </c>
      <c r="B17" s="450"/>
      <c r="C17" s="450"/>
      <c r="D17" s="451"/>
      <c r="E17" s="452"/>
    </row>
    <row r="18" spans="1:5" ht="15.95" customHeight="1" x14ac:dyDescent="0.2">
      <c r="A18" s="449" t="s">
        <v>16</v>
      </c>
      <c r="B18" s="450"/>
      <c r="C18" s="450"/>
      <c r="D18" s="451"/>
      <c r="E18" s="452"/>
    </row>
    <row r="19" spans="1:5" ht="15.95" customHeight="1" x14ac:dyDescent="0.2">
      <c r="A19" s="449" t="s">
        <v>17</v>
      </c>
      <c r="B19" s="450"/>
      <c r="C19" s="450"/>
      <c r="D19" s="451"/>
      <c r="E19" s="452"/>
    </row>
    <row r="20" spans="1:5" ht="15.95" customHeight="1" x14ac:dyDescent="0.2">
      <c r="A20" s="449" t="s">
        <v>18</v>
      </c>
      <c r="B20" s="450"/>
      <c r="C20" s="450"/>
      <c r="D20" s="451"/>
      <c r="E20" s="452"/>
    </row>
    <row r="21" spans="1:5" ht="15.95" customHeight="1" x14ac:dyDescent="0.2">
      <c r="A21" s="449" t="s">
        <v>19</v>
      </c>
      <c r="B21" s="450"/>
      <c r="C21" s="450"/>
      <c r="D21" s="451"/>
      <c r="E21" s="452"/>
    </row>
    <row r="22" spans="1:5" ht="15.95" customHeight="1" x14ac:dyDescent="0.2">
      <c r="A22" s="449" t="s">
        <v>20</v>
      </c>
      <c r="B22" s="450"/>
      <c r="C22" s="450"/>
      <c r="D22" s="451"/>
      <c r="E22" s="452"/>
    </row>
    <row r="23" spans="1:5" ht="15.95" customHeight="1" x14ac:dyDescent="0.2">
      <c r="A23" s="449" t="s">
        <v>21</v>
      </c>
      <c r="B23" s="450"/>
      <c r="C23" s="450"/>
      <c r="D23" s="451"/>
      <c r="E23" s="452"/>
    </row>
    <row r="24" spans="1:5" ht="15.95" customHeight="1" x14ac:dyDescent="0.2">
      <c r="A24" s="449" t="s">
        <v>22</v>
      </c>
      <c r="B24" s="450"/>
      <c r="C24" s="450"/>
      <c r="D24" s="451"/>
      <c r="E24" s="452"/>
    </row>
    <row r="25" spans="1:5" ht="15.95" customHeight="1" x14ac:dyDescent="0.2">
      <c r="A25" s="449" t="s">
        <v>23</v>
      </c>
      <c r="B25" s="450"/>
      <c r="C25" s="450"/>
      <c r="D25" s="451"/>
      <c r="E25" s="452"/>
    </row>
    <row r="26" spans="1:5" ht="15.95" customHeight="1" x14ac:dyDescent="0.2">
      <c r="A26" s="449" t="s">
        <v>24</v>
      </c>
      <c r="B26" s="450"/>
      <c r="C26" s="450"/>
      <c r="D26" s="451"/>
      <c r="E26" s="452"/>
    </row>
    <row r="27" spans="1:5" ht="15.95" customHeight="1" x14ac:dyDescent="0.2">
      <c r="A27" s="449" t="s">
        <v>25</v>
      </c>
      <c r="B27" s="450"/>
      <c r="C27" s="450"/>
      <c r="D27" s="451"/>
      <c r="E27" s="452"/>
    </row>
    <row r="28" spans="1:5" ht="15.95" customHeight="1" x14ac:dyDescent="0.2">
      <c r="A28" s="449" t="s">
        <v>26</v>
      </c>
      <c r="B28" s="450"/>
      <c r="C28" s="450"/>
      <c r="D28" s="451"/>
      <c r="E28" s="452"/>
    </row>
    <row r="29" spans="1:5" ht="15.95" customHeight="1" x14ac:dyDescent="0.2">
      <c r="A29" s="449" t="s">
        <v>27</v>
      </c>
      <c r="B29" s="450"/>
      <c r="C29" s="450"/>
      <c r="D29" s="451"/>
      <c r="E29" s="452"/>
    </row>
    <row r="30" spans="1:5" ht="15.95" customHeight="1" x14ac:dyDescent="0.2">
      <c r="A30" s="449" t="s">
        <v>28</v>
      </c>
      <c r="B30" s="450"/>
      <c r="C30" s="450"/>
      <c r="D30" s="451"/>
      <c r="E30" s="452"/>
    </row>
    <row r="31" spans="1:5" ht="15.95" customHeight="1" x14ac:dyDescent="0.2">
      <c r="A31" s="449" t="s">
        <v>29</v>
      </c>
      <c r="B31" s="450"/>
      <c r="C31" s="450"/>
      <c r="D31" s="451"/>
      <c r="E31" s="452"/>
    </row>
    <row r="32" spans="1:5" ht="15.95" customHeight="1" x14ac:dyDescent="0.2">
      <c r="A32" s="449" t="s">
        <v>30</v>
      </c>
      <c r="B32" s="450"/>
      <c r="C32" s="450"/>
      <c r="D32" s="451"/>
      <c r="E32" s="452"/>
    </row>
    <row r="33" spans="1:5" ht="15.95" customHeight="1" x14ac:dyDescent="0.2">
      <c r="A33" s="449" t="s">
        <v>31</v>
      </c>
      <c r="B33" s="450"/>
      <c r="C33" s="450"/>
      <c r="D33" s="451"/>
      <c r="E33" s="452"/>
    </row>
    <row r="34" spans="1:5" ht="15.95" customHeight="1" x14ac:dyDescent="0.2">
      <c r="A34" s="449" t="s">
        <v>32</v>
      </c>
      <c r="B34" s="450"/>
      <c r="C34" s="450"/>
      <c r="D34" s="451"/>
      <c r="E34" s="452"/>
    </row>
    <row r="35" spans="1:5" ht="15.95" customHeight="1" x14ac:dyDescent="0.2">
      <c r="A35" s="449" t="s">
        <v>33</v>
      </c>
      <c r="B35" s="450"/>
      <c r="C35" s="450"/>
      <c r="D35" s="451"/>
      <c r="E35" s="452"/>
    </row>
    <row r="36" spans="1:5" ht="15.95" customHeight="1" x14ac:dyDescent="0.2">
      <c r="A36" s="449" t="s">
        <v>558</v>
      </c>
      <c r="B36" s="450"/>
      <c r="C36" s="450"/>
      <c r="D36" s="451"/>
      <c r="E36" s="452"/>
    </row>
    <row r="37" spans="1:5" ht="15.95" customHeight="1" x14ac:dyDescent="0.2">
      <c r="A37" s="449" t="s">
        <v>559</v>
      </c>
      <c r="B37" s="450"/>
      <c r="C37" s="450"/>
      <c r="D37" s="451"/>
      <c r="E37" s="452"/>
    </row>
    <row r="38" spans="1:5" ht="15.95" customHeight="1" x14ac:dyDescent="0.2">
      <c r="A38" s="449" t="s">
        <v>560</v>
      </c>
      <c r="B38" s="450"/>
      <c r="C38" s="450"/>
      <c r="D38" s="451"/>
      <c r="E38" s="452"/>
    </row>
    <row r="39" spans="1:5" ht="15.95" customHeight="1" x14ac:dyDescent="0.2">
      <c r="A39" s="449" t="s">
        <v>561</v>
      </c>
      <c r="B39" s="450"/>
      <c r="C39" s="450"/>
      <c r="D39" s="451"/>
      <c r="E39" s="452"/>
    </row>
    <row r="40" spans="1:5" ht="15.95" customHeight="1" thickBot="1" x14ac:dyDescent="0.25">
      <c r="A40" s="453" t="s">
        <v>562</v>
      </c>
      <c r="B40" s="454"/>
      <c r="C40" s="454"/>
      <c r="D40" s="455"/>
      <c r="E40" s="456"/>
    </row>
    <row r="41" spans="1:5" ht="15.95" customHeight="1" thickBot="1" x14ac:dyDescent="0.25">
      <c r="A41" s="754" t="s">
        <v>38</v>
      </c>
      <c r="B41" s="755"/>
      <c r="C41" s="457"/>
      <c r="D41" s="458">
        <f>SUM(D8:D40)</f>
        <v>2075000</v>
      </c>
      <c r="E41" s="459">
        <f>SUM(E8:E40)</f>
        <v>2075000</v>
      </c>
    </row>
  </sheetData>
  <mergeCells count="4">
    <mergeCell ref="A41:B41"/>
    <mergeCell ref="A1:E1"/>
    <mergeCell ref="A4:E4"/>
    <mergeCell ref="A3:E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8"/>
  <sheetViews>
    <sheetView zoomScale="120" zoomScaleNormal="120" workbookViewId="0">
      <selection activeCell="I22" sqref="I22"/>
    </sheetView>
  </sheetViews>
  <sheetFormatPr defaultRowHeight="12.75" x14ac:dyDescent="0.2"/>
  <cols>
    <col min="1" max="1" width="71.1640625" style="489" customWidth="1"/>
    <col min="2" max="2" width="6.1640625" style="501" customWidth="1"/>
    <col min="3" max="3" width="18" style="488" customWidth="1"/>
    <col min="4" max="16384" width="9.33203125" style="488"/>
  </cols>
  <sheetData>
    <row r="1" spans="1:3" ht="16.5" customHeight="1" x14ac:dyDescent="0.2">
      <c r="A1" s="758" t="str">
        <f>CONCATENATE("7.2. tájékoztató tábla ",Z_ALAPADATOK!A7," ",Z_ALAPADATOK!B7," ",Z_ALAPADATOK!C7," ",Z_ALAPADATOK!D7," ",Z_ALAPADATOK!E7," ",Z_ALAPADATOK!F7," ",Z_ALAPADATOK!G7," ",Z_ALAPADATOK!H7)</f>
        <v>7.2. tájékoztató tábla a 6 / 2019. ( IV.25 ) önkormányzati rendelethez</v>
      </c>
      <c r="B1" s="759"/>
      <c r="C1" s="759"/>
    </row>
    <row r="2" spans="1:3" ht="16.5" customHeight="1" x14ac:dyDescent="0.2">
      <c r="A2" s="582"/>
      <c r="B2" s="583"/>
      <c r="C2" s="584"/>
    </row>
    <row r="3" spans="1:3" ht="16.5" customHeight="1" x14ac:dyDescent="0.2">
      <c r="A3" s="762" t="s">
        <v>728</v>
      </c>
      <c r="B3" s="762"/>
      <c r="C3" s="762"/>
    </row>
    <row r="4" spans="1:3" ht="16.5" customHeight="1" x14ac:dyDescent="0.2">
      <c r="A4" s="760" t="s">
        <v>772</v>
      </c>
      <c r="B4" s="760"/>
      <c r="C4" s="760"/>
    </row>
    <row r="5" spans="1:3" ht="16.5" customHeight="1" x14ac:dyDescent="0.2">
      <c r="A5" s="760" t="s">
        <v>809</v>
      </c>
      <c r="B5" s="761"/>
      <c r="C5" s="761"/>
    </row>
    <row r="6" spans="1:3" ht="13.5" thickBot="1" x14ac:dyDescent="0.25">
      <c r="A6" s="582"/>
      <c r="B6" s="763" t="e">
        <f>'Z_6.tájékoztató_t.'!E6</f>
        <v>#REF!</v>
      </c>
      <c r="C6" s="763"/>
    </row>
    <row r="7" spans="1:3" s="490" customFormat="1" ht="31.5" customHeight="1" x14ac:dyDescent="0.2">
      <c r="A7" s="764" t="s">
        <v>668</v>
      </c>
      <c r="B7" s="766" t="s">
        <v>564</v>
      </c>
      <c r="C7" s="768" t="s">
        <v>669</v>
      </c>
    </row>
    <row r="8" spans="1:3" s="490" customFormat="1" x14ac:dyDescent="0.2">
      <c r="A8" s="765"/>
      <c r="B8" s="767"/>
      <c r="C8" s="769"/>
    </row>
    <row r="9" spans="1:3" s="491" customFormat="1" ht="13.5" thickBot="1" x14ac:dyDescent="0.25">
      <c r="A9" s="585" t="s">
        <v>383</v>
      </c>
      <c r="B9" s="586" t="s">
        <v>384</v>
      </c>
      <c r="C9" s="587" t="s">
        <v>385</v>
      </c>
    </row>
    <row r="10" spans="1:3" ht="15.75" customHeight="1" x14ac:dyDescent="0.2">
      <c r="A10" s="468" t="s">
        <v>670</v>
      </c>
      <c r="B10" s="492" t="s">
        <v>571</v>
      </c>
      <c r="C10" s="493">
        <v>530061833</v>
      </c>
    </row>
    <row r="11" spans="1:3" ht="15.75" customHeight="1" x14ac:dyDescent="0.2">
      <c r="A11" s="468" t="s">
        <v>671</v>
      </c>
      <c r="B11" s="469" t="s">
        <v>573</v>
      </c>
      <c r="C11" s="493">
        <v>100226896</v>
      </c>
    </row>
    <row r="12" spans="1:3" ht="15.75" customHeight="1" x14ac:dyDescent="0.2">
      <c r="A12" s="468" t="s">
        <v>672</v>
      </c>
      <c r="B12" s="469" t="s">
        <v>575</v>
      </c>
      <c r="C12" s="493">
        <v>6188902</v>
      </c>
    </row>
    <row r="13" spans="1:3" ht="15.75" customHeight="1" x14ac:dyDescent="0.2">
      <c r="A13" s="468" t="s">
        <v>673</v>
      </c>
      <c r="B13" s="469" t="s">
        <v>577</v>
      </c>
      <c r="C13" s="494">
        <v>-146449280</v>
      </c>
    </row>
    <row r="14" spans="1:3" ht="15.75" customHeight="1" x14ac:dyDescent="0.2">
      <c r="A14" s="468" t="s">
        <v>674</v>
      </c>
      <c r="B14" s="469" t="s">
        <v>579</v>
      </c>
      <c r="C14" s="494"/>
    </row>
    <row r="15" spans="1:3" ht="15.75" customHeight="1" x14ac:dyDescent="0.2">
      <c r="A15" s="468" t="s">
        <v>675</v>
      </c>
      <c r="B15" s="469" t="s">
        <v>581</v>
      </c>
      <c r="C15" s="494">
        <v>27660453</v>
      </c>
    </row>
    <row r="16" spans="1:3" ht="15.75" customHeight="1" x14ac:dyDescent="0.2">
      <c r="A16" s="468" t="s">
        <v>676</v>
      </c>
      <c r="B16" s="469" t="s">
        <v>583</v>
      </c>
      <c r="C16" s="495">
        <f>+C10+C11+C12+C13+C14+C15</f>
        <v>517688804</v>
      </c>
    </row>
    <row r="17" spans="1:5" ht="15.75" customHeight="1" x14ac:dyDescent="0.2">
      <c r="A17" s="468" t="s">
        <v>677</v>
      </c>
      <c r="B17" s="469" t="s">
        <v>585</v>
      </c>
      <c r="C17" s="496">
        <v>4360332</v>
      </c>
    </row>
    <row r="18" spans="1:5" ht="15.75" customHeight="1" x14ac:dyDescent="0.2">
      <c r="A18" s="468" t="s">
        <v>678</v>
      </c>
      <c r="B18" s="469" t="s">
        <v>587</v>
      </c>
      <c r="C18" s="494"/>
    </row>
    <row r="19" spans="1:5" ht="15.75" customHeight="1" x14ac:dyDescent="0.2">
      <c r="A19" s="468" t="s">
        <v>679</v>
      </c>
      <c r="B19" s="469" t="s">
        <v>15</v>
      </c>
      <c r="C19" s="494">
        <v>3641835</v>
      </c>
    </row>
    <row r="20" spans="1:5" ht="15.75" customHeight="1" x14ac:dyDescent="0.2">
      <c r="A20" s="468" t="s">
        <v>680</v>
      </c>
      <c r="B20" s="469" t="s">
        <v>16</v>
      </c>
      <c r="C20" s="495">
        <f>+C17+C18+C19</f>
        <v>8002167</v>
      </c>
    </row>
    <row r="21" spans="1:5" s="497" customFormat="1" ht="15.75" customHeight="1" x14ac:dyDescent="0.2">
      <c r="A21" s="468" t="s">
        <v>681</v>
      </c>
      <c r="B21" s="469" t="s">
        <v>17</v>
      </c>
      <c r="C21" s="494"/>
    </row>
    <row r="22" spans="1:5" ht="15.75" customHeight="1" x14ac:dyDescent="0.2">
      <c r="A22" s="468" t="s">
        <v>682</v>
      </c>
      <c r="B22" s="469" t="s">
        <v>18</v>
      </c>
      <c r="C22" s="494">
        <v>64854482</v>
      </c>
    </row>
    <row r="23" spans="1:5" ht="15.75" customHeight="1" thickBot="1" x14ac:dyDescent="0.25">
      <c r="A23" s="498" t="s">
        <v>683</v>
      </c>
      <c r="B23" s="480" t="s">
        <v>19</v>
      </c>
      <c r="C23" s="499">
        <f>+C16+C20+C21+C22</f>
        <v>590545453</v>
      </c>
    </row>
    <row r="24" spans="1:5" ht="15.75" x14ac:dyDescent="0.25">
      <c r="A24" s="483"/>
      <c r="B24" s="486"/>
      <c r="C24" s="484"/>
      <c r="D24" s="484"/>
      <c r="E24" s="484"/>
    </row>
    <row r="25" spans="1:5" ht="15.75" x14ac:dyDescent="0.25">
      <c r="A25" s="483"/>
      <c r="B25" s="486"/>
      <c r="C25" s="484"/>
      <c r="D25" s="484"/>
      <c r="E25" s="484"/>
    </row>
    <row r="26" spans="1:5" ht="15.75" x14ac:dyDescent="0.25">
      <c r="A26" s="486"/>
      <c r="B26" s="486"/>
      <c r="C26" s="484"/>
      <c r="D26" s="484"/>
      <c r="E26" s="484"/>
    </row>
    <row r="27" spans="1:5" ht="15.75" x14ac:dyDescent="0.25">
      <c r="A27" s="757"/>
      <c r="B27" s="757"/>
      <c r="C27" s="757"/>
      <c r="D27" s="500"/>
      <c r="E27" s="500"/>
    </row>
    <row r="28" spans="1:5" ht="15.75" x14ac:dyDescent="0.25">
      <c r="A28" s="757"/>
      <c r="B28" s="757"/>
      <c r="C28" s="757"/>
      <c r="D28" s="500"/>
      <c r="E28" s="500"/>
    </row>
  </sheetData>
  <sheetProtection sheet="1"/>
  <mergeCells count="10">
    <mergeCell ref="A27:C27"/>
    <mergeCell ref="A28:C28"/>
    <mergeCell ref="A1:C1"/>
    <mergeCell ref="A5:C5"/>
    <mergeCell ref="A3:C3"/>
    <mergeCell ref="A4:C4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……/2018. (……)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6"/>
  <sheetViews>
    <sheetView topLeftCell="A4" zoomScale="120" zoomScaleNormal="120" zoomScaleSheetLayoutView="120" workbookViewId="0">
      <selection activeCell="C65" sqref="C65"/>
    </sheetView>
  </sheetViews>
  <sheetFormatPr defaultColWidth="12" defaultRowHeight="15.75" x14ac:dyDescent="0.25"/>
  <cols>
    <col min="1" max="1" width="67.1640625" style="460" customWidth="1"/>
    <col min="2" max="2" width="6.1640625" style="461" customWidth="1"/>
    <col min="3" max="4" width="12.1640625" style="460" customWidth="1"/>
    <col min="5" max="5" width="12.1640625" style="487" customWidth="1"/>
    <col min="6" max="16384" width="12" style="460"/>
  </cols>
  <sheetData>
    <row r="1" spans="1:5" x14ac:dyDescent="0.25">
      <c r="A1" s="771" t="str">
        <f>CONCATENATE("7.1. tájékoztató tábla ",Z_ALAPADATOK!A7," ",Z_ALAPADATOK!B7," ",Z_ALAPADATOK!C7," ",Z_ALAPADATOK!D7," ",Z_ALAPADATOK!E7," ",Z_ALAPADATOK!F7," ",Z_ALAPADATOK!G7," ",Z_ALAPADATOK!H7)</f>
        <v>7.1. tájékoztató tábla a 6 / 2019. ( IV.25 ) önkormányzati rendelethez</v>
      </c>
      <c r="B1" s="664"/>
      <c r="C1" s="664"/>
      <c r="D1" s="664"/>
      <c r="E1" s="664"/>
    </row>
    <row r="2" spans="1:5" x14ac:dyDescent="0.25">
      <c r="A2" s="772" t="s">
        <v>728</v>
      </c>
      <c r="B2" s="773"/>
      <c r="C2" s="773"/>
      <c r="D2" s="773"/>
      <c r="E2" s="773"/>
    </row>
    <row r="3" spans="1:5" ht="16.5" customHeight="1" x14ac:dyDescent="0.25">
      <c r="A3" s="772" t="s">
        <v>729</v>
      </c>
      <c r="B3" s="773"/>
      <c r="C3" s="773"/>
      <c r="D3" s="773"/>
      <c r="E3" s="773"/>
    </row>
    <row r="4" spans="1:5" ht="16.5" customHeight="1" x14ac:dyDescent="0.25">
      <c r="A4" s="774" t="s">
        <v>809</v>
      </c>
      <c r="B4" s="775"/>
      <c r="C4" s="775"/>
      <c r="D4" s="775"/>
      <c r="E4" s="775"/>
    </row>
    <row r="5" spans="1:5" ht="16.5" customHeight="1" thickBot="1" x14ac:dyDescent="0.3">
      <c r="A5" s="577"/>
      <c r="B5" s="578"/>
      <c r="C5" s="776" t="e">
        <f>'Z_6.tájékoztató_t.'!E6</f>
        <v>#REF!</v>
      </c>
      <c r="D5" s="776"/>
      <c r="E5" s="776"/>
    </row>
    <row r="6" spans="1:5" ht="15.75" customHeight="1" x14ac:dyDescent="0.25">
      <c r="A6" s="777" t="s">
        <v>563</v>
      </c>
      <c r="B6" s="780" t="s">
        <v>564</v>
      </c>
      <c r="C6" s="783" t="s">
        <v>565</v>
      </c>
      <c r="D6" s="783" t="s">
        <v>566</v>
      </c>
      <c r="E6" s="785" t="s">
        <v>567</v>
      </c>
    </row>
    <row r="7" spans="1:5" ht="11.25" customHeight="1" x14ac:dyDescent="0.25">
      <c r="A7" s="778"/>
      <c r="B7" s="781"/>
      <c r="C7" s="784"/>
      <c r="D7" s="784"/>
      <c r="E7" s="786"/>
    </row>
    <row r="8" spans="1:5" x14ac:dyDescent="0.25">
      <c r="A8" s="779"/>
      <c r="B8" s="782"/>
      <c r="C8" s="787" t="s">
        <v>568</v>
      </c>
      <c r="D8" s="787"/>
      <c r="E8" s="788"/>
    </row>
    <row r="9" spans="1:5" s="462" customFormat="1" ht="16.5" thickBot="1" x14ac:dyDescent="0.25">
      <c r="A9" s="579" t="s">
        <v>569</v>
      </c>
      <c r="B9" s="580" t="s">
        <v>384</v>
      </c>
      <c r="C9" s="580" t="s">
        <v>385</v>
      </c>
      <c r="D9" s="580" t="s">
        <v>387</v>
      </c>
      <c r="E9" s="581" t="s">
        <v>386</v>
      </c>
    </row>
    <row r="10" spans="1:5" s="467" customFormat="1" x14ac:dyDescent="0.2">
      <c r="A10" s="463" t="s">
        <v>570</v>
      </c>
      <c r="B10" s="464" t="s">
        <v>571</v>
      </c>
      <c r="C10" s="465">
        <v>12315656</v>
      </c>
      <c r="D10" s="465">
        <v>1386280</v>
      </c>
      <c r="E10" s="466"/>
    </row>
    <row r="11" spans="1:5" s="467" customFormat="1" x14ac:dyDescent="0.2">
      <c r="A11" s="468" t="s">
        <v>572</v>
      </c>
      <c r="B11" s="469" t="s">
        <v>573</v>
      </c>
      <c r="C11" s="470">
        <f>+C12+C17+C22+C27+C32</f>
        <v>453108239</v>
      </c>
      <c r="D11" s="470">
        <f>+D12+D17+D22+D27+D32</f>
        <v>339637307</v>
      </c>
      <c r="E11" s="471">
        <f>+E12+E17+E22+E27+E32</f>
        <v>0</v>
      </c>
    </row>
    <row r="12" spans="1:5" s="467" customFormat="1" x14ac:dyDescent="0.2">
      <c r="A12" s="468" t="s">
        <v>574</v>
      </c>
      <c r="B12" s="469" t="s">
        <v>575</v>
      </c>
      <c r="C12" s="470">
        <v>375577318</v>
      </c>
      <c r="D12" s="470">
        <f>+D13+D14+D15+D16</f>
        <v>291592587</v>
      </c>
      <c r="E12" s="471">
        <f>+E13+E14+E15+E16</f>
        <v>0</v>
      </c>
    </row>
    <row r="13" spans="1:5" s="467" customFormat="1" x14ac:dyDescent="0.2">
      <c r="A13" s="472" t="s">
        <v>576</v>
      </c>
      <c r="B13" s="469" t="s">
        <v>577</v>
      </c>
      <c r="C13" s="473"/>
      <c r="D13" s="473">
        <v>291592587</v>
      </c>
      <c r="E13" s="474"/>
    </row>
    <row r="14" spans="1:5" s="467" customFormat="1" ht="26.45" customHeight="1" x14ac:dyDescent="0.2">
      <c r="A14" s="472" t="s">
        <v>578</v>
      </c>
      <c r="B14" s="469" t="s">
        <v>579</v>
      </c>
      <c r="C14" s="475"/>
      <c r="D14" s="475"/>
      <c r="E14" s="476"/>
    </row>
    <row r="15" spans="1:5" s="467" customFormat="1" x14ac:dyDescent="0.2">
      <c r="A15" s="472" t="s">
        <v>580</v>
      </c>
      <c r="B15" s="469" t="s">
        <v>581</v>
      </c>
      <c r="C15" s="475"/>
      <c r="D15" s="475"/>
      <c r="E15" s="476"/>
    </row>
    <row r="16" spans="1:5" s="467" customFormat="1" x14ac:dyDescent="0.2">
      <c r="A16" s="472" t="s">
        <v>582</v>
      </c>
      <c r="B16" s="469" t="s">
        <v>583</v>
      </c>
      <c r="C16" s="475"/>
      <c r="D16" s="475"/>
      <c r="E16" s="476"/>
    </row>
    <row r="17" spans="1:5" s="467" customFormat="1" x14ac:dyDescent="0.2">
      <c r="A17" s="468" t="s">
        <v>584</v>
      </c>
      <c r="B17" s="469" t="s">
        <v>585</v>
      </c>
      <c r="C17" s="477">
        <v>44019705</v>
      </c>
      <c r="D17" s="477">
        <f>+D18+D19+D20+D21</f>
        <v>10355244</v>
      </c>
      <c r="E17" s="478">
        <f>+E18+E19+E20+E21</f>
        <v>0</v>
      </c>
    </row>
    <row r="18" spans="1:5" s="467" customFormat="1" x14ac:dyDescent="0.2">
      <c r="A18" s="472" t="s">
        <v>586</v>
      </c>
      <c r="B18" s="469" t="s">
        <v>587</v>
      </c>
      <c r="C18" s="475"/>
      <c r="D18" s="475">
        <v>10355244</v>
      </c>
      <c r="E18" s="476"/>
    </row>
    <row r="19" spans="1:5" s="467" customFormat="1" ht="22.5" x14ac:dyDescent="0.2">
      <c r="A19" s="472" t="s">
        <v>588</v>
      </c>
      <c r="B19" s="469" t="s">
        <v>15</v>
      </c>
      <c r="C19" s="475"/>
      <c r="D19" s="475"/>
      <c r="E19" s="476"/>
    </row>
    <row r="20" spans="1:5" s="467" customFormat="1" x14ac:dyDescent="0.2">
      <c r="A20" s="472" t="s">
        <v>589</v>
      </c>
      <c r="B20" s="469" t="s">
        <v>16</v>
      </c>
      <c r="C20" s="475"/>
      <c r="D20" s="475"/>
      <c r="E20" s="476"/>
    </row>
    <row r="21" spans="1:5" s="467" customFormat="1" x14ac:dyDescent="0.2">
      <c r="A21" s="472" t="s">
        <v>590</v>
      </c>
      <c r="B21" s="469" t="s">
        <v>17</v>
      </c>
      <c r="C21" s="475"/>
      <c r="D21" s="475"/>
      <c r="E21" s="476"/>
    </row>
    <row r="22" spans="1:5" s="467" customFormat="1" x14ac:dyDescent="0.2">
      <c r="A22" s="468" t="s">
        <v>591</v>
      </c>
      <c r="B22" s="469" t="s">
        <v>18</v>
      </c>
      <c r="C22" s="477">
        <f>+C23+C24+C25+C26</f>
        <v>0</v>
      </c>
      <c r="D22" s="477">
        <f>+D23+D24+D25+D26</f>
        <v>0</v>
      </c>
      <c r="E22" s="478">
        <f>+E23+E24+E25+E26</f>
        <v>0</v>
      </c>
    </row>
    <row r="23" spans="1:5" s="467" customFormat="1" x14ac:dyDescent="0.2">
      <c r="A23" s="472" t="s">
        <v>592</v>
      </c>
      <c r="B23" s="469" t="s">
        <v>19</v>
      </c>
      <c r="C23" s="475"/>
      <c r="D23" s="475"/>
      <c r="E23" s="476"/>
    </row>
    <row r="24" spans="1:5" s="467" customFormat="1" x14ac:dyDescent="0.2">
      <c r="A24" s="472" t="s">
        <v>593</v>
      </c>
      <c r="B24" s="469" t="s">
        <v>20</v>
      </c>
      <c r="C24" s="475"/>
      <c r="D24" s="475"/>
      <c r="E24" s="476"/>
    </row>
    <row r="25" spans="1:5" s="467" customFormat="1" x14ac:dyDescent="0.2">
      <c r="A25" s="472" t="s">
        <v>594</v>
      </c>
      <c r="B25" s="469" t="s">
        <v>21</v>
      </c>
      <c r="C25" s="475"/>
      <c r="D25" s="475"/>
      <c r="E25" s="476"/>
    </row>
    <row r="26" spans="1:5" s="467" customFormat="1" x14ac:dyDescent="0.2">
      <c r="A26" s="472" t="s">
        <v>595</v>
      </c>
      <c r="B26" s="469" t="s">
        <v>22</v>
      </c>
      <c r="C26" s="475"/>
      <c r="D26" s="475"/>
      <c r="E26" s="476"/>
    </row>
    <row r="27" spans="1:5" s="467" customFormat="1" x14ac:dyDescent="0.2">
      <c r="A27" s="468" t="s">
        <v>596</v>
      </c>
      <c r="B27" s="469" t="s">
        <v>23</v>
      </c>
      <c r="C27" s="477">
        <v>33511216</v>
      </c>
      <c r="D27" s="477">
        <f>+D28+D29+D30+D31</f>
        <v>37689476</v>
      </c>
      <c r="E27" s="478">
        <f>+E28+E29+E30+E31</f>
        <v>0</v>
      </c>
    </row>
    <row r="28" spans="1:5" s="467" customFormat="1" x14ac:dyDescent="0.2">
      <c r="A28" s="472" t="s">
        <v>597</v>
      </c>
      <c r="B28" s="469" t="s">
        <v>24</v>
      </c>
      <c r="C28" s="475"/>
      <c r="D28" s="475">
        <v>37689476</v>
      </c>
      <c r="E28" s="476"/>
    </row>
    <row r="29" spans="1:5" s="467" customFormat="1" x14ac:dyDescent="0.2">
      <c r="A29" s="472" t="s">
        <v>598</v>
      </c>
      <c r="B29" s="469" t="s">
        <v>25</v>
      </c>
      <c r="C29" s="475"/>
      <c r="D29" s="475"/>
      <c r="E29" s="476"/>
    </row>
    <row r="30" spans="1:5" s="467" customFormat="1" x14ac:dyDescent="0.2">
      <c r="A30" s="472" t="s">
        <v>599</v>
      </c>
      <c r="B30" s="469" t="s">
        <v>26</v>
      </c>
      <c r="C30" s="475"/>
      <c r="D30" s="475"/>
      <c r="E30" s="476"/>
    </row>
    <row r="31" spans="1:5" s="467" customFormat="1" x14ac:dyDescent="0.2">
      <c r="A31" s="472" t="s">
        <v>600</v>
      </c>
      <c r="B31" s="469" t="s">
        <v>27</v>
      </c>
      <c r="C31" s="475"/>
      <c r="D31" s="475"/>
      <c r="E31" s="476"/>
    </row>
    <row r="32" spans="1:5" s="467" customFormat="1" x14ac:dyDescent="0.2">
      <c r="A32" s="468" t="s">
        <v>601</v>
      </c>
      <c r="B32" s="469" t="s">
        <v>28</v>
      </c>
      <c r="C32" s="477">
        <f>+C33+C34+C35+C36</f>
        <v>0</v>
      </c>
      <c r="D32" s="477">
        <f>+D33+D34+D35+D36</f>
        <v>0</v>
      </c>
      <c r="E32" s="478">
        <f>+E33+E34+E35+E36</f>
        <v>0</v>
      </c>
    </row>
    <row r="33" spans="1:5" s="467" customFormat="1" x14ac:dyDescent="0.2">
      <c r="A33" s="472" t="s">
        <v>602</v>
      </c>
      <c r="B33" s="469" t="s">
        <v>29</v>
      </c>
      <c r="C33" s="475"/>
      <c r="D33" s="475"/>
      <c r="E33" s="476"/>
    </row>
    <row r="34" spans="1:5" s="467" customFormat="1" ht="22.5" x14ac:dyDescent="0.2">
      <c r="A34" s="472" t="s">
        <v>603</v>
      </c>
      <c r="B34" s="469" t="s">
        <v>30</v>
      </c>
      <c r="C34" s="475"/>
      <c r="D34" s="475"/>
      <c r="E34" s="476"/>
    </row>
    <row r="35" spans="1:5" s="467" customFormat="1" x14ac:dyDescent="0.2">
      <c r="A35" s="472" t="s">
        <v>604</v>
      </c>
      <c r="B35" s="469" t="s">
        <v>31</v>
      </c>
      <c r="C35" s="475"/>
      <c r="D35" s="475"/>
      <c r="E35" s="476"/>
    </row>
    <row r="36" spans="1:5" s="467" customFormat="1" x14ac:dyDescent="0.2">
      <c r="A36" s="472" t="s">
        <v>605</v>
      </c>
      <c r="B36" s="469" t="s">
        <v>32</v>
      </c>
      <c r="C36" s="475"/>
      <c r="D36" s="475"/>
      <c r="E36" s="476"/>
    </row>
    <row r="37" spans="1:5" s="467" customFormat="1" x14ac:dyDescent="0.2">
      <c r="A37" s="468" t="s">
        <v>606</v>
      </c>
      <c r="B37" s="469" t="s">
        <v>33</v>
      </c>
      <c r="C37" s="477">
        <v>5640000</v>
      </c>
      <c r="D37" s="477">
        <f>+D38+D43+D48</f>
        <v>5640000</v>
      </c>
      <c r="E37" s="478">
        <f>+E38+E43+E48</f>
        <v>0</v>
      </c>
    </row>
    <row r="38" spans="1:5" s="467" customFormat="1" x14ac:dyDescent="0.2">
      <c r="A38" s="468" t="s">
        <v>607</v>
      </c>
      <c r="B38" s="469" t="s">
        <v>558</v>
      </c>
      <c r="C38" s="477">
        <v>5640000</v>
      </c>
      <c r="D38" s="477">
        <f>+D39+D40+D41+D42</f>
        <v>5640000</v>
      </c>
      <c r="E38" s="478">
        <f>+E39+E40+E41+E42</f>
        <v>0</v>
      </c>
    </row>
    <row r="39" spans="1:5" s="467" customFormat="1" x14ac:dyDescent="0.2">
      <c r="A39" s="472" t="s">
        <v>608</v>
      </c>
      <c r="B39" s="469" t="s">
        <v>559</v>
      </c>
      <c r="C39" s="475">
        <v>5640000</v>
      </c>
      <c r="D39" s="475">
        <v>5640000</v>
      </c>
      <c r="E39" s="476"/>
    </row>
    <row r="40" spans="1:5" s="467" customFormat="1" x14ac:dyDescent="0.2">
      <c r="A40" s="472" t="s">
        <v>609</v>
      </c>
      <c r="B40" s="469" t="s">
        <v>560</v>
      </c>
      <c r="C40" s="475"/>
      <c r="D40" s="475"/>
      <c r="E40" s="476"/>
    </row>
    <row r="41" spans="1:5" s="467" customFormat="1" x14ac:dyDescent="0.2">
      <c r="A41" s="472" t="s">
        <v>610</v>
      </c>
      <c r="B41" s="469" t="s">
        <v>561</v>
      </c>
      <c r="C41" s="475"/>
      <c r="D41" s="475"/>
      <c r="E41" s="476"/>
    </row>
    <row r="42" spans="1:5" s="467" customFormat="1" x14ac:dyDescent="0.2">
      <c r="A42" s="472" t="s">
        <v>611</v>
      </c>
      <c r="B42" s="469" t="s">
        <v>562</v>
      </c>
      <c r="C42" s="475"/>
      <c r="D42" s="475"/>
      <c r="E42" s="476"/>
    </row>
    <row r="43" spans="1:5" s="467" customFormat="1" x14ac:dyDescent="0.2">
      <c r="A43" s="468" t="s">
        <v>612</v>
      </c>
      <c r="B43" s="469" t="s">
        <v>613</v>
      </c>
      <c r="C43" s="477">
        <f>+C44+C45+C46+C47</f>
        <v>0</v>
      </c>
      <c r="D43" s="477">
        <f>+D44+D45+D46+D47</f>
        <v>0</v>
      </c>
      <c r="E43" s="478">
        <f>+E44+E45+E46+E47</f>
        <v>0</v>
      </c>
    </row>
    <row r="44" spans="1:5" s="467" customFormat="1" x14ac:dyDescent="0.2">
      <c r="A44" s="472" t="s">
        <v>614</v>
      </c>
      <c r="B44" s="469" t="s">
        <v>615</v>
      </c>
      <c r="C44" s="475"/>
      <c r="D44" s="475"/>
      <c r="E44" s="476"/>
    </row>
    <row r="45" spans="1:5" s="467" customFormat="1" ht="22.5" x14ac:dyDescent="0.2">
      <c r="A45" s="472" t="s">
        <v>616</v>
      </c>
      <c r="B45" s="469" t="s">
        <v>617</v>
      </c>
      <c r="C45" s="475"/>
      <c r="D45" s="475"/>
      <c r="E45" s="476"/>
    </row>
    <row r="46" spans="1:5" s="467" customFormat="1" x14ac:dyDescent="0.2">
      <c r="A46" s="472" t="s">
        <v>618</v>
      </c>
      <c r="B46" s="469" t="s">
        <v>619</v>
      </c>
      <c r="C46" s="475"/>
      <c r="D46" s="475"/>
      <c r="E46" s="476"/>
    </row>
    <row r="47" spans="1:5" s="467" customFormat="1" x14ac:dyDescent="0.2">
      <c r="A47" s="472" t="s">
        <v>620</v>
      </c>
      <c r="B47" s="469" t="s">
        <v>621</v>
      </c>
      <c r="C47" s="475"/>
      <c r="D47" s="475"/>
      <c r="E47" s="476"/>
    </row>
    <row r="48" spans="1:5" s="467" customFormat="1" x14ac:dyDescent="0.2">
      <c r="A48" s="468" t="s">
        <v>622</v>
      </c>
      <c r="B48" s="469" t="s">
        <v>623</v>
      </c>
      <c r="C48" s="477">
        <f>+C49+C50+C51+C52</f>
        <v>0</v>
      </c>
      <c r="D48" s="477">
        <f>+D49+D50+D51+D52</f>
        <v>0</v>
      </c>
      <c r="E48" s="478">
        <f>+E49+E50+E51+E52</f>
        <v>0</v>
      </c>
    </row>
    <row r="49" spans="1:5" s="467" customFormat="1" x14ac:dyDescent="0.2">
      <c r="A49" s="472" t="s">
        <v>624</v>
      </c>
      <c r="B49" s="469" t="s">
        <v>625</v>
      </c>
      <c r="C49" s="475"/>
      <c r="D49" s="475"/>
      <c r="E49" s="476"/>
    </row>
    <row r="50" spans="1:5" s="467" customFormat="1" ht="22.5" x14ac:dyDescent="0.2">
      <c r="A50" s="472" t="s">
        <v>626</v>
      </c>
      <c r="B50" s="469" t="s">
        <v>627</v>
      </c>
      <c r="C50" s="475"/>
      <c r="D50" s="475"/>
      <c r="E50" s="476"/>
    </row>
    <row r="51" spans="1:5" s="467" customFormat="1" x14ac:dyDescent="0.2">
      <c r="A51" s="472" t="s">
        <v>628</v>
      </c>
      <c r="B51" s="469" t="s">
        <v>629</v>
      </c>
      <c r="C51" s="475"/>
      <c r="D51" s="475"/>
      <c r="E51" s="476"/>
    </row>
    <row r="52" spans="1:5" s="467" customFormat="1" x14ac:dyDescent="0.2">
      <c r="A52" s="472" t="s">
        <v>630</v>
      </c>
      <c r="B52" s="469" t="s">
        <v>631</v>
      </c>
      <c r="C52" s="475"/>
      <c r="D52" s="475"/>
      <c r="E52" s="476"/>
    </row>
    <row r="53" spans="1:5" s="467" customFormat="1" x14ac:dyDescent="0.2">
      <c r="A53" s="468" t="s">
        <v>632</v>
      </c>
      <c r="B53" s="469" t="s">
        <v>633</v>
      </c>
      <c r="C53" s="475">
        <v>119048855</v>
      </c>
      <c r="D53" s="475">
        <v>89428959</v>
      </c>
      <c r="E53" s="476"/>
    </row>
    <row r="54" spans="1:5" s="467" customFormat="1" ht="21" x14ac:dyDescent="0.2">
      <c r="A54" s="468" t="s">
        <v>634</v>
      </c>
      <c r="B54" s="469" t="s">
        <v>635</v>
      </c>
      <c r="C54" s="477">
        <f>+C10+C11+C37+C53</f>
        <v>590112750</v>
      </c>
      <c r="D54" s="477">
        <f>+D10+D11+D37+D53</f>
        <v>436092546</v>
      </c>
      <c r="E54" s="478">
        <f>+E10+E11+E37+E53</f>
        <v>0</v>
      </c>
    </row>
    <row r="55" spans="1:5" s="467" customFormat="1" x14ac:dyDescent="0.2">
      <c r="A55" s="468" t="s">
        <v>636</v>
      </c>
      <c r="B55" s="469" t="s">
        <v>637</v>
      </c>
      <c r="C55" s="475"/>
      <c r="D55" s="475"/>
      <c r="E55" s="476"/>
    </row>
    <row r="56" spans="1:5" s="467" customFormat="1" x14ac:dyDescent="0.2">
      <c r="A56" s="468" t="s">
        <v>638</v>
      </c>
      <c r="B56" s="469" t="s">
        <v>639</v>
      </c>
      <c r="C56" s="475"/>
      <c r="D56" s="475"/>
      <c r="E56" s="476"/>
    </row>
    <row r="57" spans="1:5" s="467" customFormat="1" x14ac:dyDescent="0.2">
      <c r="A57" s="468" t="s">
        <v>640</v>
      </c>
      <c r="B57" s="469" t="s">
        <v>641</v>
      </c>
      <c r="C57" s="477">
        <f>+C55+C56</f>
        <v>0</v>
      </c>
      <c r="D57" s="477">
        <f>+D55+D56</f>
        <v>0</v>
      </c>
      <c r="E57" s="478">
        <f>+E55+E56</f>
        <v>0</v>
      </c>
    </row>
    <row r="58" spans="1:5" s="467" customFormat="1" x14ac:dyDescent="0.2">
      <c r="A58" s="468" t="s">
        <v>642</v>
      </c>
      <c r="B58" s="469" t="s">
        <v>643</v>
      </c>
      <c r="C58" s="475"/>
      <c r="D58" s="475"/>
      <c r="E58" s="476"/>
    </row>
    <row r="59" spans="1:5" s="467" customFormat="1" x14ac:dyDescent="0.2">
      <c r="A59" s="468" t="s">
        <v>644</v>
      </c>
      <c r="B59" s="469" t="s">
        <v>645</v>
      </c>
      <c r="C59" s="475">
        <v>132615</v>
      </c>
      <c r="D59" s="475">
        <v>132615</v>
      </c>
      <c r="E59" s="476"/>
    </row>
    <row r="60" spans="1:5" s="467" customFormat="1" x14ac:dyDescent="0.2">
      <c r="A60" s="468" t="s">
        <v>646</v>
      </c>
      <c r="B60" s="469" t="s">
        <v>647</v>
      </c>
      <c r="C60" s="475">
        <v>41457315</v>
      </c>
      <c r="D60" s="475">
        <v>41457315</v>
      </c>
      <c r="E60" s="476"/>
    </row>
    <row r="61" spans="1:5" s="467" customFormat="1" x14ac:dyDescent="0.2">
      <c r="A61" s="468" t="s">
        <v>648</v>
      </c>
      <c r="B61" s="469" t="s">
        <v>649</v>
      </c>
      <c r="C61" s="475"/>
      <c r="D61" s="475"/>
      <c r="E61" s="476"/>
    </row>
    <row r="62" spans="1:5" s="467" customFormat="1" x14ac:dyDescent="0.2">
      <c r="A62" s="468" t="s">
        <v>650</v>
      </c>
      <c r="B62" s="469" t="s">
        <v>651</v>
      </c>
      <c r="C62" s="477">
        <f>+C58+C59+C60+C61</f>
        <v>41589930</v>
      </c>
      <c r="D62" s="477">
        <f>+D58+D59+D60+D61</f>
        <v>41589930</v>
      </c>
      <c r="E62" s="478">
        <f>+E58+E59+E60+E61</f>
        <v>0</v>
      </c>
    </row>
    <row r="63" spans="1:5" s="467" customFormat="1" x14ac:dyDescent="0.2">
      <c r="A63" s="468" t="s">
        <v>652</v>
      </c>
      <c r="B63" s="469" t="s">
        <v>653</v>
      </c>
      <c r="C63" s="475">
        <v>10740210</v>
      </c>
      <c r="D63" s="475">
        <v>9979283</v>
      </c>
      <c r="E63" s="476"/>
    </row>
    <row r="64" spans="1:5" s="467" customFormat="1" x14ac:dyDescent="0.2">
      <c r="A64" s="468" t="s">
        <v>654</v>
      </c>
      <c r="B64" s="469" t="s">
        <v>655</v>
      </c>
      <c r="C64" s="475"/>
      <c r="D64" s="475"/>
      <c r="E64" s="476"/>
    </row>
    <row r="65" spans="1:5" s="467" customFormat="1" x14ac:dyDescent="0.2">
      <c r="A65" s="468" t="s">
        <v>656</v>
      </c>
      <c r="B65" s="469" t="s">
        <v>657</v>
      </c>
      <c r="C65" s="475"/>
      <c r="D65" s="475">
        <v>102410394</v>
      </c>
      <c r="E65" s="476"/>
    </row>
    <row r="66" spans="1:5" s="467" customFormat="1" x14ac:dyDescent="0.2">
      <c r="A66" s="468" t="s">
        <v>658</v>
      </c>
      <c r="B66" s="469" t="s">
        <v>659</v>
      </c>
      <c r="C66" s="477">
        <f>+C63+C64+C65</f>
        <v>10740210</v>
      </c>
      <c r="D66" s="477">
        <f>+D63+D64+D65</f>
        <v>112389677</v>
      </c>
      <c r="E66" s="478">
        <f>+E63+E64+E65</f>
        <v>0</v>
      </c>
    </row>
    <row r="67" spans="1:5" s="467" customFormat="1" x14ac:dyDescent="0.2">
      <c r="A67" s="468" t="s">
        <v>845</v>
      </c>
      <c r="B67" s="469" t="s">
        <v>660</v>
      </c>
      <c r="C67" s="475"/>
      <c r="D67" s="475">
        <v>330277</v>
      </c>
      <c r="E67" s="476"/>
    </row>
    <row r="68" spans="1:5" s="467" customFormat="1" ht="21" x14ac:dyDescent="0.2">
      <c r="A68" s="468" t="s">
        <v>661</v>
      </c>
      <c r="B68" s="469" t="s">
        <v>662</v>
      </c>
      <c r="C68" s="475"/>
      <c r="D68" s="475"/>
      <c r="E68" s="476"/>
    </row>
    <row r="69" spans="1:5" s="467" customFormat="1" x14ac:dyDescent="0.2">
      <c r="A69" s="468" t="s">
        <v>726</v>
      </c>
      <c r="B69" s="469" t="s">
        <v>663</v>
      </c>
      <c r="C69" s="477">
        <f>+C67+C68</f>
        <v>0</v>
      </c>
      <c r="D69" s="477">
        <f>+D67+D68</f>
        <v>330277</v>
      </c>
      <c r="E69" s="478">
        <f>+E67+E68</f>
        <v>0</v>
      </c>
    </row>
    <row r="70" spans="1:5" s="467" customFormat="1" x14ac:dyDescent="0.2">
      <c r="A70" s="468" t="s">
        <v>664</v>
      </c>
      <c r="B70" s="469" t="s">
        <v>665</v>
      </c>
      <c r="C70" s="475"/>
      <c r="D70" s="475">
        <v>143023</v>
      </c>
      <c r="E70" s="476"/>
    </row>
    <row r="71" spans="1:5" s="467" customFormat="1" ht="16.5" thickBot="1" x14ac:dyDescent="0.25">
      <c r="A71" s="479" t="s">
        <v>666</v>
      </c>
      <c r="B71" s="480" t="s">
        <v>667</v>
      </c>
      <c r="C71" s="481">
        <f>+C54+C57+C62+C66+C69+C70</f>
        <v>642442890</v>
      </c>
      <c r="D71" s="481">
        <f>+D54+D57+D62+D66+D69+D70</f>
        <v>590545453</v>
      </c>
      <c r="E71" s="482">
        <f>+E54+E57+E62+E66+E69+E70</f>
        <v>0</v>
      </c>
    </row>
    <row r="72" spans="1:5" x14ac:dyDescent="0.25">
      <c r="A72" s="483"/>
      <c r="C72" s="484"/>
      <c r="D72" s="484"/>
      <c r="E72" s="485"/>
    </row>
    <row r="73" spans="1:5" x14ac:dyDescent="0.25">
      <c r="A73" s="483"/>
      <c r="C73" s="484"/>
      <c r="D73" s="484"/>
      <c r="E73" s="485"/>
    </row>
    <row r="74" spans="1:5" x14ac:dyDescent="0.25">
      <c r="A74" s="486"/>
      <c r="C74" s="484"/>
      <c r="D74" s="484"/>
      <c r="E74" s="485"/>
    </row>
    <row r="75" spans="1:5" x14ac:dyDescent="0.25">
      <c r="A75" s="770"/>
      <c r="B75" s="770"/>
      <c r="C75" s="770"/>
      <c r="D75" s="770"/>
      <c r="E75" s="770"/>
    </row>
    <row r="76" spans="1:5" x14ac:dyDescent="0.25">
      <c r="A76" s="770"/>
      <c r="B76" s="770"/>
      <c r="C76" s="770"/>
      <c r="D76" s="770"/>
      <c r="E76" s="770"/>
    </row>
  </sheetData>
  <mergeCells count="13">
    <mergeCell ref="A75:E75"/>
    <mergeCell ref="A76:E76"/>
    <mergeCell ref="A1:E1"/>
    <mergeCell ref="A2:E2"/>
    <mergeCell ref="A3:E3"/>
    <mergeCell ref="A4:E4"/>
    <mergeCell ref="C5:E5"/>
    <mergeCell ref="A6:A8"/>
    <mergeCell ref="B6:B8"/>
    <mergeCell ref="C6:C7"/>
    <mergeCell ref="D6:D7"/>
    <mergeCell ref="E6:E7"/>
    <mergeCell ref="C8:E8"/>
  </mergeCell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horizontalDpi="300" verticalDpi="300" r:id="rId1"/>
  <headerFooter alignWithMargins="0">
    <oddFooter>&amp;C&amp;P</oddFooter>
  </headerFooter>
  <rowBreaks count="1" manualBreakCount="1">
    <brk id="47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6"/>
  <sheetViews>
    <sheetView topLeftCell="A13" zoomScale="120" zoomScaleNormal="120" workbookViewId="0">
      <selection activeCell="C9" sqref="C9"/>
    </sheetView>
  </sheetViews>
  <sheetFormatPr defaultColWidth="12" defaultRowHeight="15.75" x14ac:dyDescent="0.25"/>
  <cols>
    <col min="1" max="1" width="58.83203125" style="502" customWidth="1"/>
    <col min="2" max="2" width="6.83203125" style="502" customWidth="1"/>
    <col min="3" max="3" width="17.1640625" style="502" customWidth="1"/>
    <col min="4" max="4" width="19.1640625" style="502" customWidth="1"/>
    <col min="5" max="16384" width="12" style="502"/>
  </cols>
  <sheetData>
    <row r="1" spans="1:4" ht="16.5" customHeight="1" x14ac:dyDescent="0.25">
      <c r="A1" s="794" t="str">
        <f>CONCATENATE("7.3. tájékoztató tábla ",Z_ALAPADATOK!A7," ",Z_ALAPADATOK!B7," ",Z_ALAPADATOK!C7," ",Z_ALAPADATOK!D7," ",Z_ALAPADATOK!E7," ",Z_ALAPADATOK!F7," ",Z_ALAPADATOK!G7," ",Z_ALAPADATOK!H7)</f>
        <v>7.3. tájékoztató tábla a 6 / 2019. ( IV.25 ) önkormányzati rendelethez</v>
      </c>
      <c r="B1" s="794"/>
      <c r="C1" s="794"/>
      <c r="D1" s="794"/>
    </row>
    <row r="2" spans="1:4" s="588" customFormat="1" ht="16.5" customHeight="1" x14ac:dyDescent="0.25"/>
    <row r="3" spans="1:4" s="531" customFormat="1" ht="16.5" customHeight="1" x14ac:dyDescent="0.25">
      <c r="A3" s="795" t="s">
        <v>728</v>
      </c>
      <c r="B3" s="795"/>
      <c r="C3" s="795"/>
      <c r="D3" s="795"/>
    </row>
    <row r="4" spans="1:4" s="531" customFormat="1" ht="16.5" customHeight="1" x14ac:dyDescent="0.25">
      <c r="A4" s="795" t="s">
        <v>732</v>
      </c>
      <c r="B4" s="795"/>
      <c r="C4" s="795"/>
      <c r="D4" s="795"/>
    </row>
    <row r="5" spans="1:4" s="531" customFormat="1" ht="16.5" customHeight="1" x14ac:dyDescent="0.25">
      <c r="A5" s="789" t="s">
        <v>809</v>
      </c>
      <c r="B5" s="790"/>
      <c r="C5" s="790"/>
      <c r="D5" s="790"/>
    </row>
    <row r="6" spans="1:4" ht="16.5" customHeight="1" thickBot="1" x14ac:dyDescent="0.3"/>
    <row r="7" spans="1:4" ht="43.5" customHeight="1" thickBot="1" x14ac:dyDescent="0.3">
      <c r="A7" s="503" t="s">
        <v>45</v>
      </c>
      <c r="B7" s="504" t="s">
        <v>564</v>
      </c>
      <c r="C7" s="505" t="s">
        <v>684</v>
      </c>
      <c r="D7" s="506" t="s">
        <v>685</v>
      </c>
    </row>
    <row r="8" spans="1:4" ht="16.5" thickBot="1" x14ac:dyDescent="0.3">
      <c r="A8" s="507" t="s">
        <v>383</v>
      </c>
      <c r="B8" s="508" t="s">
        <v>384</v>
      </c>
      <c r="C8" s="508" t="s">
        <v>385</v>
      </c>
      <c r="D8" s="509" t="s">
        <v>387</v>
      </c>
    </row>
    <row r="9" spans="1:4" ht="15.75" customHeight="1" x14ac:dyDescent="0.25">
      <c r="A9" s="510" t="s">
        <v>686</v>
      </c>
      <c r="B9" s="511" t="s">
        <v>6</v>
      </c>
      <c r="C9" s="512"/>
      <c r="D9" s="513"/>
    </row>
    <row r="10" spans="1:4" ht="15.75" customHeight="1" x14ac:dyDescent="0.25">
      <c r="A10" s="510" t="s">
        <v>687</v>
      </c>
      <c r="B10" s="514" t="s">
        <v>7</v>
      </c>
      <c r="C10" s="515"/>
      <c r="D10" s="516"/>
    </row>
    <row r="11" spans="1:4" ht="15.75" customHeight="1" x14ac:dyDescent="0.25">
      <c r="A11" s="510" t="s">
        <v>688</v>
      </c>
      <c r="B11" s="514" t="s">
        <v>8</v>
      </c>
      <c r="C11" s="515"/>
      <c r="D11" s="516"/>
    </row>
    <row r="12" spans="1:4" ht="15.75" customHeight="1" thickBot="1" x14ac:dyDescent="0.3">
      <c r="A12" s="517" t="s">
        <v>689</v>
      </c>
      <c r="B12" s="518" t="s">
        <v>9</v>
      </c>
      <c r="C12" s="519"/>
      <c r="D12" s="520"/>
    </row>
    <row r="13" spans="1:4" ht="15.75" customHeight="1" thickBot="1" x14ac:dyDescent="0.3">
      <c r="A13" s="521" t="s">
        <v>690</v>
      </c>
      <c r="B13" s="522" t="s">
        <v>10</v>
      </c>
      <c r="C13" s="523"/>
      <c r="D13" s="524">
        <f>+D14+D15+D16+D17</f>
        <v>0</v>
      </c>
    </row>
    <row r="14" spans="1:4" ht="15.75" customHeight="1" x14ac:dyDescent="0.25">
      <c r="A14" s="525" t="s">
        <v>691</v>
      </c>
      <c r="B14" s="511" t="s">
        <v>11</v>
      </c>
      <c r="C14" s="512"/>
      <c r="D14" s="513"/>
    </row>
    <row r="15" spans="1:4" ht="15.75" customHeight="1" x14ac:dyDescent="0.25">
      <c r="A15" s="510" t="s">
        <v>692</v>
      </c>
      <c r="B15" s="514" t="s">
        <v>12</v>
      </c>
      <c r="C15" s="515"/>
      <c r="D15" s="516"/>
    </row>
    <row r="16" spans="1:4" ht="15.75" customHeight="1" x14ac:dyDescent="0.25">
      <c r="A16" s="510" t="s">
        <v>693</v>
      </c>
      <c r="B16" s="514" t="s">
        <v>13</v>
      </c>
      <c r="C16" s="515"/>
      <c r="D16" s="516"/>
    </row>
    <row r="17" spans="1:4" ht="15.75" customHeight="1" thickBot="1" x14ac:dyDescent="0.3">
      <c r="A17" s="517" t="s">
        <v>694</v>
      </c>
      <c r="B17" s="518" t="s">
        <v>14</v>
      </c>
      <c r="C17" s="519"/>
      <c r="D17" s="520"/>
    </row>
    <row r="18" spans="1:4" ht="15.75" customHeight="1" thickBot="1" x14ac:dyDescent="0.3">
      <c r="A18" s="521" t="s">
        <v>695</v>
      </c>
      <c r="B18" s="522" t="s">
        <v>15</v>
      </c>
      <c r="C18" s="523"/>
      <c r="D18" s="524">
        <f>+D19+D20+D21</f>
        <v>0</v>
      </c>
    </row>
    <row r="19" spans="1:4" ht="15.75" customHeight="1" x14ac:dyDescent="0.25">
      <c r="A19" s="525" t="s">
        <v>696</v>
      </c>
      <c r="B19" s="511" t="s">
        <v>16</v>
      </c>
      <c r="C19" s="512"/>
      <c r="D19" s="513"/>
    </row>
    <row r="20" spans="1:4" ht="15.75" customHeight="1" x14ac:dyDescent="0.25">
      <c r="A20" s="510" t="s">
        <v>697</v>
      </c>
      <c r="B20" s="514" t="s">
        <v>17</v>
      </c>
      <c r="C20" s="515"/>
      <c r="D20" s="516"/>
    </row>
    <row r="21" spans="1:4" ht="15.75" customHeight="1" thickBot="1" x14ac:dyDescent="0.3">
      <c r="A21" s="517" t="s">
        <v>698</v>
      </c>
      <c r="B21" s="518" t="s">
        <v>18</v>
      </c>
      <c r="C21" s="519"/>
      <c r="D21" s="520"/>
    </row>
    <row r="22" spans="1:4" ht="15.75" customHeight="1" thickBot="1" x14ac:dyDescent="0.3">
      <c r="A22" s="521" t="s">
        <v>699</v>
      </c>
      <c r="B22" s="522" t="s">
        <v>19</v>
      </c>
      <c r="C22" s="523"/>
      <c r="D22" s="524">
        <f>+D23+D24+D25</f>
        <v>0</v>
      </c>
    </row>
    <row r="23" spans="1:4" ht="15.75" customHeight="1" x14ac:dyDescent="0.25">
      <c r="A23" s="525" t="s">
        <v>700</v>
      </c>
      <c r="B23" s="511" t="s">
        <v>20</v>
      </c>
      <c r="C23" s="512"/>
      <c r="D23" s="513"/>
    </row>
    <row r="24" spans="1:4" ht="15.75" customHeight="1" x14ac:dyDescent="0.25">
      <c r="A24" s="510" t="s">
        <v>701</v>
      </c>
      <c r="B24" s="514" t="s">
        <v>21</v>
      </c>
      <c r="C24" s="515"/>
      <c r="D24" s="516"/>
    </row>
    <row r="25" spans="1:4" ht="15.75" customHeight="1" x14ac:dyDescent="0.25">
      <c r="A25" s="510" t="s">
        <v>702</v>
      </c>
      <c r="B25" s="514" t="s">
        <v>22</v>
      </c>
      <c r="C25" s="515"/>
      <c r="D25" s="516"/>
    </row>
    <row r="26" spans="1:4" ht="15.75" customHeight="1" x14ac:dyDescent="0.25">
      <c r="A26" s="510" t="s">
        <v>703</v>
      </c>
      <c r="B26" s="514" t="s">
        <v>23</v>
      </c>
      <c r="C26" s="515"/>
      <c r="D26" s="516"/>
    </row>
    <row r="27" spans="1:4" ht="15.75" customHeight="1" x14ac:dyDescent="0.25">
      <c r="A27" s="510"/>
      <c r="B27" s="514" t="s">
        <v>24</v>
      </c>
      <c r="C27" s="515"/>
      <c r="D27" s="516"/>
    </row>
    <row r="28" spans="1:4" ht="15.75" customHeight="1" x14ac:dyDescent="0.25">
      <c r="A28" s="510"/>
      <c r="B28" s="514" t="s">
        <v>25</v>
      </c>
      <c r="C28" s="515"/>
      <c r="D28" s="516"/>
    </row>
    <row r="29" spans="1:4" ht="15.75" customHeight="1" x14ac:dyDescent="0.25">
      <c r="A29" s="510"/>
      <c r="B29" s="514" t="s">
        <v>26</v>
      </c>
      <c r="C29" s="515"/>
      <c r="D29" s="516"/>
    </row>
    <row r="30" spans="1:4" ht="15.75" customHeight="1" x14ac:dyDescent="0.25">
      <c r="A30" s="510"/>
      <c r="B30" s="514" t="s">
        <v>27</v>
      </c>
      <c r="C30" s="515"/>
      <c r="D30" s="516"/>
    </row>
    <row r="31" spans="1:4" ht="15.75" customHeight="1" x14ac:dyDescent="0.25">
      <c r="A31" s="510"/>
      <c r="B31" s="514" t="s">
        <v>28</v>
      </c>
      <c r="C31" s="515"/>
      <c r="D31" s="516"/>
    </row>
    <row r="32" spans="1:4" ht="15.75" customHeight="1" x14ac:dyDescent="0.25">
      <c r="A32" s="510"/>
      <c r="B32" s="514" t="s">
        <v>29</v>
      </c>
      <c r="C32" s="515"/>
      <c r="D32" s="516"/>
    </row>
    <row r="33" spans="1:6" ht="15.75" customHeight="1" x14ac:dyDescent="0.25">
      <c r="A33" s="510"/>
      <c r="B33" s="514" t="s">
        <v>30</v>
      </c>
      <c r="C33" s="515"/>
      <c r="D33" s="516"/>
    </row>
    <row r="34" spans="1:6" ht="15.75" customHeight="1" x14ac:dyDescent="0.25">
      <c r="A34" s="510"/>
      <c r="B34" s="514" t="s">
        <v>31</v>
      </c>
      <c r="C34" s="515"/>
      <c r="D34" s="516"/>
    </row>
    <row r="35" spans="1:6" ht="15.75" customHeight="1" x14ac:dyDescent="0.25">
      <c r="A35" s="510"/>
      <c r="B35" s="514" t="s">
        <v>32</v>
      </c>
      <c r="C35" s="515"/>
      <c r="D35" s="516"/>
    </row>
    <row r="36" spans="1:6" ht="15.75" customHeight="1" x14ac:dyDescent="0.25">
      <c r="A36" s="510"/>
      <c r="B36" s="514" t="s">
        <v>33</v>
      </c>
      <c r="C36" s="515"/>
      <c r="D36" s="516"/>
    </row>
    <row r="37" spans="1:6" ht="15.75" customHeight="1" x14ac:dyDescent="0.25">
      <c r="A37" s="510"/>
      <c r="B37" s="514" t="s">
        <v>558</v>
      </c>
      <c r="C37" s="515"/>
      <c r="D37" s="516"/>
    </row>
    <row r="38" spans="1:6" ht="15.75" customHeight="1" x14ac:dyDescent="0.25">
      <c r="A38" s="510"/>
      <c r="B38" s="514" t="s">
        <v>559</v>
      </c>
      <c r="C38" s="515"/>
      <c r="D38" s="516"/>
    </row>
    <row r="39" spans="1:6" ht="15.75" customHeight="1" x14ac:dyDescent="0.25">
      <c r="A39" s="510"/>
      <c r="B39" s="514" t="s">
        <v>560</v>
      </c>
      <c r="C39" s="515"/>
      <c r="D39" s="516"/>
    </row>
    <row r="40" spans="1:6" ht="15.75" customHeight="1" x14ac:dyDescent="0.25">
      <c r="A40" s="510"/>
      <c r="B40" s="514" t="s">
        <v>561</v>
      </c>
      <c r="C40" s="515"/>
      <c r="D40" s="516"/>
    </row>
    <row r="41" spans="1:6" ht="15.75" customHeight="1" thickBot="1" x14ac:dyDescent="0.3">
      <c r="A41" s="517"/>
      <c r="B41" s="518" t="s">
        <v>562</v>
      </c>
      <c r="C41" s="519"/>
      <c r="D41" s="520"/>
    </row>
    <row r="42" spans="1:6" ht="15.75" customHeight="1" thickBot="1" x14ac:dyDescent="0.3">
      <c r="A42" s="791" t="s">
        <v>704</v>
      </c>
      <c r="B42" s="792"/>
      <c r="C42" s="526"/>
      <c r="D42" s="524">
        <f>+D9+D10+D11+D12+D13+D18+D22+D26+D27+D28+D29+D30+D31+D32+D33+D34+D35+D36+D37+D38+D39+D40+D41</f>
        <v>0</v>
      </c>
      <c r="F42" s="527"/>
    </row>
    <row r="43" spans="1:6" x14ac:dyDescent="0.25">
      <c r="A43" s="528" t="s">
        <v>705</v>
      </c>
    </row>
    <row r="44" spans="1:6" x14ac:dyDescent="0.25">
      <c r="A44" s="529"/>
      <c r="B44" s="529"/>
      <c r="C44" s="793"/>
      <c r="D44" s="793"/>
    </row>
    <row r="45" spans="1:6" x14ac:dyDescent="0.25">
      <c r="A45" s="530"/>
      <c r="B45" s="530"/>
    </row>
    <row r="46" spans="1:6" x14ac:dyDescent="0.25">
      <c r="A46" s="530"/>
      <c r="B46" s="530"/>
      <c r="C46" s="530"/>
    </row>
  </sheetData>
  <sheetProtection sheet="1"/>
  <mergeCells count="6">
    <mergeCell ref="A5:D5"/>
    <mergeCell ref="A42:B42"/>
    <mergeCell ref="C44:D44"/>
    <mergeCell ref="A1:D1"/>
    <mergeCell ref="A3:D3"/>
    <mergeCell ref="A4:D4"/>
  </mergeCells>
  <printOptions horizontalCentered="1"/>
  <pageMargins left="0.78740157480314965" right="0.78740157480314965" top="0.94488188976377963" bottom="0.98425196850393704" header="0.78740157480314965" footer="0.78740157480314965"/>
  <pageSetup paperSize="9" scale="93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="120" zoomScaleNormal="120" workbookViewId="0">
      <selection activeCell="E6" sqref="E6"/>
    </sheetView>
  </sheetViews>
  <sheetFormatPr defaultRowHeight="12.75" x14ac:dyDescent="0.2"/>
  <cols>
    <col min="1" max="1" width="9.33203125" style="75"/>
    <col min="2" max="2" width="51.83203125" style="75" customWidth="1"/>
    <col min="3" max="3" width="25" style="75" customWidth="1"/>
    <col min="4" max="4" width="22.83203125" style="75" customWidth="1"/>
    <col min="5" max="5" width="25" style="75" customWidth="1"/>
    <col min="6" max="6" width="5.5" style="75" customWidth="1"/>
    <col min="7" max="16384" width="9.33203125" style="75"/>
  </cols>
  <sheetData>
    <row r="1" spans="1:6" x14ac:dyDescent="0.2">
      <c r="A1" s="592"/>
      <c r="B1" s="592"/>
      <c r="C1" s="592"/>
      <c r="D1" s="592"/>
      <c r="E1" s="592"/>
    </row>
    <row r="2" spans="1:6" ht="15.75" x14ac:dyDescent="0.25">
      <c r="A2" s="799" t="str">
        <f>CONCATENATE(PROPER(Z_ALAPADATOK!A3)," tulajdonában álló gazdálkodó szervezetek működéséből származó")</f>
        <v>Kajárpéc Közésgi Önkormányzat tulajdonában álló gazdálkodó szervezetek működéséből származó</v>
      </c>
      <c r="B2" s="799"/>
      <c r="C2" s="799"/>
      <c r="D2" s="799"/>
      <c r="E2" s="799"/>
    </row>
    <row r="3" spans="1:6" ht="15.75" x14ac:dyDescent="0.25">
      <c r="A3" s="800" t="s">
        <v>810</v>
      </c>
      <c r="B3" s="799"/>
      <c r="C3" s="799"/>
      <c r="D3" s="799"/>
      <c r="E3" s="799"/>
      <c r="F3" s="796" t="str">
        <f>CONCATENATE("8. tájékoztató tábla ",Z_ALAPADATOK!A7," ",Z_ALAPADATOK!B7," ",Z_ALAPADATOK!C7," ",Z_ALAPADATOK!D7," ",Z_ALAPADATOK!E7," ",Z_ALAPADATOK!F7," ",Z_ALAPADATOK!G7," ",Z_ALAPADATOK!H7)</f>
        <v>8. tájékoztató tábla a 6 / 2019. ( IV.25 ) önkormányzati rendelethez</v>
      </c>
    </row>
    <row r="4" spans="1:6" ht="16.5" thickBot="1" x14ac:dyDescent="0.3">
      <c r="A4" s="593"/>
      <c r="B4" s="592"/>
      <c r="C4" s="592"/>
      <c r="D4" s="592"/>
      <c r="E4" s="592"/>
      <c r="F4" s="796"/>
    </row>
    <row r="5" spans="1:6" ht="79.5" thickBot="1" x14ac:dyDescent="0.25">
      <c r="A5" s="594" t="s">
        <v>564</v>
      </c>
      <c r="B5" s="595" t="s">
        <v>706</v>
      </c>
      <c r="C5" s="595" t="s">
        <v>707</v>
      </c>
      <c r="D5" s="595" t="s">
        <v>708</v>
      </c>
      <c r="E5" s="596" t="s">
        <v>709</v>
      </c>
      <c r="F5" s="796"/>
    </row>
    <row r="6" spans="1:6" ht="15.75" x14ac:dyDescent="0.2">
      <c r="A6" s="589" t="s">
        <v>6</v>
      </c>
      <c r="B6" s="533"/>
      <c r="C6" s="534"/>
      <c r="D6" s="535"/>
      <c r="E6" s="536"/>
      <c r="F6" s="796"/>
    </row>
    <row r="7" spans="1:6" ht="15.75" x14ac:dyDescent="0.2">
      <c r="A7" s="590" t="s">
        <v>7</v>
      </c>
      <c r="B7" s="537"/>
      <c r="C7" s="538"/>
      <c r="D7" s="539"/>
      <c r="E7" s="540"/>
      <c r="F7" s="796"/>
    </row>
    <row r="8" spans="1:6" ht="15.75" x14ac:dyDescent="0.2">
      <c r="A8" s="590" t="s">
        <v>8</v>
      </c>
      <c r="B8" s="537"/>
      <c r="C8" s="538"/>
      <c r="D8" s="539"/>
      <c r="E8" s="540"/>
      <c r="F8" s="796"/>
    </row>
    <row r="9" spans="1:6" ht="15.75" x14ac:dyDescent="0.2">
      <c r="A9" s="590" t="s">
        <v>9</v>
      </c>
      <c r="B9" s="537"/>
      <c r="C9" s="538"/>
      <c r="D9" s="539"/>
      <c r="E9" s="540"/>
      <c r="F9" s="796"/>
    </row>
    <row r="10" spans="1:6" ht="15.75" x14ac:dyDescent="0.2">
      <c r="A10" s="590" t="s">
        <v>10</v>
      </c>
      <c r="B10" s="537"/>
      <c r="C10" s="538"/>
      <c r="D10" s="539"/>
      <c r="E10" s="540"/>
      <c r="F10" s="796"/>
    </row>
    <row r="11" spans="1:6" ht="15.75" x14ac:dyDescent="0.2">
      <c r="A11" s="590" t="s">
        <v>11</v>
      </c>
      <c r="B11" s="537"/>
      <c r="C11" s="538"/>
      <c r="D11" s="539"/>
      <c r="E11" s="540"/>
      <c r="F11" s="796"/>
    </row>
    <row r="12" spans="1:6" ht="15.75" x14ac:dyDescent="0.2">
      <c r="A12" s="590" t="s">
        <v>12</v>
      </c>
      <c r="B12" s="537"/>
      <c r="C12" s="538"/>
      <c r="D12" s="539"/>
      <c r="E12" s="540"/>
      <c r="F12" s="796"/>
    </row>
    <row r="13" spans="1:6" ht="15.75" x14ac:dyDescent="0.2">
      <c r="A13" s="590" t="s">
        <v>13</v>
      </c>
      <c r="B13" s="537"/>
      <c r="C13" s="538"/>
      <c r="D13" s="539"/>
      <c r="E13" s="540"/>
      <c r="F13" s="796"/>
    </row>
    <row r="14" spans="1:6" ht="15.75" x14ac:dyDescent="0.2">
      <c r="A14" s="590" t="s">
        <v>14</v>
      </c>
      <c r="B14" s="537"/>
      <c r="C14" s="538"/>
      <c r="D14" s="539"/>
      <c r="E14" s="540"/>
      <c r="F14" s="796"/>
    </row>
    <row r="15" spans="1:6" ht="15.75" x14ac:dyDescent="0.2">
      <c r="A15" s="590" t="s">
        <v>15</v>
      </c>
      <c r="B15" s="537"/>
      <c r="C15" s="538"/>
      <c r="D15" s="539"/>
      <c r="E15" s="540"/>
      <c r="F15" s="796"/>
    </row>
    <row r="16" spans="1:6" ht="15.75" x14ac:dyDescent="0.2">
      <c r="A16" s="590" t="s">
        <v>16</v>
      </c>
      <c r="B16" s="537"/>
      <c r="C16" s="538"/>
      <c r="D16" s="539"/>
      <c r="E16" s="540"/>
      <c r="F16" s="796"/>
    </row>
    <row r="17" spans="1:6" ht="15.75" x14ac:dyDescent="0.2">
      <c r="A17" s="590" t="s">
        <v>17</v>
      </c>
      <c r="B17" s="537"/>
      <c r="C17" s="538"/>
      <c r="D17" s="539"/>
      <c r="E17" s="540"/>
      <c r="F17" s="796"/>
    </row>
    <row r="18" spans="1:6" ht="15.75" x14ac:dyDescent="0.2">
      <c r="A18" s="590" t="s">
        <v>18</v>
      </c>
      <c r="B18" s="537"/>
      <c r="C18" s="538"/>
      <c r="D18" s="539"/>
      <c r="E18" s="540"/>
      <c r="F18" s="796"/>
    </row>
    <row r="19" spans="1:6" ht="15.75" x14ac:dyDescent="0.2">
      <c r="A19" s="590" t="s">
        <v>19</v>
      </c>
      <c r="B19" s="537"/>
      <c r="C19" s="538"/>
      <c r="D19" s="539"/>
      <c r="E19" s="540"/>
      <c r="F19" s="796"/>
    </row>
    <row r="20" spans="1:6" ht="15.75" x14ac:dyDescent="0.2">
      <c r="A20" s="590" t="s">
        <v>20</v>
      </c>
      <c r="B20" s="537"/>
      <c r="C20" s="538"/>
      <c r="D20" s="539"/>
      <c r="E20" s="540"/>
      <c r="F20" s="796"/>
    </row>
    <row r="21" spans="1:6" ht="15.75" x14ac:dyDescent="0.2">
      <c r="A21" s="590" t="s">
        <v>21</v>
      </c>
      <c r="B21" s="537"/>
      <c r="C21" s="538"/>
      <c r="D21" s="539"/>
      <c r="E21" s="540"/>
      <c r="F21" s="796"/>
    </row>
    <row r="22" spans="1:6" ht="16.5" thickBot="1" x14ac:dyDescent="0.25">
      <c r="A22" s="591" t="s">
        <v>22</v>
      </c>
      <c r="B22" s="541"/>
      <c r="C22" s="542"/>
      <c r="D22" s="543"/>
      <c r="E22" s="544"/>
      <c r="F22" s="796"/>
    </row>
    <row r="23" spans="1:6" ht="16.5" thickBot="1" x14ac:dyDescent="0.3">
      <c r="A23" s="797" t="s">
        <v>710</v>
      </c>
      <c r="B23" s="798"/>
      <c r="C23" s="545"/>
      <c r="D23" s="546" t="str">
        <f>IF(SUM(D6:D22)=0,"",SUM(D6:D22))</f>
        <v/>
      </c>
      <c r="E23" s="547" t="str">
        <f>IF(SUM(E6:E22)=0,"",SUM(E6:E22))</f>
        <v/>
      </c>
      <c r="F23" s="796"/>
    </row>
    <row r="24" spans="1:6" ht="15.75" x14ac:dyDescent="0.25">
      <c r="A24" s="532"/>
    </row>
  </sheetData>
  <sheetProtection sheet="1"/>
  <mergeCells count="4">
    <mergeCell ref="F3:F23"/>
    <mergeCell ref="A23:B23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E15"/>
  <sheetViews>
    <sheetView topLeftCell="A4" zoomScale="120" zoomScaleNormal="120" workbookViewId="0">
      <selection activeCell="D11" sqref="D11"/>
    </sheetView>
  </sheetViews>
  <sheetFormatPr defaultRowHeight="12.75" x14ac:dyDescent="0.2"/>
  <cols>
    <col min="1" max="1" width="7.6640625" style="31" customWidth="1"/>
    <col min="2" max="2" width="60.83203125" style="31" customWidth="1"/>
    <col min="3" max="3" width="28.83203125" style="31" customWidth="1"/>
    <col min="4" max="4" width="20.5" style="31" customWidth="1"/>
    <col min="5" max="5" width="23.5" style="31" customWidth="1"/>
    <col min="6" max="16384" width="9.33203125" style="31"/>
  </cols>
  <sheetData>
    <row r="2" spans="1:5" ht="15" x14ac:dyDescent="0.25">
      <c r="A2" s="756" t="str">
        <f>CONCATENATE("9. tájékoztató tábla ",Z_ALAPADATOK!A7," ",Z_ALAPADATOK!B7," ",Z_ALAPADATOK!C7," ",Z_ALAPADATOK!D7," ",Z_ALAPADATOK!E7," ",Z_ALAPADATOK!F7," ",Z_ALAPADATOK!G7," ",Z_ALAPADATOK!H7)</f>
        <v>9. tájékoztató tábla a 6 / 2019. ( IV.25 ) önkormányzati rendelethez</v>
      </c>
      <c r="B2" s="802"/>
      <c r="C2" s="802"/>
    </row>
    <row r="3" spans="1:5" ht="14.25" x14ac:dyDescent="0.2">
      <c r="A3" s="548"/>
      <c r="B3" s="548"/>
      <c r="C3" s="548"/>
    </row>
    <row r="4" spans="1:5" ht="33.75" customHeight="1" x14ac:dyDescent="0.2">
      <c r="A4" s="801" t="s">
        <v>711</v>
      </c>
      <c r="B4" s="801"/>
      <c r="C4" s="801"/>
    </row>
    <row r="5" spans="1:5" ht="13.5" thickBot="1" x14ac:dyDescent="0.25">
      <c r="C5" s="549"/>
    </row>
    <row r="6" spans="1:5" s="553" customFormat="1" ht="43.5" customHeight="1" thickBot="1" x14ac:dyDescent="0.25">
      <c r="A6" s="550" t="s">
        <v>4</v>
      </c>
      <c r="B6" s="551" t="s">
        <v>45</v>
      </c>
      <c r="C6" s="552" t="s">
        <v>712</v>
      </c>
    </row>
    <row r="7" spans="1:5" ht="28.5" customHeight="1" x14ac:dyDescent="0.2">
      <c r="A7" s="554" t="s">
        <v>6</v>
      </c>
      <c r="B7" s="555" t="s">
        <v>811</v>
      </c>
      <c r="C7" s="651">
        <v>72083507</v>
      </c>
      <c r="E7" s="654"/>
    </row>
    <row r="8" spans="1:5" ht="18" customHeight="1" x14ac:dyDescent="0.2">
      <c r="A8" s="556" t="s">
        <v>7</v>
      </c>
      <c r="B8" s="557" t="s">
        <v>713</v>
      </c>
      <c r="C8" s="597">
        <v>71905567</v>
      </c>
      <c r="E8" s="654"/>
    </row>
    <row r="9" spans="1:5" ht="18" customHeight="1" x14ac:dyDescent="0.2">
      <c r="A9" s="556" t="s">
        <v>8</v>
      </c>
      <c r="B9" s="557" t="s">
        <v>714</v>
      </c>
      <c r="C9" s="597">
        <v>177940</v>
      </c>
      <c r="E9" s="654"/>
    </row>
    <row r="10" spans="1:5" ht="18" customHeight="1" x14ac:dyDescent="0.2">
      <c r="A10" s="556" t="s">
        <v>9</v>
      </c>
      <c r="B10" s="558" t="s">
        <v>715</v>
      </c>
      <c r="C10" s="597">
        <f>249359042+5300000</f>
        <v>254659042</v>
      </c>
      <c r="E10" s="654"/>
    </row>
    <row r="11" spans="1:5" ht="18" customHeight="1" x14ac:dyDescent="0.2">
      <c r="A11" s="559" t="s">
        <v>10</v>
      </c>
      <c r="B11" s="560" t="s">
        <v>716</v>
      </c>
      <c r="C11" s="598">
        <v>285141798</v>
      </c>
      <c r="E11" s="654"/>
    </row>
    <row r="12" spans="1:5" ht="18" customHeight="1" thickBot="1" x14ac:dyDescent="0.25">
      <c r="A12" s="561" t="s">
        <v>11</v>
      </c>
      <c r="B12" s="562" t="s">
        <v>717</v>
      </c>
      <c r="C12" s="599">
        <v>51859</v>
      </c>
      <c r="E12" s="654"/>
    </row>
    <row r="13" spans="1:5" ht="25.5" customHeight="1" x14ac:dyDescent="0.2">
      <c r="A13" s="563" t="s">
        <v>12</v>
      </c>
      <c r="B13" s="564" t="s">
        <v>812</v>
      </c>
      <c r="C13" s="597">
        <f>C7+C10-C11+C12</f>
        <v>41652610</v>
      </c>
      <c r="D13" s="654"/>
      <c r="E13" s="654"/>
    </row>
    <row r="14" spans="1:5" ht="18" customHeight="1" x14ac:dyDescent="0.2">
      <c r="A14" s="556" t="s">
        <v>13</v>
      </c>
      <c r="B14" s="557" t="s">
        <v>713</v>
      </c>
      <c r="C14" s="654">
        <v>41519995</v>
      </c>
      <c r="D14" s="654">
        <v>0</v>
      </c>
      <c r="E14" s="654"/>
    </row>
    <row r="15" spans="1:5" ht="18" customHeight="1" thickBot="1" x14ac:dyDescent="0.25">
      <c r="A15" s="561" t="s">
        <v>14</v>
      </c>
      <c r="B15" s="565" t="s">
        <v>714</v>
      </c>
      <c r="C15" s="599">
        <v>132615</v>
      </c>
      <c r="E15" s="654"/>
    </row>
  </sheetData>
  <mergeCells count="2">
    <mergeCell ref="A4:C4"/>
    <mergeCell ref="A2:C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7" sqref="O16:O17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topLeftCell="A13" zoomScale="120" zoomScaleNormal="120" workbookViewId="0">
      <selection activeCell="B5" sqref="B5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63" t="s">
        <v>519</v>
      </c>
      <c r="B1" s="75"/>
    </row>
    <row r="2" spans="1:2" x14ac:dyDescent="0.2">
      <c r="A2" s="75"/>
      <c r="B2" s="75"/>
    </row>
    <row r="3" spans="1:2" x14ac:dyDescent="0.2">
      <c r="A3" s="265"/>
      <c r="B3" s="265"/>
    </row>
    <row r="4" spans="1:2" ht="15.75" x14ac:dyDescent="0.25">
      <c r="A4" s="77"/>
      <c r="B4" s="269"/>
    </row>
    <row r="5" spans="1:2" ht="15.75" x14ac:dyDescent="0.25">
      <c r="A5" s="77"/>
      <c r="B5" s="269"/>
    </row>
    <row r="6" spans="1:2" s="66" customFormat="1" ht="15.75" x14ac:dyDescent="0.25">
      <c r="A6" s="77" t="s">
        <v>780</v>
      </c>
      <c r="B6" s="265"/>
    </row>
    <row r="7" spans="1:2" s="66" customFormat="1" x14ac:dyDescent="0.2">
      <c r="A7" s="265"/>
      <c r="B7" s="265"/>
    </row>
    <row r="8" spans="1:2" s="66" customFormat="1" x14ac:dyDescent="0.2">
      <c r="A8" s="265"/>
      <c r="B8" s="265"/>
    </row>
    <row r="9" spans="1:2" x14ac:dyDescent="0.2">
      <c r="A9" s="265" t="s">
        <v>458</v>
      </c>
      <c r="B9" s="265" t="s">
        <v>419</v>
      </c>
    </row>
    <row r="10" spans="1:2" x14ac:dyDescent="0.2">
      <c r="A10" s="265" t="s">
        <v>456</v>
      </c>
      <c r="B10" s="265" t="s">
        <v>425</v>
      </c>
    </row>
    <row r="11" spans="1:2" x14ac:dyDescent="0.2">
      <c r="A11" s="265" t="s">
        <v>457</v>
      </c>
      <c r="B11" s="265" t="s">
        <v>426</v>
      </c>
    </row>
    <row r="12" spans="1:2" x14ac:dyDescent="0.2">
      <c r="A12" s="265"/>
      <c r="B12" s="265"/>
    </row>
    <row r="13" spans="1:2" ht="15.75" x14ac:dyDescent="0.25">
      <c r="A13" s="77" t="str">
        <f>+CONCATENATE(LEFT(A6,4),". évi módosított előirányzat BEVÉTELEK")</f>
        <v>2018. évi módosított előirányzat BEVÉTELEK</v>
      </c>
      <c r="B13" s="269"/>
    </row>
    <row r="14" spans="1:2" x14ac:dyDescent="0.2">
      <c r="A14" s="265"/>
      <c r="B14" s="265"/>
    </row>
    <row r="15" spans="1:2" s="66" customFormat="1" x14ac:dyDescent="0.2">
      <c r="A15" s="265" t="s">
        <v>459</v>
      </c>
      <c r="B15" s="265" t="s">
        <v>420</v>
      </c>
    </row>
    <row r="16" spans="1:2" x14ac:dyDescent="0.2">
      <c r="A16" s="265" t="s">
        <v>460</v>
      </c>
      <c r="B16" s="265" t="s">
        <v>427</v>
      </c>
    </row>
    <row r="17" spans="1:2" x14ac:dyDescent="0.2">
      <c r="A17" s="265" t="s">
        <v>461</v>
      </c>
      <c r="B17" s="265" t="s">
        <v>428</v>
      </c>
    </row>
    <row r="18" spans="1:2" x14ac:dyDescent="0.2">
      <c r="A18" s="265"/>
      <c r="B18" s="265"/>
    </row>
    <row r="19" spans="1:2" ht="14.25" x14ac:dyDescent="0.2">
      <c r="A19" s="272" t="str">
        <f>+CONCATENATE(LEFT(A6,4),".évi teljesített BEVÉTELEK")</f>
        <v>2018.évi teljesített BEVÉTELEK</v>
      </c>
      <c r="B19" s="269"/>
    </row>
    <row r="20" spans="1:2" x14ac:dyDescent="0.2">
      <c r="A20" s="265"/>
      <c r="B20" s="265"/>
    </row>
    <row r="21" spans="1:2" x14ac:dyDescent="0.2">
      <c r="A21" s="265" t="s">
        <v>462</v>
      </c>
      <c r="B21" s="265" t="s">
        <v>421</v>
      </c>
    </row>
    <row r="22" spans="1:2" x14ac:dyDescent="0.2">
      <c r="A22" s="265" t="s">
        <v>463</v>
      </c>
      <c r="B22" s="265" t="s">
        <v>429</v>
      </c>
    </row>
    <row r="23" spans="1:2" x14ac:dyDescent="0.2">
      <c r="A23" s="265" t="s">
        <v>464</v>
      </c>
      <c r="B23" s="265" t="s">
        <v>430</v>
      </c>
    </row>
    <row r="24" spans="1:2" x14ac:dyDescent="0.2">
      <c r="A24" s="265"/>
      <c r="B24" s="265"/>
    </row>
    <row r="25" spans="1:2" ht="15.75" x14ac:dyDescent="0.25">
      <c r="A25" s="77" t="str">
        <f>+CONCATENATE(LEFT(A6,4),". évi eredeti előirányzat KIADÁSOK")</f>
        <v>2018. évi eredeti előirányzat KIADÁSOK</v>
      </c>
      <c r="B25" s="269"/>
    </row>
    <row r="26" spans="1:2" x14ac:dyDescent="0.2">
      <c r="A26" s="265"/>
      <c r="B26" s="265"/>
    </row>
    <row r="27" spans="1:2" x14ac:dyDescent="0.2">
      <c r="A27" s="265" t="s">
        <v>465</v>
      </c>
      <c r="B27" s="265" t="s">
        <v>422</v>
      </c>
    </row>
    <row r="28" spans="1:2" x14ac:dyDescent="0.2">
      <c r="A28" s="265" t="s">
        <v>466</v>
      </c>
      <c r="B28" s="265" t="s">
        <v>431</v>
      </c>
    </row>
    <row r="29" spans="1:2" x14ac:dyDescent="0.2">
      <c r="A29" s="265" t="s">
        <v>467</v>
      </c>
      <c r="B29" s="265" t="s">
        <v>432</v>
      </c>
    </row>
    <row r="30" spans="1:2" x14ac:dyDescent="0.2">
      <c r="A30" s="265"/>
      <c r="B30" s="265"/>
    </row>
    <row r="31" spans="1:2" ht="15.75" x14ac:dyDescent="0.25">
      <c r="A31" s="77" t="str">
        <f>+CONCATENATE(LEFT(A6,4),". évi módosított előirányzat KIADÁSOK")</f>
        <v>2018. évi módosított előirányzat KIADÁSOK</v>
      </c>
      <c r="B31" s="269"/>
    </row>
    <row r="32" spans="1:2" x14ac:dyDescent="0.2">
      <c r="A32" s="265"/>
      <c r="B32" s="265"/>
    </row>
    <row r="33" spans="1:2" x14ac:dyDescent="0.2">
      <c r="A33" s="265" t="s">
        <v>468</v>
      </c>
      <c r="B33" s="265" t="s">
        <v>423</v>
      </c>
    </row>
    <row r="34" spans="1:2" x14ac:dyDescent="0.2">
      <c r="A34" s="265" t="s">
        <v>469</v>
      </c>
      <c r="B34" s="265" t="s">
        <v>433</v>
      </c>
    </row>
    <row r="35" spans="1:2" x14ac:dyDescent="0.2">
      <c r="A35" s="265" t="s">
        <v>470</v>
      </c>
      <c r="B35" s="265" t="s">
        <v>434</v>
      </c>
    </row>
    <row r="36" spans="1:2" x14ac:dyDescent="0.2">
      <c r="A36" s="265"/>
      <c r="B36" s="265"/>
    </row>
    <row r="37" spans="1:2" ht="15.75" x14ac:dyDescent="0.25">
      <c r="A37" s="271" t="str">
        <f>+CONCATENATE(LEFT(A6,4),".évi teljesített KIADÁSOK")</f>
        <v>2018.évi teljesített KIADÁSOK</v>
      </c>
      <c r="B37" s="269"/>
    </row>
    <row r="38" spans="1:2" x14ac:dyDescent="0.2">
      <c r="A38" s="265"/>
      <c r="B38" s="265"/>
    </row>
    <row r="39" spans="1:2" x14ac:dyDescent="0.2">
      <c r="A39" s="265" t="s">
        <v>471</v>
      </c>
      <c r="B39" s="265" t="s">
        <v>424</v>
      </c>
    </row>
    <row r="40" spans="1:2" x14ac:dyDescent="0.2">
      <c r="A40" s="265" t="s">
        <v>472</v>
      </c>
      <c r="B40" s="265" t="s">
        <v>435</v>
      </c>
    </row>
    <row r="41" spans="1:2" x14ac:dyDescent="0.2">
      <c r="A41" s="265" t="s">
        <v>473</v>
      </c>
      <c r="B41" s="265" t="s">
        <v>436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  <pageSetUpPr fitToPage="1"/>
  </sheetPr>
  <dimension ref="A1:I166"/>
  <sheetViews>
    <sheetView topLeftCell="A130" zoomScale="120" zoomScaleNormal="120" zoomScaleSheetLayoutView="100" workbookViewId="0">
      <selection activeCell="D162" sqref="D162"/>
    </sheetView>
  </sheetViews>
  <sheetFormatPr defaultRowHeight="15.75" x14ac:dyDescent="0.25"/>
  <cols>
    <col min="1" max="1" width="9.5" style="143" customWidth="1"/>
    <col min="2" max="2" width="65.83203125" style="143" customWidth="1"/>
    <col min="3" max="3" width="17.83203125" style="144" customWidth="1"/>
    <col min="4" max="5" width="17.83203125" style="165" customWidth="1"/>
    <col min="6" max="16384" width="9.33203125" style="165"/>
  </cols>
  <sheetData>
    <row r="1" spans="1:5" x14ac:dyDescent="0.25">
      <c r="A1" s="363"/>
      <c r="B1" s="663" t="str">
        <f>CONCATENATE("1.1. melléklet ",Z_ALAPADATOK!A7," ",Z_ALAPADATOK!B7," ",Z_ALAPADATOK!C7," ",Z_ALAPADATOK!D7," ",Z_ALAPADATOK!E7," ",Z_ALAPADATOK!F7," ",Z_ALAPADATOK!G7," ",Z_ALAPADATOK!H7)</f>
        <v>1.1. melléklet a 6 / 2019. ( IV.25 ) önkormányzati rendelethez</v>
      </c>
      <c r="C1" s="664"/>
      <c r="D1" s="664"/>
      <c r="E1" s="664"/>
    </row>
    <row r="2" spans="1:5" x14ac:dyDescent="0.25">
      <c r="A2" s="665" t="str">
        <f>CONCATENATE(Z_ALAPADATOK!A3)</f>
        <v>Kajárpéc Közésgi Önkormányzat</v>
      </c>
      <c r="B2" s="666"/>
      <c r="C2" s="666"/>
      <c r="D2" s="666"/>
      <c r="E2" s="666"/>
    </row>
    <row r="3" spans="1:5" x14ac:dyDescent="0.25">
      <c r="A3" s="665" t="s">
        <v>781</v>
      </c>
      <c r="B3" s="665"/>
      <c r="C3" s="667"/>
      <c r="D3" s="665"/>
      <c r="E3" s="665"/>
    </row>
    <row r="4" spans="1:5" ht="12" customHeight="1" x14ac:dyDescent="0.25">
      <c r="A4" s="665"/>
      <c r="B4" s="665"/>
      <c r="C4" s="667"/>
      <c r="D4" s="665"/>
      <c r="E4" s="665"/>
    </row>
    <row r="5" spans="1:5" x14ac:dyDescent="0.25">
      <c r="A5" s="363"/>
      <c r="B5" s="363"/>
      <c r="C5" s="364"/>
      <c r="D5" s="365"/>
      <c r="E5" s="365"/>
    </row>
    <row r="6" spans="1:5" ht="15.95" customHeight="1" x14ac:dyDescent="0.25">
      <c r="A6" s="677" t="s">
        <v>3</v>
      </c>
      <c r="B6" s="677"/>
      <c r="C6" s="677"/>
      <c r="D6" s="677"/>
      <c r="E6" s="677"/>
    </row>
    <row r="7" spans="1:5" ht="15.95" customHeight="1" thickBot="1" x14ac:dyDescent="0.3">
      <c r="A7" s="679" t="s">
        <v>102</v>
      </c>
      <c r="B7" s="679"/>
      <c r="C7" s="366"/>
      <c r="D7" s="365"/>
      <c r="E7" s="366" t="s">
        <v>490</v>
      </c>
    </row>
    <row r="8" spans="1:5" x14ac:dyDescent="0.25">
      <c r="A8" s="669" t="s">
        <v>52</v>
      </c>
      <c r="B8" s="671" t="s">
        <v>5</v>
      </c>
      <c r="C8" s="673" t="str">
        <f>+CONCATENATE(LEFT(Z_ÖSSZEFÜGGÉSEK!A6,4),". évi")</f>
        <v>2018. évi</v>
      </c>
      <c r="D8" s="674"/>
      <c r="E8" s="675"/>
    </row>
    <row r="9" spans="1:5" ht="24.75" thickBot="1" x14ac:dyDescent="0.3">
      <c r="A9" s="670"/>
      <c r="B9" s="672"/>
      <c r="C9" s="240" t="s">
        <v>412</v>
      </c>
      <c r="D9" s="239" t="s">
        <v>413</v>
      </c>
      <c r="E9" s="352" t="str">
        <f>+CONCATENATE(LEFT(Z_ÖSSZEFÜGGÉSEK!A6,4),". XII. 31.",CHAR(10),"teljesítés")</f>
        <v>2018. XII. 31.
teljesítés</v>
      </c>
    </row>
    <row r="10" spans="1:5" s="166" customFormat="1" ht="12" customHeight="1" thickBot="1" x14ac:dyDescent="0.25">
      <c r="A10" s="162" t="s">
        <v>383</v>
      </c>
      <c r="B10" s="163" t="s">
        <v>384</v>
      </c>
      <c r="C10" s="163" t="s">
        <v>385</v>
      </c>
      <c r="D10" s="163" t="s">
        <v>387</v>
      </c>
      <c r="E10" s="241" t="s">
        <v>386</v>
      </c>
    </row>
    <row r="11" spans="1:5" s="167" customFormat="1" ht="12" customHeight="1" thickBot="1" x14ac:dyDescent="0.25">
      <c r="A11" s="18" t="s">
        <v>6</v>
      </c>
      <c r="B11" s="19" t="s">
        <v>160</v>
      </c>
      <c r="C11" s="155">
        <f>+C12+C13+C14+C15+C16+C17</f>
        <v>111876645</v>
      </c>
      <c r="D11" s="155">
        <f>+D12+D13+D14+D15+D16+D17</f>
        <v>114402555</v>
      </c>
      <c r="E11" s="92">
        <f>+E12+E13+E14+E15+E16+E17</f>
        <v>114402555</v>
      </c>
    </row>
    <row r="12" spans="1:5" s="167" customFormat="1" ht="12" customHeight="1" x14ac:dyDescent="0.2">
      <c r="A12" s="13" t="s">
        <v>64</v>
      </c>
      <c r="B12" s="168" t="s">
        <v>161</v>
      </c>
      <c r="C12" s="157">
        <v>97189685</v>
      </c>
      <c r="D12" s="157">
        <v>97231897</v>
      </c>
      <c r="E12" s="94">
        <v>97231897</v>
      </c>
    </row>
    <row r="13" spans="1:5" s="167" customFormat="1" ht="12" customHeight="1" x14ac:dyDescent="0.2">
      <c r="A13" s="12" t="s">
        <v>65</v>
      </c>
      <c r="B13" s="169" t="s">
        <v>162</v>
      </c>
      <c r="C13" s="156"/>
      <c r="D13" s="156"/>
      <c r="E13" s="93"/>
    </row>
    <row r="14" spans="1:5" s="167" customFormat="1" ht="12" customHeight="1" x14ac:dyDescent="0.2">
      <c r="A14" s="12" t="s">
        <v>66</v>
      </c>
      <c r="B14" s="169" t="s">
        <v>163</v>
      </c>
      <c r="C14" s="156">
        <v>12394560</v>
      </c>
      <c r="D14" s="156">
        <v>12169060</v>
      </c>
      <c r="E14" s="93">
        <v>12169060</v>
      </c>
    </row>
    <row r="15" spans="1:5" s="167" customFormat="1" ht="12" customHeight="1" x14ac:dyDescent="0.2">
      <c r="A15" s="12" t="s">
        <v>67</v>
      </c>
      <c r="B15" s="169" t="s">
        <v>164</v>
      </c>
      <c r="C15" s="156">
        <v>1800000</v>
      </c>
      <c r="D15" s="156">
        <v>1800000</v>
      </c>
      <c r="E15" s="93">
        <v>1800000</v>
      </c>
    </row>
    <row r="16" spans="1:5" s="167" customFormat="1" ht="12" customHeight="1" x14ac:dyDescent="0.2">
      <c r="A16" s="12" t="s">
        <v>99</v>
      </c>
      <c r="B16" s="100" t="s">
        <v>331</v>
      </c>
      <c r="C16" s="156">
        <v>492400</v>
      </c>
      <c r="D16" s="156">
        <v>3201598</v>
      </c>
      <c r="E16" s="93">
        <v>3201598</v>
      </c>
    </row>
    <row r="17" spans="1:5" s="167" customFormat="1" ht="12" customHeight="1" thickBot="1" x14ac:dyDescent="0.25">
      <c r="A17" s="14" t="s">
        <v>68</v>
      </c>
      <c r="B17" s="101" t="s">
        <v>332</v>
      </c>
      <c r="C17" s="156"/>
      <c r="D17" s="156"/>
      <c r="E17" s="93"/>
    </row>
    <row r="18" spans="1:5" s="167" customFormat="1" ht="12" customHeight="1" thickBot="1" x14ac:dyDescent="0.25">
      <c r="A18" s="18" t="s">
        <v>7</v>
      </c>
      <c r="B18" s="99" t="s">
        <v>165</v>
      </c>
      <c r="C18" s="155">
        <f>+C19+C20+C21+C22+C23</f>
        <v>12514251</v>
      </c>
      <c r="D18" s="155">
        <f>+D19+D20+D21+D22+D23</f>
        <v>25764285</v>
      </c>
      <c r="E18" s="92">
        <f>+E19+E20+E21+E22+E23</f>
        <v>22924473</v>
      </c>
    </row>
    <row r="19" spans="1:5" s="167" customFormat="1" ht="12" customHeight="1" x14ac:dyDescent="0.2">
      <c r="A19" s="13" t="s">
        <v>70</v>
      </c>
      <c r="B19" s="168" t="s">
        <v>166</v>
      </c>
      <c r="C19" s="157"/>
      <c r="D19" s="157"/>
      <c r="E19" s="94"/>
    </row>
    <row r="20" spans="1:5" s="167" customFormat="1" ht="12" customHeight="1" x14ac:dyDescent="0.2">
      <c r="A20" s="12" t="s">
        <v>71</v>
      </c>
      <c r="B20" s="169" t="s">
        <v>167</v>
      </c>
      <c r="C20" s="156"/>
      <c r="D20" s="156"/>
      <c r="E20" s="93"/>
    </row>
    <row r="21" spans="1:5" s="167" customFormat="1" ht="12" customHeight="1" x14ac:dyDescent="0.2">
      <c r="A21" s="12" t="s">
        <v>72</v>
      </c>
      <c r="B21" s="169" t="s">
        <v>324</v>
      </c>
      <c r="C21" s="156"/>
      <c r="D21" s="156"/>
      <c r="E21" s="93"/>
    </row>
    <row r="22" spans="1:5" s="167" customFormat="1" ht="12" customHeight="1" x14ac:dyDescent="0.2">
      <c r="A22" s="12" t="s">
        <v>73</v>
      </c>
      <c r="B22" s="169" t="s">
        <v>325</v>
      </c>
      <c r="C22" s="156"/>
      <c r="D22" s="156"/>
      <c r="E22" s="93"/>
    </row>
    <row r="23" spans="1:5" s="167" customFormat="1" ht="12" customHeight="1" x14ac:dyDescent="0.2">
      <c r="A23" s="12" t="s">
        <v>74</v>
      </c>
      <c r="B23" s="169" t="s">
        <v>168</v>
      </c>
      <c r="C23" s="156">
        <v>12514251</v>
      </c>
      <c r="D23" s="156">
        <v>25764285</v>
      </c>
      <c r="E23" s="93">
        <v>22924473</v>
      </c>
    </row>
    <row r="24" spans="1:5" s="167" customFormat="1" ht="12" customHeight="1" thickBot="1" x14ac:dyDescent="0.25">
      <c r="A24" s="14" t="s">
        <v>81</v>
      </c>
      <c r="B24" s="101" t="s">
        <v>169</v>
      </c>
      <c r="C24" s="158"/>
      <c r="D24" s="158"/>
      <c r="E24" s="95"/>
    </row>
    <row r="25" spans="1:5" s="167" customFormat="1" ht="12" customHeight="1" thickBot="1" x14ac:dyDescent="0.25">
      <c r="A25" s="18" t="s">
        <v>8</v>
      </c>
      <c r="B25" s="19" t="s">
        <v>170</v>
      </c>
      <c r="C25" s="155">
        <f>+C26+C27+C28+C29+C30</f>
        <v>9041731</v>
      </c>
      <c r="D25" s="155">
        <f>+D26+D27+D28+D29+D30</f>
        <v>11497731</v>
      </c>
      <c r="E25" s="92">
        <f>+E26+E27+E28+E29+E30</f>
        <v>11497731</v>
      </c>
    </row>
    <row r="26" spans="1:5" s="167" customFormat="1" ht="12" customHeight="1" x14ac:dyDescent="0.2">
      <c r="A26" s="13" t="s">
        <v>53</v>
      </c>
      <c r="B26" s="168" t="s">
        <v>171</v>
      </c>
      <c r="C26" s="157">
        <v>9041731</v>
      </c>
      <c r="D26" s="157">
        <v>11497731</v>
      </c>
      <c r="E26" s="94">
        <v>11497731</v>
      </c>
    </row>
    <row r="27" spans="1:5" s="167" customFormat="1" ht="12" customHeight="1" x14ac:dyDescent="0.2">
      <c r="A27" s="12" t="s">
        <v>54</v>
      </c>
      <c r="B27" s="169" t="s">
        <v>172</v>
      </c>
      <c r="C27" s="156"/>
      <c r="D27" s="156"/>
      <c r="E27" s="93"/>
    </row>
    <row r="28" spans="1:5" s="167" customFormat="1" ht="12" customHeight="1" x14ac:dyDescent="0.2">
      <c r="A28" s="12" t="s">
        <v>55</v>
      </c>
      <c r="B28" s="169" t="s">
        <v>326</v>
      </c>
      <c r="C28" s="156"/>
      <c r="D28" s="156"/>
      <c r="E28" s="93"/>
    </row>
    <row r="29" spans="1:5" s="167" customFormat="1" ht="12" customHeight="1" x14ac:dyDescent="0.2">
      <c r="A29" s="12" t="s">
        <v>56</v>
      </c>
      <c r="B29" s="169" t="s">
        <v>327</v>
      </c>
      <c r="C29" s="156"/>
      <c r="D29" s="156"/>
      <c r="E29" s="93"/>
    </row>
    <row r="30" spans="1:5" s="167" customFormat="1" ht="12" customHeight="1" x14ac:dyDescent="0.2">
      <c r="A30" s="12" t="s">
        <v>112</v>
      </c>
      <c r="B30" s="169" t="s">
        <v>173</v>
      </c>
      <c r="C30" s="156"/>
      <c r="D30" s="156"/>
      <c r="E30" s="93"/>
    </row>
    <row r="31" spans="1:5" s="167" customFormat="1" ht="12" customHeight="1" thickBot="1" x14ac:dyDescent="0.25">
      <c r="A31" s="14" t="s">
        <v>113</v>
      </c>
      <c r="B31" s="170" t="s">
        <v>174</v>
      </c>
      <c r="C31" s="158"/>
      <c r="D31" s="158"/>
      <c r="E31" s="95"/>
    </row>
    <row r="32" spans="1:5" s="167" customFormat="1" ht="12" customHeight="1" thickBot="1" x14ac:dyDescent="0.25">
      <c r="A32" s="18" t="s">
        <v>114</v>
      </c>
      <c r="B32" s="19" t="s">
        <v>478</v>
      </c>
      <c r="C32" s="161">
        <f>SUM(C33:C39)</f>
        <v>20700000</v>
      </c>
      <c r="D32" s="161">
        <f>SUM(D33:D39)</f>
        <v>20700000</v>
      </c>
      <c r="E32" s="197">
        <f>SUM(E33:E39)</f>
        <v>23262724</v>
      </c>
    </row>
    <row r="33" spans="1:5" s="167" customFormat="1" ht="12" customHeight="1" x14ac:dyDescent="0.2">
      <c r="A33" s="13" t="s">
        <v>175</v>
      </c>
      <c r="B33" s="168" t="s">
        <v>479</v>
      </c>
      <c r="C33" s="157"/>
      <c r="D33" s="157"/>
      <c r="E33" s="94"/>
    </row>
    <row r="34" spans="1:5" s="167" customFormat="1" ht="12" customHeight="1" x14ac:dyDescent="0.2">
      <c r="A34" s="12" t="s">
        <v>176</v>
      </c>
      <c r="B34" s="169" t="s">
        <v>480</v>
      </c>
      <c r="C34" s="156"/>
      <c r="D34" s="156"/>
      <c r="E34" s="93"/>
    </row>
    <row r="35" spans="1:5" s="167" customFormat="1" ht="12" customHeight="1" x14ac:dyDescent="0.2">
      <c r="A35" s="12" t="s">
        <v>177</v>
      </c>
      <c r="B35" s="169" t="s">
        <v>481</v>
      </c>
      <c r="C35" s="156">
        <v>13500000</v>
      </c>
      <c r="D35" s="156">
        <v>13500000</v>
      </c>
      <c r="E35" s="93">
        <v>16402953</v>
      </c>
    </row>
    <row r="36" spans="1:5" s="167" customFormat="1" ht="12" customHeight="1" x14ac:dyDescent="0.2">
      <c r="A36" s="12" t="s">
        <v>178</v>
      </c>
      <c r="B36" s="169" t="s">
        <v>482</v>
      </c>
      <c r="C36" s="156"/>
      <c r="D36" s="156"/>
      <c r="E36" s="93"/>
    </row>
    <row r="37" spans="1:5" s="167" customFormat="1" ht="12" customHeight="1" x14ac:dyDescent="0.2">
      <c r="A37" s="12" t="s">
        <v>483</v>
      </c>
      <c r="B37" s="169" t="s">
        <v>179</v>
      </c>
      <c r="C37" s="156">
        <v>6400000</v>
      </c>
      <c r="D37" s="156">
        <v>6400000</v>
      </c>
      <c r="E37" s="93">
        <v>6815965</v>
      </c>
    </row>
    <row r="38" spans="1:5" s="167" customFormat="1" ht="12" customHeight="1" x14ac:dyDescent="0.2">
      <c r="A38" s="12" t="s">
        <v>484</v>
      </c>
      <c r="B38" s="169" t="s">
        <v>821</v>
      </c>
      <c r="C38" s="156">
        <v>300000</v>
      </c>
      <c r="D38" s="156">
        <v>300000</v>
      </c>
      <c r="E38" s="93"/>
    </row>
    <row r="39" spans="1:5" s="167" customFormat="1" ht="12" customHeight="1" thickBot="1" x14ac:dyDescent="0.25">
      <c r="A39" s="14" t="s">
        <v>485</v>
      </c>
      <c r="B39" s="312" t="s">
        <v>180</v>
      </c>
      <c r="C39" s="158">
        <v>500000</v>
      </c>
      <c r="D39" s="158">
        <v>500000</v>
      </c>
      <c r="E39" s="95">
        <v>43806</v>
      </c>
    </row>
    <row r="40" spans="1:5" s="167" customFormat="1" ht="12" customHeight="1" thickBot="1" x14ac:dyDescent="0.25">
      <c r="A40" s="18" t="s">
        <v>10</v>
      </c>
      <c r="B40" s="19" t="s">
        <v>333</v>
      </c>
      <c r="C40" s="155">
        <f>SUM(C41:C51)</f>
        <v>7333429</v>
      </c>
      <c r="D40" s="155">
        <f>SUM(D41:D51)</f>
        <v>9933429</v>
      </c>
      <c r="E40" s="92">
        <f>SUM(E41:E51)</f>
        <v>10791305</v>
      </c>
    </row>
    <row r="41" spans="1:5" s="167" customFormat="1" ht="12" customHeight="1" x14ac:dyDescent="0.2">
      <c r="A41" s="13" t="s">
        <v>57</v>
      </c>
      <c r="B41" s="168" t="s">
        <v>183</v>
      </c>
      <c r="C41" s="157">
        <v>0</v>
      </c>
      <c r="D41" s="157">
        <v>0</v>
      </c>
      <c r="E41" s="94">
        <v>9913</v>
      </c>
    </row>
    <row r="42" spans="1:5" s="167" customFormat="1" ht="12" customHeight="1" x14ac:dyDescent="0.2">
      <c r="A42" s="12" t="s">
        <v>58</v>
      </c>
      <c r="B42" s="169" t="s">
        <v>184</v>
      </c>
      <c r="C42" s="156">
        <f>600000+1855700</f>
        <v>2455700</v>
      </c>
      <c r="D42" s="156">
        <f>600000+4211037</f>
        <v>4811037</v>
      </c>
      <c r="E42" s="93">
        <f>556000+5576208</f>
        <v>6132208</v>
      </c>
    </row>
    <row r="43" spans="1:5" s="167" customFormat="1" ht="12" customHeight="1" x14ac:dyDescent="0.2">
      <c r="A43" s="12" t="s">
        <v>59</v>
      </c>
      <c r="B43" s="169" t="s">
        <v>185</v>
      </c>
      <c r="C43" s="156">
        <v>405337</v>
      </c>
      <c r="D43" s="156">
        <v>400000</v>
      </c>
      <c r="E43" s="93">
        <v>371019</v>
      </c>
    </row>
    <row r="44" spans="1:5" s="167" customFormat="1" ht="12" customHeight="1" x14ac:dyDescent="0.2">
      <c r="A44" s="12" t="s">
        <v>116</v>
      </c>
      <c r="B44" s="169" t="s">
        <v>186</v>
      </c>
      <c r="C44" s="156">
        <v>95680</v>
      </c>
      <c r="D44" s="156">
        <v>95680</v>
      </c>
      <c r="E44" s="93">
        <v>47840</v>
      </c>
    </row>
    <row r="45" spans="1:5" s="167" customFormat="1" ht="12" customHeight="1" x14ac:dyDescent="0.2">
      <c r="A45" s="12" t="s">
        <v>117</v>
      </c>
      <c r="B45" s="169" t="s">
        <v>187</v>
      </c>
      <c r="C45" s="156">
        <v>3253100</v>
      </c>
      <c r="D45" s="156">
        <v>3253100</v>
      </c>
      <c r="E45" s="93">
        <v>2907425</v>
      </c>
    </row>
    <row r="46" spans="1:5" s="167" customFormat="1" ht="12" customHeight="1" x14ac:dyDescent="0.2">
      <c r="A46" s="12" t="s">
        <v>118</v>
      </c>
      <c r="B46" s="169" t="s">
        <v>188</v>
      </c>
      <c r="C46" s="156">
        <v>1013612</v>
      </c>
      <c r="D46" s="156">
        <v>1263612</v>
      </c>
      <c r="E46" s="93">
        <v>1003965</v>
      </c>
    </row>
    <row r="47" spans="1:5" s="167" customFormat="1" ht="12" customHeight="1" x14ac:dyDescent="0.2">
      <c r="A47" s="12" t="s">
        <v>119</v>
      </c>
      <c r="B47" s="169" t="s">
        <v>189</v>
      </c>
      <c r="C47" s="156"/>
      <c r="D47" s="156"/>
      <c r="E47" s="93"/>
    </row>
    <row r="48" spans="1:5" s="167" customFormat="1" ht="12" customHeight="1" x14ac:dyDescent="0.2">
      <c r="A48" s="12" t="s">
        <v>120</v>
      </c>
      <c r="B48" s="169" t="s">
        <v>486</v>
      </c>
      <c r="C48" s="156">
        <f>10000+100000</f>
        <v>110000</v>
      </c>
      <c r="D48" s="156">
        <f>100000+10000</f>
        <v>110000</v>
      </c>
      <c r="E48" s="93">
        <f>7921+107129</f>
        <v>115050</v>
      </c>
    </row>
    <row r="49" spans="1:5" s="167" customFormat="1" ht="12" customHeight="1" x14ac:dyDescent="0.2">
      <c r="A49" s="12" t="s">
        <v>181</v>
      </c>
      <c r="B49" s="169" t="s">
        <v>191</v>
      </c>
      <c r="C49" s="159">
        <v>0</v>
      </c>
      <c r="D49" s="159"/>
      <c r="E49" s="96">
        <v>95511</v>
      </c>
    </row>
    <row r="50" spans="1:5" s="167" customFormat="1" ht="12" customHeight="1" x14ac:dyDescent="0.2">
      <c r="A50" s="14" t="s">
        <v>182</v>
      </c>
      <c r="B50" s="170" t="s">
        <v>335</v>
      </c>
      <c r="C50" s="160"/>
      <c r="D50" s="160"/>
      <c r="E50" s="97">
        <v>58370</v>
      </c>
    </row>
    <row r="51" spans="1:5" s="167" customFormat="1" ht="12" customHeight="1" thickBot="1" x14ac:dyDescent="0.25">
      <c r="A51" s="14" t="s">
        <v>334</v>
      </c>
      <c r="B51" s="101" t="s">
        <v>192</v>
      </c>
      <c r="C51" s="160"/>
      <c r="D51" s="160"/>
      <c r="E51" s="97">
        <v>50004</v>
      </c>
    </row>
    <row r="52" spans="1:5" s="167" customFormat="1" ht="12" customHeight="1" thickBot="1" x14ac:dyDescent="0.25">
      <c r="A52" s="18" t="s">
        <v>11</v>
      </c>
      <c r="B52" s="19" t="s">
        <v>193</v>
      </c>
      <c r="C52" s="155">
        <f>SUM(C53:C57)</f>
        <v>0</v>
      </c>
      <c r="D52" s="155">
        <f>SUM(D53:D57)</f>
        <v>0</v>
      </c>
      <c r="E52" s="92">
        <f>SUM(E53:E57)</f>
        <v>0</v>
      </c>
    </row>
    <row r="53" spans="1:5" s="167" customFormat="1" ht="12" customHeight="1" x14ac:dyDescent="0.2">
      <c r="A53" s="13" t="s">
        <v>60</v>
      </c>
      <c r="B53" s="168" t="s">
        <v>197</v>
      </c>
      <c r="C53" s="208"/>
      <c r="D53" s="208"/>
      <c r="E53" s="98"/>
    </row>
    <row r="54" spans="1:5" s="167" customFormat="1" ht="12" customHeight="1" x14ac:dyDescent="0.2">
      <c r="A54" s="12" t="s">
        <v>61</v>
      </c>
      <c r="B54" s="169" t="s">
        <v>198</v>
      </c>
      <c r="C54" s="159"/>
      <c r="D54" s="159"/>
      <c r="E54" s="96"/>
    </row>
    <row r="55" spans="1:5" s="167" customFormat="1" ht="12" customHeight="1" x14ac:dyDescent="0.2">
      <c r="A55" s="12" t="s">
        <v>194</v>
      </c>
      <c r="B55" s="169" t="s">
        <v>199</v>
      </c>
      <c r="C55" s="159"/>
      <c r="D55" s="159"/>
      <c r="E55" s="96"/>
    </row>
    <row r="56" spans="1:5" s="167" customFormat="1" ht="12" customHeight="1" x14ac:dyDescent="0.2">
      <c r="A56" s="12" t="s">
        <v>195</v>
      </c>
      <c r="B56" s="169" t="s">
        <v>200</v>
      </c>
      <c r="C56" s="159"/>
      <c r="D56" s="159"/>
      <c r="E56" s="96"/>
    </row>
    <row r="57" spans="1:5" s="167" customFormat="1" ht="12" customHeight="1" thickBot="1" x14ac:dyDescent="0.25">
      <c r="A57" s="14" t="s">
        <v>196</v>
      </c>
      <c r="B57" s="101" t="s">
        <v>201</v>
      </c>
      <c r="C57" s="160"/>
      <c r="D57" s="160"/>
      <c r="E57" s="97"/>
    </row>
    <row r="58" spans="1:5" s="167" customFormat="1" ht="12" customHeight="1" thickBot="1" x14ac:dyDescent="0.25">
      <c r="A58" s="18" t="s">
        <v>121</v>
      </c>
      <c r="B58" s="19" t="s">
        <v>202</v>
      </c>
      <c r="C58" s="155">
        <f>SUM(C59:C61)</f>
        <v>0</v>
      </c>
      <c r="D58" s="155">
        <f>SUM(D59:D61)</f>
        <v>4046021</v>
      </c>
      <c r="E58" s="92">
        <f>SUM(E59:E61)</f>
        <v>4673557</v>
      </c>
    </row>
    <row r="59" spans="1:5" s="167" customFormat="1" ht="12" customHeight="1" x14ac:dyDescent="0.2">
      <c r="A59" s="13" t="s">
        <v>62</v>
      </c>
      <c r="B59" s="168" t="s">
        <v>203</v>
      </c>
      <c r="C59" s="157"/>
      <c r="D59" s="157"/>
      <c r="E59" s="94"/>
    </row>
    <row r="60" spans="1:5" s="167" customFormat="1" ht="12" customHeight="1" x14ac:dyDescent="0.2">
      <c r="A60" s="12" t="s">
        <v>63</v>
      </c>
      <c r="B60" s="169" t="s">
        <v>328</v>
      </c>
      <c r="C60" s="156"/>
      <c r="D60" s="156"/>
      <c r="E60" s="93"/>
    </row>
    <row r="61" spans="1:5" s="167" customFormat="1" ht="12" customHeight="1" x14ac:dyDescent="0.2">
      <c r="A61" s="12" t="s">
        <v>206</v>
      </c>
      <c r="B61" s="169" t="s">
        <v>204</v>
      </c>
      <c r="C61" s="156">
        <v>0</v>
      </c>
      <c r="D61" s="156">
        <v>4046021</v>
      </c>
      <c r="E61" s="93">
        <v>4673557</v>
      </c>
    </row>
    <row r="62" spans="1:5" s="167" customFormat="1" ht="12" customHeight="1" thickBot="1" x14ac:dyDescent="0.25">
      <c r="A62" s="14" t="s">
        <v>207</v>
      </c>
      <c r="B62" s="101" t="s">
        <v>205</v>
      </c>
      <c r="C62" s="158"/>
      <c r="D62" s="158"/>
      <c r="E62" s="95"/>
    </row>
    <row r="63" spans="1:5" s="167" customFormat="1" ht="12" customHeight="1" thickBot="1" x14ac:dyDescent="0.25">
      <c r="A63" s="18" t="s">
        <v>13</v>
      </c>
      <c r="B63" s="99" t="s">
        <v>208</v>
      </c>
      <c r="C63" s="155">
        <f>SUM(C64:C66)</f>
        <v>0</v>
      </c>
      <c r="D63" s="155">
        <f>SUM(D64:D66)</f>
        <v>0</v>
      </c>
      <c r="E63" s="92">
        <f>SUM(E64:E66)</f>
        <v>0</v>
      </c>
    </row>
    <row r="64" spans="1:5" s="167" customFormat="1" ht="12" customHeight="1" x14ac:dyDescent="0.2">
      <c r="A64" s="13" t="s">
        <v>122</v>
      </c>
      <c r="B64" s="168" t="s">
        <v>210</v>
      </c>
      <c r="C64" s="159"/>
      <c r="D64" s="159"/>
      <c r="E64" s="96"/>
    </row>
    <row r="65" spans="1:5" s="167" customFormat="1" ht="12" customHeight="1" x14ac:dyDescent="0.2">
      <c r="A65" s="12" t="s">
        <v>123</v>
      </c>
      <c r="B65" s="169" t="s">
        <v>329</v>
      </c>
      <c r="C65" s="159"/>
      <c r="D65" s="159"/>
      <c r="E65" s="96"/>
    </row>
    <row r="66" spans="1:5" s="167" customFormat="1" ht="12" customHeight="1" x14ac:dyDescent="0.2">
      <c r="A66" s="12" t="s">
        <v>142</v>
      </c>
      <c r="B66" s="169" t="s">
        <v>211</v>
      </c>
      <c r="C66" s="159"/>
      <c r="D66" s="159"/>
      <c r="E66" s="96"/>
    </row>
    <row r="67" spans="1:5" s="167" customFormat="1" ht="12" customHeight="1" thickBot="1" x14ac:dyDescent="0.25">
      <c r="A67" s="14" t="s">
        <v>209</v>
      </c>
      <c r="B67" s="101" t="s">
        <v>212</v>
      </c>
      <c r="C67" s="159"/>
      <c r="D67" s="159"/>
      <c r="E67" s="96"/>
    </row>
    <row r="68" spans="1:5" s="167" customFormat="1" ht="12" customHeight="1" thickBot="1" x14ac:dyDescent="0.25">
      <c r="A68" s="223" t="s">
        <v>375</v>
      </c>
      <c r="B68" s="19" t="s">
        <v>213</v>
      </c>
      <c r="C68" s="161">
        <f>+C11+C18+C25+C32+C40+C52+C58+C63</f>
        <v>161466056</v>
      </c>
      <c r="D68" s="161">
        <f>+D11+D18+D25+D32+D40+D52+D58+D63</f>
        <v>186344021</v>
      </c>
      <c r="E68" s="197">
        <f>+E11+E18+E25+E32+E40+E52+E58+E63</f>
        <v>187552345</v>
      </c>
    </row>
    <row r="69" spans="1:5" s="167" customFormat="1" ht="12" customHeight="1" thickBot="1" x14ac:dyDescent="0.25">
      <c r="A69" s="209" t="s">
        <v>214</v>
      </c>
      <c r="B69" s="99" t="s">
        <v>215</v>
      </c>
      <c r="C69" s="155">
        <f>SUM(C70:C72)</f>
        <v>0</v>
      </c>
      <c r="D69" s="155">
        <f>SUM(D70:D72)</f>
        <v>0</v>
      </c>
      <c r="E69" s="92">
        <f>SUM(E70:E72)</f>
        <v>0</v>
      </c>
    </row>
    <row r="70" spans="1:5" s="167" customFormat="1" ht="12" customHeight="1" x14ac:dyDescent="0.2">
      <c r="A70" s="13" t="s">
        <v>243</v>
      </c>
      <c r="B70" s="168" t="s">
        <v>216</v>
      </c>
      <c r="C70" s="159"/>
      <c r="D70" s="159"/>
      <c r="E70" s="96"/>
    </row>
    <row r="71" spans="1:5" s="167" customFormat="1" ht="12" customHeight="1" x14ac:dyDescent="0.2">
      <c r="A71" s="12" t="s">
        <v>252</v>
      </c>
      <c r="B71" s="169" t="s">
        <v>217</v>
      </c>
      <c r="C71" s="159"/>
      <c r="D71" s="159"/>
      <c r="E71" s="96"/>
    </row>
    <row r="72" spans="1:5" s="167" customFormat="1" ht="12" customHeight="1" thickBot="1" x14ac:dyDescent="0.25">
      <c r="A72" s="14" t="s">
        <v>253</v>
      </c>
      <c r="B72" s="219" t="s">
        <v>360</v>
      </c>
      <c r="C72" s="159"/>
      <c r="D72" s="159"/>
      <c r="E72" s="96"/>
    </row>
    <row r="73" spans="1:5" s="167" customFormat="1" ht="12" customHeight="1" thickBot="1" x14ac:dyDescent="0.25">
      <c r="A73" s="209" t="s">
        <v>219</v>
      </c>
      <c r="B73" s="99" t="s">
        <v>220</v>
      </c>
      <c r="C73" s="155">
        <f>SUM(C74:C77)</f>
        <v>0</v>
      </c>
      <c r="D73" s="155">
        <f>SUM(D74:D77)</f>
        <v>0</v>
      </c>
      <c r="E73" s="92">
        <f>SUM(E74:E77)</f>
        <v>0</v>
      </c>
    </row>
    <row r="74" spans="1:5" s="167" customFormat="1" ht="12" customHeight="1" x14ac:dyDescent="0.2">
      <c r="A74" s="13" t="s">
        <v>100</v>
      </c>
      <c r="B74" s="350" t="s">
        <v>221</v>
      </c>
      <c r="C74" s="159"/>
      <c r="D74" s="159"/>
      <c r="E74" s="96"/>
    </row>
    <row r="75" spans="1:5" s="167" customFormat="1" ht="12" customHeight="1" x14ac:dyDescent="0.2">
      <c r="A75" s="12" t="s">
        <v>101</v>
      </c>
      <c r="B75" s="350" t="s">
        <v>493</v>
      </c>
      <c r="C75" s="159"/>
      <c r="D75" s="159"/>
      <c r="E75" s="96"/>
    </row>
    <row r="76" spans="1:5" s="167" customFormat="1" ht="12" customHeight="1" x14ac:dyDescent="0.2">
      <c r="A76" s="12" t="s">
        <v>244</v>
      </c>
      <c r="B76" s="350" t="s">
        <v>222</v>
      </c>
      <c r="C76" s="159"/>
      <c r="D76" s="159"/>
      <c r="E76" s="96"/>
    </row>
    <row r="77" spans="1:5" s="167" customFormat="1" ht="12" customHeight="1" thickBot="1" x14ac:dyDescent="0.25">
      <c r="A77" s="14" t="s">
        <v>245</v>
      </c>
      <c r="B77" s="351" t="s">
        <v>494</v>
      </c>
      <c r="C77" s="159"/>
      <c r="D77" s="159"/>
      <c r="E77" s="96"/>
    </row>
    <row r="78" spans="1:5" s="167" customFormat="1" ht="12" customHeight="1" thickBot="1" x14ac:dyDescent="0.25">
      <c r="A78" s="209" t="s">
        <v>223</v>
      </c>
      <c r="B78" s="99" t="s">
        <v>224</v>
      </c>
      <c r="C78" s="155">
        <f>SUM(C79:C80)</f>
        <v>70302024</v>
      </c>
      <c r="D78" s="155">
        <f>SUM(D79:D80)</f>
        <v>70914392</v>
      </c>
      <c r="E78" s="92">
        <f>SUM(E79:E80)</f>
        <v>70914392</v>
      </c>
    </row>
    <row r="79" spans="1:5" s="167" customFormat="1" ht="12" customHeight="1" x14ac:dyDescent="0.2">
      <c r="A79" s="13" t="s">
        <v>246</v>
      </c>
      <c r="B79" s="168" t="s">
        <v>225</v>
      </c>
      <c r="C79" s="159">
        <f>983396+69318628</f>
        <v>70302024</v>
      </c>
      <c r="D79" s="159">
        <f>983396+69930996</f>
        <v>70914392</v>
      </c>
      <c r="E79" s="96">
        <f>983396+69930996</f>
        <v>70914392</v>
      </c>
    </row>
    <row r="80" spans="1:5" s="167" customFormat="1" ht="12" customHeight="1" thickBot="1" x14ac:dyDescent="0.25">
      <c r="A80" s="14" t="s">
        <v>247</v>
      </c>
      <c r="B80" s="101" t="s">
        <v>226</v>
      </c>
      <c r="C80" s="159"/>
      <c r="D80" s="159"/>
      <c r="E80" s="96"/>
    </row>
    <row r="81" spans="1:5" s="167" customFormat="1" ht="12" customHeight="1" thickBot="1" x14ac:dyDescent="0.25">
      <c r="A81" s="209" t="s">
        <v>227</v>
      </c>
      <c r="B81" s="99" t="s">
        <v>228</v>
      </c>
      <c r="C81" s="155">
        <f>SUM(C82:C84)</f>
        <v>0</v>
      </c>
      <c r="D81" s="155">
        <f>SUM(D82:D84)</f>
        <v>0</v>
      </c>
      <c r="E81" s="92">
        <f>SUM(E82:E84)</f>
        <v>0</v>
      </c>
    </row>
    <row r="82" spans="1:5" s="167" customFormat="1" ht="12" customHeight="1" x14ac:dyDescent="0.2">
      <c r="A82" s="13" t="s">
        <v>248</v>
      </c>
      <c r="B82" s="168" t="s">
        <v>229</v>
      </c>
      <c r="C82" s="159"/>
      <c r="D82" s="159"/>
      <c r="E82" s="96"/>
    </row>
    <row r="83" spans="1:5" s="167" customFormat="1" ht="12" customHeight="1" x14ac:dyDescent="0.2">
      <c r="A83" s="12" t="s">
        <v>249</v>
      </c>
      <c r="B83" s="169" t="s">
        <v>230</v>
      </c>
      <c r="C83" s="159"/>
      <c r="D83" s="159"/>
      <c r="E83" s="96"/>
    </row>
    <row r="84" spans="1:5" s="167" customFormat="1" ht="12" customHeight="1" thickBot="1" x14ac:dyDescent="0.25">
      <c r="A84" s="14" t="s">
        <v>250</v>
      </c>
      <c r="B84" s="101" t="s">
        <v>495</v>
      </c>
      <c r="C84" s="159"/>
      <c r="D84" s="159"/>
      <c r="E84" s="96"/>
    </row>
    <row r="85" spans="1:5" s="167" customFormat="1" ht="12" customHeight="1" thickBot="1" x14ac:dyDescent="0.25">
      <c r="A85" s="209" t="s">
        <v>231</v>
      </c>
      <c r="B85" s="99" t="s">
        <v>251</v>
      </c>
      <c r="C85" s="155">
        <f>SUM(C86:C89)</f>
        <v>0</v>
      </c>
      <c r="D85" s="155">
        <f>SUM(D86:D89)</f>
        <v>0</v>
      </c>
      <c r="E85" s="92">
        <f>SUM(E86:E89)</f>
        <v>0</v>
      </c>
    </row>
    <row r="86" spans="1:5" s="167" customFormat="1" ht="12" customHeight="1" x14ac:dyDescent="0.2">
      <c r="A86" s="172" t="s">
        <v>232</v>
      </c>
      <c r="B86" s="168" t="s">
        <v>233</v>
      </c>
      <c r="C86" s="159"/>
      <c r="D86" s="159"/>
      <c r="E86" s="96"/>
    </row>
    <row r="87" spans="1:5" s="167" customFormat="1" ht="12" customHeight="1" x14ac:dyDescent="0.2">
      <c r="A87" s="173" t="s">
        <v>234</v>
      </c>
      <c r="B87" s="169" t="s">
        <v>235</v>
      </c>
      <c r="C87" s="159"/>
      <c r="D87" s="159"/>
      <c r="E87" s="96"/>
    </row>
    <row r="88" spans="1:5" s="167" customFormat="1" ht="12" customHeight="1" x14ac:dyDescent="0.2">
      <c r="A88" s="173" t="s">
        <v>236</v>
      </c>
      <c r="B88" s="169" t="s">
        <v>237</v>
      </c>
      <c r="C88" s="159"/>
      <c r="D88" s="159"/>
      <c r="E88" s="96"/>
    </row>
    <row r="89" spans="1:5" s="167" customFormat="1" ht="12" customHeight="1" thickBot="1" x14ac:dyDescent="0.25">
      <c r="A89" s="174" t="s">
        <v>238</v>
      </c>
      <c r="B89" s="101" t="s">
        <v>239</v>
      </c>
      <c r="C89" s="159"/>
      <c r="D89" s="159"/>
      <c r="E89" s="96"/>
    </row>
    <row r="90" spans="1:5" s="167" customFormat="1" ht="12" customHeight="1" thickBot="1" x14ac:dyDescent="0.25">
      <c r="A90" s="209" t="s">
        <v>240</v>
      </c>
      <c r="B90" s="99" t="s">
        <v>374</v>
      </c>
      <c r="C90" s="211"/>
      <c r="D90" s="211"/>
      <c r="E90" s="212"/>
    </row>
    <row r="91" spans="1:5" s="167" customFormat="1" ht="13.5" customHeight="1" thickBot="1" x14ac:dyDescent="0.25">
      <c r="A91" s="209" t="s">
        <v>242</v>
      </c>
      <c r="B91" s="99" t="s">
        <v>241</v>
      </c>
      <c r="C91" s="211"/>
      <c r="D91" s="211"/>
      <c r="E91" s="212"/>
    </row>
    <row r="92" spans="1:5" s="167" customFormat="1" ht="15.75" customHeight="1" thickBot="1" x14ac:dyDescent="0.25">
      <c r="A92" s="209" t="s">
        <v>254</v>
      </c>
      <c r="B92" s="175" t="s">
        <v>377</v>
      </c>
      <c r="C92" s="161">
        <f>+C69+C73+C78+C81+C85+C91+C90</f>
        <v>70302024</v>
      </c>
      <c r="D92" s="161">
        <f>+D69+D73+D78+D81+D85+D91+D90</f>
        <v>70914392</v>
      </c>
      <c r="E92" s="197">
        <f>+E69+E73+E78+E81+E85+E91+E90</f>
        <v>70914392</v>
      </c>
    </row>
    <row r="93" spans="1:5" s="167" customFormat="1" ht="25.5" customHeight="1" thickBot="1" x14ac:dyDescent="0.25">
      <c r="A93" s="210" t="s">
        <v>376</v>
      </c>
      <c r="B93" s="176" t="s">
        <v>378</v>
      </c>
      <c r="C93" s="161">
        <f>+C68+C92</f>
        <v>231768080</v>
      </c>
      <c r="D93" s="161">
        <f>+D68+D92</f>
        <v>257258413</v>
      </c>
      <c r="E93" s="197">
        <f>+E68+E92</f>
        <v>258466737</v>
      </c>
    </row>
    <row r="94" spans="1:5" s="167" customFormat="1" ht="15.2" customHeight="1" x14ac:dyDescent="0.2">
      <c r="A94" s="3"/>
      <c r="B94" s="4"/>
      <c r="C94" s="103"/>
    </row>
    <row r="95" spans="1:5" ht="16.5" customHeight="1" x14ac:dyDescent="0.25">
      <c r="A95" s="678" t="s">
        <v>34</v>
      </c>
      <c r="B95" s="678"/>
      <c r="C95" s="678"/>
      <c r="D95" s="678"/>
      <c r="E95" s="678"/>
    </row>
    <row r="96" spans="1:5" s="177" customFormat="1" ht="16.5" customHeight="1" thickBot="1" x14ac:dyDescent="0.3">
      <c r="A96" s="680" t="s">
        <v>103</v>
      </c>
      <c r="B96" s="680"/>
      <c r="C96" s="60"/>
      <c r="E96" s="60" t="str">
        <f>E7</f>
        <v xml:space="preserve"> Forintban!</v>
      </c>
    </row>
    <row r="97" spans="1:5" x14ac:dyDescent="0.25">
      <c r="A97" s="669" t="s">
        <v>52</v>
      </c>
      <c r="B97" s="671" t="s">
        <v>414</v>
      </c>
      <c r="C97" s="673" t="str">
        <f>+CONCATENATE(LEFT(Z_ÖSSZEFÜGGÉSEK!A6,4),". évi")</f>
        <v>2018. évi</v>
      </c>
      <c r="D97" s="674"/>
      <c r="E97" s="675"/>
    </row>
    <row r="98" spans="1:5" ht="24.75" thickBot="1" x14ac:dyDescent="0.3">
      <c r="A98" s="670"/>
      <c r="B98" s="672"/>
      <c r="C98" s="240" t="s">
        <v>412</v>
      </c>
      <c r="D98" s="239" t="s">
        <v>413</v>
      </c>
      <c r="E98" s="352" t="str">
        <f>CONCATENATE(E9)</f>
        <v>2018. XII. 31.
teljesítés</v>
      </c>
    </row>
    <row r="99" spans="1:5" s="166" customFormat="1" ht="12" customHeight="1" thickBot="1" x14ac:dyDescent="0.25">
      <c r="A99" s="25" t="s">
        <v>383</v>
      </c>
      <c r="B99" s="26" t="s">
        <v>384</v>
      </c>
      <c r="C99" s="26" t="s">
        <v>385</v>
      </c>
      <c r="D99" s="26" t="s">
        <v>387</v>
      </c>
      <c r="E99" s="251" t="s">
        <v>386</v>
      </c>
    </row>
    <row r="100" spans="1:5" ht="12" customHeight="1" thickBot="1" x14ac:dyDescent="0.3">
      <c r="A100" s="20" t="s">
        <v>6</v>
      </c>
      <c r="B100" s="24" t="s">
        <v>336</v>
      </c>
      <c r="C100" s="154">
        <f>C101+C102+C103+C104+C105+C118</f>
        <v>113707925</v>
      </c>
      <c r="D100" s="154">
        <f>D101+D102+D103+D104+D105+D118</f>
        <v>173251056</v>
      </c>
      <c r="E100" s="226">
        <f>E101+E102+E103+E104+E105+E118</f>
        <v>148149276</v>
      </c>
    </row>
    <row r="101" spans="1:5" ht="12" customHeight="1" x14ac:dyDescent="0.25">
      <c r="A101" s="15" t="s">
        <v>64</v>
      </c>
      <c r="B101" s="8" t="s">
        <v>35</v>
      </c>
      <c r="C101" s="233">
        <f>46925688-19562523</f>
        <v>27363165</v>
      </c>
      <c r="D101" s="233">
        <f>52947121+21122770</f>
        <v>74069891</v>
      </c>
      <c r="E101" s="227">
        <f>51709373+21026893</f>
        <v>72736266</v>
      </c>
    </row>
    <row r="102" spans="1:5" ht="12" customHeight="1" x14ac:dyDescent="0.25">
      <c r="A102" s="12" t="s">
        <v>65</v>
      </c>
      <c r="B102" s="6" t="s">
        <v>124</v>
      </c>
      <c r="C102" s="156">
        <f>9376489+3889979</f>
        <v>13266468</v>
      </c>
      <c r="D102" s="156">
        <f>10290263+3887979</f>
        <v>14178242</v>
      </c>
      <c r="E102" s="93">
        <f>10290263+3463589</f>
        <v>13753852</v>
      </c>
    </row>
    <row r="103" spans="1:5" ht="12" customHeight="1" x14ac:dyDescent="0.25">
      <c r="A103" s="12" t="s">
        <v>66</v>
      </c>
      <c r="B103" s="6" t="s">
        <v>92</v>
      </c>
      <c r="C103" s="158">
        <f>7935868+51784793</f>
        <v>59720661</v>
      </c>
      <c r="D103" s="158">
        <f>4821059+60706285</f>
        <v>65527344</v>
      </c>
      <c r="E103" s="95">
        <f>4821059+49697831</f>
        <v>54518890</v>
      </c>
    </row>
    <row r="104" spans="1:5" ht="12" customHeight="1" x14ac:dyDescent="0.25">
      <c r="A104" s="12" t="s">
        <v>67</v>
      </c>
      <c r="B104" s="9" t="s">
        <v>125</v>
      </c>
      <c r="C104" s="158">
        <v>2700000</v>
      </c>
      <c r="D104" s="158">
        <v>5091000</v>
      </c>
      <c r="E104" s="95">
        <v>2537250</v>
      </c>
    </row>
    <row r="105" spans="1:5" ht="12" customHeight="1" x14ac:dyDescent="0.25">
      <c r="A105" s="12" t="s">
        <v>76</v>
      </c>
      <c r="B105" s="17" t="s">
        <v>126</v>
      </c>
      <c r="C105" s="158">
        <v>10657631</v>
      </c>
      <c r="D105" s="158">
        <f>34378+14350201</f>
        <v>14384579</v>
      </c>
      <c r="E105" s="95">
        <f>34378+4568640</f>
        <v>4603018</v>
      </c>
    </row>
    <row r="106" spans="1:5" ht="12" customHeight="1" x14ac:dyDescent="0.25">
      <c r="A106" s="12" t="s">
        <v>68</v>
      </c>
      <c r="B106" s="6" t="s">
        <v>341</v>
      </c>
      <c r="C106" s="158"/>
      <c r="D106" s="158"/>
      <c r="E106" s="95"/>
    </row>
    <row r="107" spans="1:5" ht="12" customHeight="1" x14ac:dyDescent="0.25">
      <c r="A107" s="12" t="s">
        <v>69</v>
      </c>
      <c r="B107" s="64" t="s">
        <v>340</v>
      </c>
      <c r="C107" s="158"/>
      <c r="D107" s="158"/>
      <c r="E107" s="95"/>
    </row>
    <row r="108" spans="1:5" ht="12" customHeight="1" x14ac:dyDescent="0.25">
      <c r="A108" s="12" t="s">
        <v>77</v>
      </c>
      <c r="B108" s="64" t="s">
        <v>339</v>
      </c>
      <c r="C108" s="158"/>
      <c r="D108" s="158"/>
      <c r="E108" s="95"/>
    </row>
    <row r="109" spans="1:5" ht="12" customHeight="1" x14ac:dyDescent="0.25">
      <c r="A109" s="12" t="s">
        <v>78</v>
      </c>
      <c r="B109" s="62" t="s">
        <v>257</v>
      </c>
      <c r="C109" s="158"/>
      <c r="D109" s="158"/>
      <c r="E109" s="95"/>
    </row>
    <row r="110" spans="1:5" ht="12" customHeight="1" x14ac:dyDescent="0.25">
      <c r="A110" s="12" t="s">
        <v>79</v>
      </c>
      <c r="B110" s="63" t="s">
        <v>258</v>
      </c>
      <c r="C110" s="158"/>
      <c r="D110" s="158"/>
      <c r="E110" s="95"/>
    </row>
    <row r="111" spans="1:5" ht="12" customHeight="1" x14ac:dyDescent="0.25">
      <c r="A111" s="12" t="s">
        <v>80</v>
      </c>
      <c r="B111" s="63" t="s">
        <v>259</v>
      </c>
      <c r="C111" s="158"/>
      <c r="D111" s="158"/>
      <c r="E111" s="95"/>
    </row>
    <row r="112" spans="1:5" ht="12" customHeight="1" x14ac:dyDescent="0.25">
      <c r="A112" s="12" t="s">
        <v>82</v>
      </c>
      <c r="B112" s="62" t="s">
        <v>260</v>
      </c>
      <c r="C112" s="158"/>
      <c r="D112" s="158"/>
      <c r="E112" s="95"/>
    </row>
    <row r="113" spans="1:5" ht="12" customHeight="1" x14ac:dyDescent="0.25">
      <c r="A113" s="12" t="s">
        <v>127</v>
      </c>
      <c r="B113" s="62" t="s">
        <v>261</v>
      </c>
      <c r="C113" s="158"/>
      <c r="D113" s="158"/>
      <c r="E113" s="95"/>
    </row>
    <row r="114" spans="1:5" ht="12" customHeight="1" x14ac:dyDescent="0.25">
      <c r="A114" s="12" t="s">
        <v>255</v>
      </c>
      <c r="B114" s="63" t="s">
        <v>262</v>
      </c>
      <c r="C114" s="158"/>
      <c r="D114" s="158"/>
      <c r="E114" s="95"/>
    </row>
    <row r="115" spans="1:5" ht="12" customHeight="1" x14ac:dyDescent="0.25">
      <c r="A115" s="11" t="s">
        <v>256</v>
      </c>
      <c r="B115" s="64" t="s">
        <v>263</v>
      </c>
      <c r="C115" s="158"/>
      <c r="D115" s="158"/>
      <c r="E115" s="95"/>
    </row>
    <row r="116" spans="1:5" ht="12" customHeight="1" x14ac:dyDescent="0.25">
      <c r="A116" s="12" t="s">
        <v>337</v>
      </c>
      <c r="B116" s="64" t="s">
        <v>264</v>
      </c>
      <c r="C116" s="158"/>
      <c r="D116" s="158"/>
      <c r="E116" s="95"/>
    </row>
    <row r="117" spans="1:5" ht="12" customHeight="1" x14ac:dyDescent="0.25">
      <c r="A117" s="14" t="s">
        <v>338</v>
      </c>
      <c r="B117" s="64" t="s">
        <v>265</v>
      </c>
      <c r="C117" s="158"/>
      <c r="D117" s="158"/>
      <c r="E117" s="95"/>
    </row>
    <row r="118" spans="1:5" ht="12" customHeight="1" x14ac:dyDescent="0.25">
      <c r="A118" s="12" t="s">
        <v>342</v>
      </c>
      <c r="B118" s="9" t="s">
        <v>36</v>
      </c>
      <c r="C118" s="156"/>
      <c r="D118" s="156"/>
      <c r="E118" s="93"/>
    </row>
    <row r="119" spans="1:5" ht="12" customHeight="1" x14ac:dyDescent="0.25">
      <c r="A119" s="12" t="s">
        <v>343</v>
      </c>
      <c r="B119" s="6" t="s">
        <v>345</v>
      </c>
      <c r="C119" s="156"/>
      <c r="D119" s="156"/>
      <c r="E119" s="93"/>
    </row>
    <row r="120" spans="1:5" ht="12" customHeight="1" thickBot="1" x14ac:dyDescent="0.3">
      <c r="A120" s="16" t="s">
        <v>344</v>
      </c>
      <c r="B120" s="222" t="s">
        <v>346</v>
      </c>
      <c r="C120" s="234"/>
      <c r="D120" s="234"/>
      <c r="E120" s="228"/>
    </row>
    <row r="121" spans="1:5" ht="12" customHeight="1" thickBot="1" x14ac:dyDescent="0.3">
      <c r="A121" s="220" t="s">
        <v>7</v>
      </c>
      <c r="B121" s="221" t="s">
        <v>266</v>
      </c>
      <c r="C121" s="235">
        <f>+C122+C124+C126</f>
        <v>74732740</v>
      </c>
      <c r="D121" s="155">
        <f>+D122+D124+D126</f>
        <v>79802988</v>
      </c>
      <c r="E121" s="229">
        <f>+E122+E124+E126</f>
        <v>70730457</v>
      </c>
    </row>
    <row r="122" spans="1:5" ht="12" customHeight="1" x14ac:dyDescent="0.25">
      <c r="A122" s="13" t="s">
        <v>70</v>
      </c>
      <c r="B122" s="6" t="s">
        <v>141</v>
      </c>
      <c r="C122" s="157">
        <v>66713097</v>
      </c>
      <c r="D122" s="244">
        <f>327900+11759782</f>
        <v>12087682</v>
      </c>
      <c r="E122" s="94">
        <f>327900+9576213</f>
        <v>9904113</v>
      </c>
    </row>
    <row r="123" spans="1:5" ht="12" customHeight="1" x14ac:dyDescent="0.25">
      <c r="A123" s="13" t="s">
        <v>71</v>
      </c>
      <c r="B123" s="10" t="s">
        <v>270</v>
      </c>
      <c r="C123" s="157"/>
      <c r="D123" s="244"/>
      <c r="E123" s="94"/>
    </row>
    <row r="124" spans="1:5" ht="12" customHeight="1" x14ac:dyDescent="0.25">
      <c r="A124" s="13" t="s">
        <v>72</v>
      </c>
      <c r="B124" s="10" t="s">
        <v>128</v>
      </c>
      <c r="C124" s="156">
        <v>7019643</v>
      </c>
      <c r="D124" s="245">
        <v>66715306</v>
      </c>
      <c r="E124" s="93">
        <v>60826344</v>
      </c>
    </row>
    <row r="125" spans="1:5" ht="12" customHeight="1" x14ac:dyDescent="0.25">
      <c r="A125" s="13" t="s">
        <v>73</v>
      </c>
      <c r="B125" s="10" t="s">
        <v>271</v>
      </c>
      <c r="C125" s="156"/>
      <c r="D125" s="245"/>
      <c r="E125" s="93"/>
    </row>
    <row r="126" spans="1:5" ht="12" customHeight="1" x14ac:dyDescent="0.25">
      <c r="A126" s="13" t="s">
        <v>74</v>
      </c>
      <c r="B126" s="101" t="s">
        <v>143</v>
      </c>
      <c r="C126" s="156">
        <v>1000000</v>
      </c>
      <c r="D126" s="245">
        <v>1000000</v>
      </c>
      <c r="E126" s="93">
        <v>0</v>
      </c>
    </row>
    <row r="127" spans="1:5" ht="12" customHeight="1" x14ac:dyDescent="0.25">
      <c r="A127" s="13" t="s">
        <v>81</v>
      </c>
      <c r="B127" s="100" t="s">
        <v>330</v>
      </c>
      <c r="C127" s="156"/>
      <c r="D127" s="245"/>
      <c r="E127" s="93"/>
    </row>
    <row r="128" spans="1:5" ht="12" customHeight="1" x14ac:dyDescent="0.25">
      <c r="A128" s="13" t="s">
        <v>83</v>
      </c>
      <c r="B128" s="164" t="s">
        <v>276</v>
      </c>
      <c r="C128" s="156"/>
      <c r="D128" s="245"/>
      <c r="E128" s="93"/>
    </row>
    <row r="129" spans="1:5" x14ac:dyDescent="0.25">
      <c r="A129" s="13" t="s">
        <v>129</v>
      </c>
      <c r="B129" s="63" t="s">
        <v>259</v>
      </c>
      <c r="C129" s="156"/>
      <c r="D129" s="245"/>
      <c r="E129" s="93"/>
    </row>
    <row r="130" spans="1:5" ht="12" customHeight="1" x14ac:dyDescent="0.25">
      <c r="A130" s="13" t="s">
        <v>130</v>
      </c>
      <c r="B130" s="63" t="s">
        <v>275</v>
      </c>
      <c r="C130" s="156"/>
      <c r="D130" s="245"/>
      <c r="E130" s="93"/>
    </row>
    <row r="131" spans="1:5" ht="12" customHeight="1" x14ac:dyDescent="0.25">
      <c r="A131" s="13" t="s">
        <v>131</v>
      </c>
      <c r="B131" s="63" t="s">
        <v>274</v>
      </c>
      <c r="C131" s="156"/>
      <c r="D131" s="245"/>
      <c r="E131" s="93"/>
    </row>
    <row r="132" spans="1:5" ht="12" customHeight="1" x14ac:dyDescent="0.25">
      <c r="A132" s="13" t="s">
        <v>267</v>
      </c>
      <c r="B132" s="63" t="s">
        <v>262</v>
      </c>
      <c r="C132" s="156"/>
      <c r="D132" s="245"/>
      <c r="E132" s="93"/>
    </row>
    <row r="133" spans="1:5" ht="12" customHeight="1" x14ac:dyDescent="0.25">
      <c r="A133" s="13" t="s">
        <v>268</v>
      </c>
      <c r="B133" s="63" t="s">
        <v>273</v>
      </c>
      <c r="C133" s="156"/>
      <c r="D133" s="245"/>
      <c r="E133" s="93"/>
    </row>
    <row r="134" spans="1:5" ht="16.5" thickBot="1" x14ac:dyDescent="0.3">
      <c r="A134" s="11" t="s">
        <v>269</v>
      </c>
      <c r="B134" s="63" t="s">
        <v>272</v>
      </c>
      <c r="C134" s="158"/>
      <c r="D134" s="246"/>
      <c r="E134" s="95"/>
    </row>
    <row r="135" spans="1:5" ht="12" customHeight="1" thickBot="1" x14ac:dyDescent="0.3">
      <c r="A135" s="18" t="s">
        <v>8</v>
      </c>
      <c r="B135" s="58" t="s">
        <v>347</v>
      </c>
      <c r="C135" s="155">
        <f>+C100+C121</f>
        <v>188440665</v>
      </c>
      <c r="D135" s="243">
        <f>+D100+D121</f>
        <v>253054044</v>
      </c>
      <c r="E135" s="92">
        <f>+E100+E121</f>
        <v>218879733</v>
      </c>
    </row>
    <row r="136" spans="1:5" ht="12" customHeight="1" thickBot="1" x14ac:dyDescent="0.3">
      <c r="A136" s="18" t="s">
        <v>9</v>
      </c>
      <c r="B136" s="58" t="s">
        <v>415</v>
      </c>
      <c r="C136" s="155">
        <f>+C137+C138+C139</f>
        <v>0</v>
      </c>
      <c r="D136" s="243">
        <f>+D137+D138+D139</f>
        <v>0</v>
      </c>
      <c r="E136" s="92">
        <f>+E137+E138+E139</f>
        <v>0</v>
      </c>
    </row>
    <row r="137" spans="1:5" ht="12" customHeight="1" x14ac:dyDescent="0.25">
      <c r="A137" s="13" t="s">
        <v>175</v>
      </c>
      <c r="B137" s="10" t="s">
        <v>355</v>
      </c>
      <c r="C137" s="156"/>
      <c r="D137" s="245"/>
      <c r="E137" s="93"/>
    </row>
    <row r="138" spans="1:5" ht="12" customHeight="1" x14ac:dyDescent="0.25">
      <c r="A138" s="13" t="s">
        <v>176</v>
      </c>
      <c r="B138" s="10" t="s">
        <v>356</v>
      </c>
      <c r="C138" s="156"/>
      <c r="D138" s="245"/>
      <c r="E138" s="93"/>
    </row>
    <row r="139" spans="1:5" ht="12" customHeight="1" thickBot="1" x14ac:dyDescent="0.3">
      <c r="A139" s="11" t="s">
        <v>177</v>
      </c>
      <c r="B139" s="10" t="s">
        <v>357</v>
      </c>
      <c r="C139" s="156"/>
      <c r="D139" s="245"/>
      <c r="E139" s="93"/>
    </row>
    <row r="140" spans="1:5" ht="12" customHeight="1" thickBot="1" x14ac:dyDescent="0.3">
      <c r="A140" s="18" t="s">
        <v>10</v>
      </c>
      <c r="B140" s="58" t="s">
        <v>349</v>
      </c>
      <c r="C140" s="155">
        <f>SUM(C141:C146)</f>
        <v>0</v>
      </c>
      <c r="D140" s="243">
        <f>SUM(D141:D146)</f>
        <v>0</v>
      </c>
      <c r="E140" s="92">
        <f>SUM(E141:E146)</f>
        <v>0</v>
      </c>
    </row>
    <row r="141" spans="1:5" ht="12" customHeight="1" x14ac:dyDescent="0.25">
      <c r="A141" s="13" t="s">
        <v>57</v>
      </c>
      <c r="B141" s="7" t="s">
        <v>358</v>
      </c>
      <c r="C141" s="156"/>
      <c r="D141" s="245"/>
      <c r="E141" s="93"/>
    </row>
    <row r="142" spans="1:5" ht="12" customHeight="1" x14ac:dyDescent="0.25">
      <c r="A142" s="13" t="s">
        <v>58</v>
      </c>
      <c r="B142" s="7" t="s">
        <v>350</v>
      </c>
      <c r="C142" s="156"/>
      <c r="D142" s="245"/>
      <c r="E142" s="93"/>
    </row>
    <row r="143" spans="1:5" ht="12" customHeight="1" x14ac:dyDescent="0.25">
      <c r="A143" s="13" t="s">
        <v>59</v>
      </c>
      <c r="B143" s="7" t="s">
        <v>351</v>
      </c>
      <c r="C143" s="156"/>
      <c r="D143" s="245"/>
      <c r="E143" s="93"/>
    </row>
    <row r="144" spans="1:5" ht="12" customHeight="1" x14ac:dyDescent="0.25">
      <c r="A144" s="13" t="s">
        <v>116</v>
      </c>
      <c r="B144" s="7" t="s">
        <v>352</v>
      </c>
      <c r="C144" s="156"/>
      <c r="D144" s="245"/>
      <c r="E144" s="93"/>
    </row>
    <row r="145" spans="1:9" ht="12" customHeight="1" x14ac:dyDescent="0.25">
      <c r="A145" s="13" t="s">
        <v>117</v>
      </c>
      <c r="B145" s="7" t="s">
        <v>353</v>
      </c>
      <c r="C145" s="156"/>
      <c r="D145" s="245"/>
      <c r="E145" s="93"/>
    </row>
    <row r="146" spans="1:9" ht="12" customHeight="1" thickBot="1" x14ac:dyDescent="0.3">
      <c r="A146" s="16" t="s">
        <v>118</v>
      </c>
      <c r="B146" s="362" t="s">
        <v>354</v>
      </c>
      <c r="C146" s="234"/>
      <c r="D146" s="307"/>
      <c r="E146" s="228"/>
    </row>
    <row r="147" spans="1:9" ht="12" customHeight="1" thickBot="1" x14ac:dyDescent="0.3">
      <c r="A147" s="18" t="s">
        <v>11</v>
      </c>
      <c r="B147" s="58" t="s">
        <v>362</v>
      </c>
      <c r="C147" s="161">
        <f>+C148+C149+C150+C151</f>
        <v>4455369</v>
      </c>
      <c r="D147" s="247">
        <f>+D148+D149+D150+D151</f>
        <v>4455369</v>
      </c>
      <c r="E147" s="197">
        <f>+E148+E149+E150+E151</f>
        <v>4455369</v>
      </c>
    </row>
    <row r="148" spans="1:9" ht="12" customHeight="1" x14ac:dyDescent="0.25">
      <c r="A148" s="13" t="s">
        <v>60</v>
      </c>
      <c r="B148" s="7" t="s">
        <v>277</v>
      </c>
      <c r="C148" s="156"/>
      <c r="D148" s="245"/>
      <c r="E148" s="93"/>
    </row>
    <row r="149" spans="1:9" ht="12" customHeight="1" x14ac:dyDescent="0.25">
      <c r="A149" s="13" t="s">
        <v>61</v>
      </c>
      <c r="B149" s="7" t="s">
        <v>278</v>
      </c>
      <c r="C149" s="156">
        <v>4455369</v>
      </c>
      <c r="D149" s="245">
        <v>4455369</v>
      </c>
      <c r="E149" s="93">
        <v>4455369</v>
      </c>
    </row>
    <row r="150" spans="1:9" ht="12" customHeight="1" x14ac:dyDescent="0.25">
      <c r="A150" s="13" t="s">
        <v>194</v>
      </c>
      <c r="B150" s="7" t="s">
        <v>363</v>
      </c>
      <c r="C150" s="156"/>
      <c r="D150" s="245"/>
      <c r="E150" s="93"/>
    </row>
    <row r="151" spans="1:9" ht="12" customHeight="1" thickBot="1" x14ac:dyDescent="0.3">
      <c r="A151" s="11" t="s">
        <v>195</v>
      </c>
      <c r="B151" s="5" t="s">
        <v>294</v>
      </c>
      <c r="C151" s="156"/>
      <c r="D151" s="245"/>
      <c r="E151" s="93"/>
    </row>
    <row r="152" spans="1:9" ht="12" customHeight="1" thickBot="1" x14ac:dyDescent="0.3">
      <c r="A152" s="18" t="s">
        <v>12</v>
      </c>
      <c r="B152" s="58" t="s">
        <v>364</v>
      </c>
      <c r="C152" s="236">
        <f>SUM(C153:C157)</f>
        <v>0</v>
      </c>
      <c r="D152" s="248">
        <f>SUM(D153:D157)</f>
        <v>0</v>
      </c>
      <c r="E152" s="230">
        <f>SUM(E153:E157)</f>
        <v>0</v>
      </c>
    </row>
    <row r="153" spans="1:9" ht="12" customHeight="1" x14ac:dyDescent="0.25">
      <c r="A153" s="13" t="s">
        <v>62</v>
      </c>
      <c r="B153" s="7" t="s">
        <v>359</v>
      </c>
      <c r="C153" s="156"/>
      <c r="D153" s="245"/>
      <c r="E153" s="93"/>
    </row>
    <row r="154" spans="1:9" ht="12" customHeight="1" x14ac:dyDescent="0.25">
      <c r="A154" s="13" t="s">
        <v>63</v>
      </c>
      <c r="B154" s="7" t="s">
        <v>366</v>
      </c>
      <c r="C154" s="156"/>
      <c r="D154" s="245"/>
      <c r="E154" s="93"/>
    </row>
    <row r="155" spans="1:9" ht="12" customHeight="1" x14ac:dyDescent="0.25">
      <c r="A155" s="13" t="s">
        <v>206</v>
      </c>
      <c r="B155" s="7" t="s">
        <v>361</v>
      </c>
      <c r="C155" s="156"/>
      <c r="D155" s="245"/>
      <c r="E155" s="93"/>
    </row>
    <row r="156" spans="1:9" ht="12" customHeight="1" x14ac:dyDescent="0.25">
      <c r="A156" s="13" t="s">
        <v>207</v>
      </c>
      <c r="B156" s="7" t="s">
        <v>367</v>
      </c>
      <c r="C156" s="156"/>
      <c r="D156" s="245"/>
      <c r="E156" s="93"/>
    </row>
    <row r="157" spans="1:9" ht="12" customHeight="1" thickBot="1" x14ac:dyDescent="0.3">
      <c r="A157" s="13" t="s">
        <v>365</v>
      </c>
      <c r="B157" s="7" t="s">
        <v>368</v>
      </c>
      <c r="C157" s="156"/>
      <c r="D157" s="245"/>
      <c r="E157" s="93"/>
    </row>
    <row r="158" spans="1:9" ht="12" customHeight="1" thickBot="1" x14ac:dyDescent="0.3">
      <c r="A158" s="18" t="s">
        <v>13</v>
      </c>
      <c r="B158" s="58" t="s">
        <v>369</v>
      </c>
      <c r="C158" s="237"/>
      <c r="D158" s="249"/>
      <c r="E158" s="231"/>
    </row>
    <row r="159" spans="1:9" ht="12" customHeight="1" thickBot="1" x14ac:dyDescent="0.3">
      <c r="A159" s="18" t="s">
        <v>14</v>
      </c>
      <c r="B159" s="58" t="s">
        <v>370</v>
      </c>
      <c r="C159" s="237"/>
      <c r="D159" s="249"/>
      <c r="E159" s="231"/>
    </row>
    <row r="160" spans="1:9" ht="15.2" customHeight="1" thickBot="1" x14ac:dyDescent="0.3">
      <c r="A160" s="18" t="s">
        <v>15</v>
      </c>
      <c r="B160" s="58" t="s">
        <v>372</v>
      </c>
      <c r="C160" s="238">
        <f>+C136+C140+C147+C152+C158+C159</f>
        <v>4455369</v>
      </c>
      <c r="D160" s="250">
        <f>+D136+D140+D147+D152+D158+D159</f>
        <v>4455369</v>
      </c>
      <c r="E160" s="232">
        <f>+E136+E140+E147+E152+E158+E159</f>
        <v>4455369</v>
      </c>
      <c r="F160" s="178"/>
      <c r="G160" s="179"/>
      <c r="H160" s="179"/>
      <c r="I160" s="179"/>
    </row>
    <row r="161" spans="1:5" s="167" customFormat="1" ht="12.95" customHeight="1" thickBot="1" x14ac:dyDescent="0.25">
      <c r="A161" s="102" t="s">
        <v>16</v>
      </c>
      <c r="B161" s="142" t="s">
        <v>371</v>
      </c>
      <c r="C161" s="238">
        <f>+C135+C160</f>
        <v>192896034</v>
      </c>
      <c r="D161" s="250">
        <f>+D135+D160</f>
        <v>257509413</v>
      </c>
      <c r="E161" s="232">
        <f>+E135+E160</f>
        <v>223335102</v>
      </c>
    </row>
    <row r="162" spans="1:5" x14ac:dyDescent="0.25">
      <c r="C162" s="609"/>
      <c r="D162" s="609"/>
    </row>
    <row r="163" spans="1:5" x14ac:dyDescent="0.25">
      <c r="A163" s="676" t="s">
        <v>279</v>
      </c>
      <c r="B163" s="676"/>
      <c r="C163" s="676"/>
      <c r="D163" s="676"/>
      <c r="E163" s="676"/>
    </row>
    <row r="164" spans="1:5" ht="15.2" customHeight="1" thickBot="1" x14ac:dyDescent="0.3">
      <c r="A164" s="668" t="s">
        <v>104</v>
      </c>
      <c r="B164" s="668"/>
      <c r="C164" s="104"/>
      <c r="E164" s="104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373</v>
      </c>
      <c r="C165" s="242">
        <f>+C68-C135</f>
        <v>-26974609</v>
      </c>
      <c r="D165" s="155">
        <f>+D68-D135</f>
        <v>-66710023</v>
      </c>
      <c r="E165" s="92">
        <f>+E68-E135</f>
        <v>-31327388</v>
      </c>
    </row>
    <row r="166" spans="1:5" ht="32.450000000000003" customHeight="1" thickBot="1" x14ac:dyDescent="0.3">
      <c r="A166" s="18" t="s">
        <v>7</v>
      </c>
      <c r="B166" s="23" t="s">
        <v>379</v>
      </c>
      <c r="C166" s="155">
        <f>+C92-C160</f>
        <v>65846655</v>
      </c>
      <c r="D166" s="155">
        <f>+D92-D160</f>
        <v>66459023</v>
      </c>
      <c r="E166" s="92">
        <f>+E92-E160</f>
        <v>66459023</v>
      </c>
    </row>
  </sheetData>
  <mergeCells count="16"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  <mergeCell ref="C97:E97"/>
    <mergeCell ref="A163:E163"/>
    <mergeCell ref="A6:E6"/>
    <mergeCell ref="A95:E95"/>
    <mergeCell ref="A7:B7"/>
    <mergeCell ref="A96:B96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fitToHeight="2" orientation="portrait" r:id="rId1"/>
  <headerFooter alignWithMargins="0"/>
  <rowBreaks count="2" manualBreakCount="2">
    <brk id="68" max="4" man="1"/>
    <brk id="14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zoomScale="120" zoomScaleNormal="120" zoomScaleSheetLayoutView="100" workbookViewId="0">
      <selection activeCell="C36" sqref="C36"/>
    </sheetView>
  </sheetViews>
  <sheetFormatPr defaultRowHeight="15.75" x14ac:dyDescent="0.25"/>
  <cols>
    <col min="1" max="1" width="9.5" style="143" customWidth="1"/>
    <col min="2" max="2" width="65.83203125" style="143" customWidth="1"/>
    <col min="3" max="3" width="17.83203125" style="144" customWidth="1"/>
    <col min="4" max="5" width="17.83203125" style="165" customWidth="1"/>
    <col min="6" max="16384" width="9.33203125" style="165"/>
  </cols>
  <sheetData>
    <row r="1" spans="1:5" x14ac:dyDescent="0.25">
      <c r="A1" s="363"/>
      <c r="B1" s="663" t="str">
        <f>CONCATENATE("1.2. melléklet ",Z_ALAPADATOK!A7," ",Z_ALAPADATOK!B7," ",Z_ALAPADATOK!C7," ",Z_ALAPADATOK!D7," ",Z_ALAPADATOK!E7," ",Z_ALAPADATOK!F7," ",Z_ALAPADATOK!G7," ",Z_ALAPADATOK!H7)</f>
        <v>1.2. melléklet a 6 / 2019. ( IV.25 ) önkormányzati rendelethez</v>
      </c>
      <c r="C1" s="664"/>
      <c r="D1" s="664"/>
      <c r="E1" s="664"/>
    </row>
    <row r="2" spans="1:5" x14ac:dyDescent="0.25">
      <c r="A2" s="665" t="str">
        <f>CONCATENATE(Z_ALAPADATOK!A3)</f>
        <v>Kajárpéc Közésgi Önkormányzat</v>
      </c>
      <c r="B2" s="666"/>
      <c r="C2" s="666"/>
      <c r="D2" s="666"/>
      <c r="E2" s="666"/>
    </row>
    <row r="3" spans="1:5" x14ac:dyDescent="0.25">
      <c r="A3" s="665" t="s">
        <v>803</v>
      </c>
      <c r="B3" s="665"/>
      <c r="C3" s="667"/>
      <c r="D3" s="665"/>
      <c r="E3" s="665"/>
    </row>
    <row r="4" spans="1:5" ht="17.25" customHeight="1" x14ac:dyDescent="0.25">
      <c r="A4" s="665" t="s">
        <v>804</v>
      </c>
      <c r="B4" s="665"/>
      <c r="C4" s="667"/>
      <c r="D4" s="665"/>
      <c r="E4" s="665"/>
    </row>
    <row r="5" spans="1:5" x14ac:dyDescent="0.25">
      <c r="A5" s="363"/>
      <c r="B5" s="363"/>
      <c r="C5" s="364"/>
      <c r="D5" s="365"/>
      <c r="E5" s="365"/>
    </row>
    <row r="6" spans="1:5" ht="15.95" customHeight="1" x14ac:dyDescent="0.25">
      <c r="A6" s="677" t="s">
        <v>3</v>
      </c>
      <c r="B6" s="677"/>
      <c r="C6" s="677"/>
      <c r="D6" s="677"/>
      <c r="E6" s="677"/>
    </row>
    <row r="7" spans="1:5" ht="15.95" customHeight="1" thickBot="1" x14ac:dyDescent="0.3">
      <c r="A7" s="679" t="s">
        <v>102</v>
      </c>
      <c r="B7" s="679"/>
      <c r="C7" s="366"/>
      <c r="D7" s="365"/>
      <c r="E7" s="366" t="str">
        <f>CONCATENATE('Z_1.1.sz.mell.'!E7)</f>
        <v xml:space="preserve"> Forintban!</v>
      </c>
    </row>
    <row r="8" spans="1:5" x14ac:dyDescent="0.25">
      <c r="A8" s="669" t="s">
        <v>52</v>
      </c>
      <c r="B8" s="671" t="s">
        <v>5</v>
      </c>
      <c r="C8" s="673" t="str">
        <f>+CONCATENATE(LEFT(Z_ÖSSZEFÜGGÉSEK!A6,4),". évi")</f>
        <v>2018. évi</v>
      </c>
      <c r="D8" s="674"/>
      <c r="E8" s="675"/>
    </row>
    <row r="9" spans="1:5" ht="24.75" thickBot="1" x14ac:dyDescent="0.3">
      <c r="A9" s="670"/>
      <c r="B9" s="672"/>
      <c r="C9" s="240" t="s">
        <v>412</v>
      </c>
      <c r="D9" s="239" t="s">
        <v>413</v>
      </c>
      <c r="E9" s="352" t="str">
        <f>CONCATENATE('Z_1.1.sz.mell.'!E9)</f>
        <v>2018. XII. 31.
teljesítés</v>
      </c>
    </row>
    <row r="10" spans="1:5" s="166" customFormat="1" ht="12" customHeight="1" thickBot="1" x14ac:dyDescent="0.25">
      <c r="A10" s="162" t="s">
        <v>383</v>
      </c>
      <c r="B10" s="163" t="s">
        <v>384</v>
      </c>
      <c r="C10" s="163" t="s">
        <v>385</v>
      </c>
      <c r="D10" s="163" t="s">
        <v>387</v>
      </c>
      <c r="E10" s="241" t="s">
        <v>386</v>
      </c>
    </row>
    <row r="11" spans="1:5" s="167" customFormat="1" ht="12" customHeight="1" thickBot="1" x14ac:dyDescent="0.25">
      <c r="A11" s="18" t="s">
        <v>6</v>
      </c>
      <c r="B11" s="19" t="s">
        <v>160</v>
      </c>
      <c r="C11" s="155">
        <f>+C12+C13+C14+C15+C16+C17</f>
        <v>111876645</v>
      </c>
      <c r="D11" s="155">
        <f>+D12+D13+D14+D15+D16+D17</f>
        <v>114402555</v>
      </c>
      <c r="E11" s="92">
        <f>+E12+E13+E14+E15+E16+E17</f>
        <v>114402555</v>
      </c>
    </row>
    <row r="12" spans="1:5" s="167" customFormat="1" ht="12" customHeight="1" x14ac:dyDescent="0.2">
      <c r="A12" s="13" t="s">
        <v>64</v>
      </c>
      <c r="B12" s="168" t="s">
        <v>161</v>
      </c>
      <c r="C12" s="157">
        <v>97189685</v>
      </c>
      <c r="D12" s="157">
        <v>97231897</v>
      </c>
      <c r="E12" s="94">
        <v>97231897</v>
      </c>
    </row>
    <row r="13" spans="1:5" s="167" customFormat="1" ht="12" customHeight="1" x14ac:dyDescent="0.2">
      <c r="A13" s="12" t="s">
        <v>65</v>
      </c>
      <c r="B13" s="169" t="s">
        <v>162</v>
      </c>
      <c r="C13" s="156"/>
      <c r="D13" s="156"/>
      <c r="E13" s="93"/>
    </row>
    <row r="14" spans="1:5" s="167" customFormat="1" ht="12" customHeight="1" x14ac:dyDescent="0.2">
      <c r="A14" s="12" t="s">
        <v>66</v>
      </c>
      <c r="B14" s="169" t="s">
        <v>163</v>
      </c>
      <c r="C14" s="156">
        <v>12394560</v>
      </c>
      <c r="D14" s="156">
        <v>12169060</v>
      </c>
      <c r="E14" s="93">
        <v>12169060</v>
      </c>
    </row>
    <row r="15" spans="1:5" s="167" customFormat="1" ht="12" customHeight="1" x14ac:dyDescent="0.2">
      <c r="A15" s="12" t="s">
        <v>67</v>
      </c>
      <c r="B15" s="169" t="s">
        <v>164</v>
      </c>
      <c r="C15" s="156">
        <v>1800000</v>
      </c>
      <c r="D15" s="156">
        <v>1800000</v>
      </c>
      <c r="E15" s="93">
        <v>1800000</v>
      </c>
    </row>
    <row r="16" spans="1:5" s="167" customFormat="1" ht="12" customHeight="1" x14ac:dyDescent="0.2">
      <c r="A16" s="12" t="s">
        <v>99</v>
      </c>
      <c r="B16" s="100" t="s">
        <v>331</v>
      </c>
      <c r="C16" s="156">
        <v>492400</v>
      </c>
      <c r="D16" s="156">
        <v>3201598</v>
      </c>
      <c r="E16" s="93">
        <v>3201598</v>
      </c>
    </row>
    <row r="17" spans="1:5" s="167" customFormat="1" ht="12" customHeight="1" thickBot="1" x14ac:dyDescent="0.25">
      <c r="A17" s="14" t="s">
        <v>68</v>
      </c>
      <c r="B17" s="101" t="s">
        <v>332</v>
      </c>
      <c r="C17" s="156"/>
      <c r="D17" s="156"/>
      <c r="E17" s="93"/>
    </row>
    <row r="18" spans="1:5" s="167" customFormat="1" ht="12" customHeight="1" thickBot="1" x14ac:dyDescent="0.25">
      <c r="A18" s="18" t="s">
        <v>7</v>
      </c>
      <c r="B18" s="99" t="s">
        <v>165</v>
      </c>
      <c r="C18" s="155">
        <f>+C19+C20+C21+C22+C23</f>
        <v>12514251</v>
      </c>
      <c r="D18" s="155">
        <f>+D19+D20+D21+D22+D23</f>
        <v>25764285</v>
      </c>
      <c r="E18" s="92">
        <f>+E19+E20+E21+E22+E23</f>
        <v>22924473</v>
      </c>
    </row>
    <row r="19" spans="1:5" s="167" customFormat="1" ht="12" customHeight="1" x14ac:dyDescent="0.2">
      <c r="A19" s="13" t="s">
        <v>70</v>
      </c>
      <c r="B19" s="168" t="s">
        <v>166</v>
      </c>
      <c r="C19" s="157"/>
      <c r="D19" s="157"/>
      <c r="E19" s="94"/>
    </row>
    <row r="20" spans="1:5" s="167" customFormat="1" ht="12" customHeight="1" x14ac:dyDescent="0.2">
      <c r="A20" s="12" t="s">
        <v>71</v>
      </c>
      <c r="B20" s="169" t="s">
        <v>167</v>
      </c>
      <c r="C20" s="156"/>
      <c r="D20" s="156"/>
      <c r="E20" s="93"/>
    </row>
    <row r="21" spans="1:5" s="167" customFormat="1" ht="12" customHeight="1" x14ac:dyDescent="0.2">
      <c r="A21" s="12" t="s">
        <v>72</v>
      </c>
      <c r="B21" s="169" t="s">
        <v>324</v>
      </c>
      <c r="C21" s="156"/>
      <c r="D21" s="156"/>
      <c r="E21" s="93"/>
    </row>
    <row r="22" spans="1:5" s="167" customFormat="1" ht="12" customHeight="1" x14ac:dyDescent="0.2">
      <c r="A22" s="12" t="s">
        <v>73</v>
      </c>
      <c r="B22" s="169" t="s">
        <v>325</v>
      </c>
      <c r="C22" s="156"/>
      <c r="D22" s="156"/>
      <c r="E22" s="93"/>
    </row>
    <row r="23" spans="1:5" s="167" customFormat="1" ht="12" customHeight="1" x14ac:dyDescent="0.2">
      <c r="A23" s="12" t="s">
        <v>74</v>
      </c>
      <c r="B23" s="169" t="s">
        <v>168</v>
      </c>
      <c r="C23" s="156">
        <v>12514251</v>
      </c>
      <c r="D23" s="156">
        <v>25764285</v>
      </c>
      <c r="E23" s="93">
        <v>22924473</v>
      </c>
    </row>
    <row r="24" spans="1:5" s="167" customFormat="1" ht="12" customHeight="1" thickBot="1" x14ac:dyDescent="0.25">
      <c r="A24" s="14" t="s">
        <v>81</v>
      </c>
      <c r="B24" s="101" t="s">
        <v>169</v>
      </c>
      <c r="C24" s="158"/>
      <c r="D24" s="158"/>
      <c r="E24" s="95"/>
    </row>
    <row r="25" spans="1:5" s="167" customFormat="1" ht="12" customHeight="1" thickBot="1" x14ac:dyDescent="0.25">
      <c r="A25" s="18" t="s">
        <v>8</v>
      </c>
      <c r="B25" s="19" t="s">
        <v>170</v>
      </c>
      <c r="C25" s="155">
        <f>+C26+C27+C28+C29+C30</f>
        <v>9041731</v>
      </c>
      <c r="D25" s="155">
        <f>+D26+D27+D28+D29+D30</f>
        <v>11497731</v>
      </c>
      <c r="E25" s="92">
        <f>+E26+E27+E28+E29+E30</f>
        <v>11497731</v>
      </c>
    </row>
    <row r="26" spans="1:5" s="167" customFormat="1" ht="12" customHeight="1" x14ac:dyDescent="0.2">
      <c r="A26" s="13" t="s">
        <v>53</v>
      </c>
      <c r="B26" s="168" t="s">
        <v>171</v>
      </c>
      <c r="C26" s="157">
        <v>9041731</v>
      </c>
      <c r="D26" s="157">
        <v>11497731</v>
      </c>
      <c r="E26" s="94">
        <v>11497731</v>
      </c>
    </row>
    <row r="27" spans="1:5" s="167" customFormat="1" ht="12" customHeight="1" x14ac:dyDescent="0.2">
      <c r="A27" s="12" t="s">
        <v>54</v>
      </c>
      <c r="B27" s="169" t="s">
        <v>172</v>
      </c>
      <c r="C27" s="156"/>
      <c r="D27" s="156"/>
      <c r="E27" s="93"/>
    </row>
    <row r="28" spans="1:5" s="167" customFormat="1" ht="12" customHeight="1" x14ac:dyDescent="0.2">
      <c r="A28" s="12" t="s">
        <v>55</v>
      </c>
      <c r="B28" s="169" t="s">
        <v>326</v>
      </c>
      <c r="C28" s="156"/>
      <c r="D28" s="156"/>
      <c r="E28" s="93"/>
    </row>
    <row r="29" spans="1:5" s="167" customFormat="1" ht="12" customHeight="1" x14ac:dyDescent="0.2">
      <c r="A29" s="12" t="s">
        <v>56</v>
      </c>
      <c r="B29" s="169" t="s">
        <v>327</v>
      </c>
      <c r="C29" s="156"/>
      <c r="D29" s="156"/>
      <c r="E29" s="93"/>
    </row>
    <row r="30" spans="1:5" s="167" customFormat="1" ht="12" customHeight="1" x14ac:dyDescent="0.2">
      <c r="A30" s="12" t="s">
        <v>112</v>
      </c>
      <c r="B30" s="169" t="s">
        <v>173</v>
      </c>
      <c r="C30" s="156"/>
      <c r="D30" s="156"/>
      <c r="E30" s="93"/>
    </row>
    <row r="31" spans="1:5" s="167" customFormat="1" ht="12" customHeight="1" thickBot="1" x14ac:dyDescent="0.25">
      <c r="A31" s="14" t="s">
        <v>113</v>
      </c>
      <c r="B31" s="170" t="s">
        <v>174</v>
      </c>
      <c r="C31" s="158"/>
      <c r="D31" s="158"/>
      <c r="E31" s="95"/>
    </row>
    <row r="32" spans="1:5" s="167" customFormat="1" ht="12" customHeight="1" thickBot="1" x14ac:dyDescent="0.25">
      <c r="A32" s="18" t="s">
        <v>114</v>
      </c>
      <c r="B32" s="19" t="s">
        <v>478</v>
      </c>
      <c r="C32" s="161">
        <f>SUM(C33:C39)</f>
        <v>20700000</v>
      </c>
      <c r="D32" s="161">
        <f>SUM(D33:D39)</f>
        <v>20700000</v>
      </c>
      <c r="E32" s="197">
        <f>SUM(E33:E39)</f>
        <v>23262724</v>
      </c>
    </row>
    <row r="33" spans="1:5" s="167" customFormat="1" ht="12" customHeight="1" x14ac:dyDescent="0.2">
      <c r="A33" s="13" t="s">
        <v>175</v>
      </c>
      <c r="B33" s="168" t="s">
        <v>479</v>
      </c>
      <c r="C33" s="157"/>
      <c r="D33" s="157"/>
      <c r="E33" s="94"/>
    </row>
    <row r="34" spans="1:5" s="167" customFormat="1" ht="12" customHeight="1" x14ac:dyDescent="0.2">
      <c r="A34" s="12" t="s">
        <v>176</v>
      </c>
      <c r="B34" s="169" t="s">
        <v>481</v>
      </c>
      <c r="C34" s="156">
        <v>13500000</v>
      </c>
      <c r="D34" s="156">
        <v>13500000</v>
      </c>
      <c r="E34" s="93">
        <v>16402953</v>
      </c>
    </row>
    <row r="35" spans="1:5" s="167" customFormat="1" ht="12" customHeight="1" x14ac:dyDescent="0.2">
      <c r="A35" s="12" t="s">
        <v>177</v>
      </c>
      <c r="B35" s="169" t="s">
        <v>480</v>
      </c>
      <c r="C35" s="156"/>
      <c r="D35" s="156"/>
      <c r="E35" s="93"/>
    </row>
    <row r="36" spans="1:5" s="167" customFormat="1" ht="12" customHeight="1" x14ac:dyDescent="0.2">
      <c r="A36" s="12" t="s">
        <v>178</v>
      </c>
      <c r="B36" s="169" t="s">
        <v>482</v>
      </c>
      <c r="C36" s="156"/>
      <c r="D36" s="156"/>
      <c r="E36" s="93"/>
    </row>
    <row r="37" spans="1:5" s="167" customFormat="1" ht="12" customHeight="1" x14ac:dyDescent="0.2">
      <c r="A37" s="12" t="s">
        <v>483</v>
      </c>
      <c r="B37" s="169" t="s">
        <v>179</v>
      </c>
      <c r="C37" s="156">
        <v>6400000</v>
      </c>
      <c r="D37" s="156">
        <v>6400000</v>
      </c>
      <c r="E37" s="93">
        <v>6815965</v>
      </c>
    </row>
    <row r="38" spans="1:5" s="167" customFormat="1" ht="12" customHeight="1" x14ac:dyDescent="0.2">
      <c r="A38" s="12" t="s">
        <v>484</v>
      </c>
      <c r="B38" s="169" t="s">
        <v>821</v>
      </c>
      <c r="C38" s="156">
        <v>300000</v>
      </c>
      <c r="D38" s="156">
        <v>300000</v>
      </c>
      <c r="E38" s="93"/>
    </row>
    <row r="39" spans="1:5" s="167" customFormat="1" ht="12" customHeight="1" thickBot="1" x14ac:dyDescent="0.25">
      <c r="A39" s="14" t="s">
        <v>485</v>
      </c>
      <c r="B39" s="312" t="s">
        <v>180</v>
      </c>
      <c r="C39" s="158">
        <v>500000</v>
      </c>
      <c r="D39" s="158">
        <v>500000</v>
      </c>
      <c r="E39" s="95">
        <v>43806</v>
      </c>
    </row>
    <row r="40" spans="1:5" s="167" customFormat="1" ht="12" customHeight="1" thickBot="1" x14ac:dyDescent="0.25">
      <c r="A40" s="18" t="s">
        <v>10</v>
      </c>
      <c r="B40" s="19" t="s">
        <v>333</v>
      </c>
      <c r="C40" s="155">
        <f>SUM(C41:C51)</f>
        <v>7333429</v>
      </c>
      <c r="D40" s="155">
        <f>SUM(D41:D51)</f>
        <v>9933429</v>
      </c>
      <c r="E40" s="92">
        <f>SUM(E41:E51)</f>
        <v>10791305</v>
      </c>
    </row>
    <row r="41" spans="1:5" s="167" customFormat="1" ht="12" customHeight="1" x14ac:dyDescent="0.2">
      <c r="A41" s="13" t="s">
        <v>57</v>
      </c>
      <c r="B41" s="168" t="s">
        <v>183</v>
      </c>
      <c r="C41" s="157">
        <v>0</v>
      </c>
      <c r="D41" s="157">
        <v>0</v>
      </c>
      <c r="E41" s="94">
        <v>9913</v>
      </c>
    </row>
    <row r="42" spans="1:5" s="167" customFormat="1" ht="12" customHeight="1" x14ac:dyDescent="0.2">
      <c r="A42" s="12" t="s">
        <v>58</v>
      </c>
      <c r="B42" s="169" t="s">
        <v>184</v>
      </c>
      <c r="C42" s="156">
        <f>600000+1855700</f>
        <v>2455700</v>
      </c>
      <c r="D42" s="156">
        <f>600000+4211037</f>
        <v>4811037</v>
      </c>
      <c r="E42" s="93">
        <f>556000+5576208</f>
        <v>6132208</v>
      </c>
    </row>
    <row r="43" spans="1:5" s="167" customFormat="1" ht="12" customHeight="1" x14ac:dyDescent="0.2">
      <c r="A43" s="12" t="s">
        <v>59</v>
      </c>
      <c r="B43" s="169" t="s">
        <v>185</v>
      </c>
      <c r="C43" s="156">
        <v>405337</v>
      </c>
      <c r="D43" s="156">
        <v>400000</v>
      </c>
      <c r="E43" s="93">
        <v>371019</v>
      </c>
    </row>
    <row r="44" spans="1:5" s="167" customFormat="1" ht="12" customHeight="1" x14ac:dyDescent="0.2">
      <c r="A44" s="12" t="s">
        <v>116</v>
      </c>
      <c r="B44" s="169" t="s">
        <v>186</v>
      </c>
      <c r="C44" s="156">
        <v>95680</v>
      </c>
      <c r="D44" s="156">
        <v>95680</v>
      </c>
      <c r="E44" s="93">
        <v>47840</v>
      </c>
    </row>
    <row r="45" spans="1:5" s="167" customFormat="1" ht="12" customHeight="1" x14ac:dyDescent="0.2">
      <c r="A45" s="12" t="s">
        <v>117</v>
      </c>
      <c r="B45" s="169" t="s">
        <v>187</v>
      </c>
      <c r="C45" s="156">
        <v>3253100</v>
      </c>
      <c r="D45" s="156">
        <v>3253100</v>
      </c>
      <c r="E45" s="93">
        <v>2907425</v>
      </c>
    </row>
    <row r="46" spans="1:5" s="167" customFormat="1" ht="12" customHeight="1" x14ac:dyDescent="0.2">
      <c r="A46" s="12" t="s">
        <v>118</v>
      </c>
      <c r="B46" s="169" t="s">
        <v>188</v>
      </c>
      <c r="C46" s="156">
        <v>1013612</v>
      </c>
      <c r="D46" s="156">
        <v>1263612</v>
      </c>
      <c r="E46" s="93">
        <v>1003965</v>
      </c>
    </row>
    <row r="47" spans="1:5" s="167" customFormat="1" ht="12" customHeight="1" x14ac:dyDescent="0.2">
      <c r="A47" s="12" t="s">
        <v>119</v>
      </c>
      <c r="B47" s="169" t="s">
        <v>189</v>
      </c>
      <c r="C47" s="156"/>
      <c r="D47" s="156"/>
      <c r="E47" s="93"/>
    </row>
    <row r="48" spans="1:5" s="167" customFormat="1" ht="12" customHeight="1" x14ac:dyDescent="0.2">
      <c r="A48" s="12" t="s">
        <v>120</v>
      </c>
      <c r="B48" s="169" t="s">
        <v>486</v>
      </c>
      <c r="C48" s="156">
        <f>10000+100000</f>
        <v>110000</v>
      </c>
      <c r="D48" s="156">
        <f>100000+10000</f>
        <v>110000</v>
      </c>
      <c r="E48" s="93">
        <f>7921+107129</f>
        <v>115050</v>
      </c>
    </row>
    <row r="49" spans="1:5" s="167" customFormat="1" ht="12" customHeight="1" x14ac:dyDescent="0.2">
      <c r="A49" s="12" t="s">
        <v>181</v>
      </c>
      <c r="B49" s="169" t="s">
        <v>191</v>
      </c>
      <c r="C49" s="159">
        <v>0</v>
      </c>
      <c r="D49" s="159"/>
      <c r="E49" s="96">
        <v>95511</v>
      </c>
    </row>
    <row r="50" spans="1:5" s="167" customFormat="1" ht="12" customHeight="1" x14ac:dyDescent="0.2">
      <c r="A50" s="14" t="s">
        <v>182</v>
      </c>
      <c r="B50" s="170" t="s">
        <v>335</v>
      </c>
      <c r="C50" s="160"/>
      <c r="D50" s="160"/>
      <c r="E50" s="97">
        <v>58370</v>
      </c>
    </row>
    <row r="51" spans="1:5" s="167" customFormat="1" ht="12" customHeight="1" thickBot="1" x14ac:dyDescent="0.25">
      <c r="A51" s="14" t="s">
        <v>334</v>
      </c>
      <c r="B51" s="101" t="s">
        <v>192</v>
      </c>
      <c r="C51" s="160"/>
      <c r="D51" s="160"/>
      <c r="E51" s="97">
        <v>50004</v>
      </c>
    </row>
    <row r="52" spans="1:5" s="167" customFormat="1" ht="12" customHeight="1" thickBot="1" x14ac:dyDescent="0.25">
      <c r="A52" s="18" t="s">
        <v>11</v>
      </c>
      <c r="B52" s="19" t="s">
        <v>193</v>
      </c>
      <c r="C52" s="155">
        <f>SUM(C53:C57)</f>
        <v>0</v>
      </c>
      <c r="D52" s="155">
        <f>SUM(D53:D57)</f>
        <v>0</v>
      </c>
      <c r="E52" s="92">
        <f>SUM(E53:E57)</f>
        <v>0</v>
      </c>
    </row>
    <row r="53" spans="1:5" s="167" customFormat="1" ht="12" customHeight="1" x14ac:dyDescent="0.2">
      <c r="A53" s="13" t="s">
        <v>60</v>
      </c>
      <c r="B53" s="168" t="s">
        <v>197</v>
      </c>
      <c r="C53" s="208"/>
      <c r="D53" s="208"/>
      <c r="E53" s="98"/>
    </row>
    <row r="54" spans="1:5" s="167" customFormat="1" ht="12" customHeight="1" x14ac:dyDescent="0.2">
      <c r="A54" s="12" t="s">
        <v>61</v>
      </c>
      <c r="B54" s="169" t="s">
        <v>198</v>
      </c>
      <c r="C54" s="159"/>
      <c r="D54" s="159"/>
      <c r="E54" s="96"/>
    </row>
    <row r="55" spans="1:5" s="167" customFormat="1" ht="12" customHeight="1" x14ac:dyDescent="0.2">
      <c r="A55" s="12" t="s">
        <v>194</v>
      </c>
      <c r="B55" s="169" t="s">
        <v>199</v>
      </c>
      <c r="C55" s="159"/>
      <c r="D55" s="159"/>
      <c r="E55" s="96"/>
    </row>
    <row r="56" spans="1:5" s="167" customFormat="1" ht="12" customHeight="1" x14ac:dyDescent="0.2">
      <c r="A56" s="12" t="s">
        <v>195</v>
      </c>
      <c r="B56" s="169" t="s">
        <v>200</v>
      </c>
      <c r="C56" s="159"/>
      <c r="D56" s="159"/>
      <c r="E56" s="96"/>
    </row>
    <row r="57" spans="1:5" s="167" customFormat="1" ht="12" customHeight="1" thickBot="1" x14ac:dyDescent="0.25">
      <c r="A57" s="14" t="s">
        <v>196</v>
      </c>
      <c r="B57" s="101" t="s">
        <v>201</v>
      </c>
      <c r="C57" s="160"/>
      <c r="D57" s="160"/>
      <c r="E57" s="97"/>
    </row>
    <row r="58" spans="1:5" s="167" customFormat="1" ht="12" customHeight="1" thickBot="1" x14ac:dyDescent="0.25">
      <c r="A58" s="18" t="s">
        <v>121</v>
      </c>
      <c r="B58" s="19" t="s">
        <v>202</v>
      </c>
      <c r="C58" s="155">
        <f>SUM(C59:C61)</f>
        <v>0</v>
      </c>
      <c r="D58" s="155">
        <f>SUM(D59:D61)</f>
        <v>4046021</v>
      </c>
      <c r="E58" s="92">
        <f>SUM(E59:E61)</f>
        <v>4673557</v>
      </c>
    </row>
    <row r="59" spans="1:5" s="167" customFormat="1" ht="12" customHeight="1" x14ac:dyDescent="0.2">
      <c r="A59" s="13" t="s">
        <v>62</v>
      </c>
      <c r="B59" s="168" t="s">
        <v>203</v>
      </c>
      <c r="C59" s="157"/>
      <c r="D59" s="157"/>
      <c r="E59" s="94"/>
    </row>
    <row r="60" spans="1:5" s="167" customFormat="1" ht="12" customHeight="1" x14ac:dyDescent="0.2">
      <c r="A60" s="12" t="s">
        <v>63</v>
      </c>
      <c r="B60" s="169" t="s">
        <v>328</v>
      </c>
      <c r="C60" s="156"/>
      <c r="D60" s="156"/>
      <c r="E60" s="93"/>
    </row>
    <row r="61" spans="1:5" s="167" customFormat="1" ht="12" customHeight="1" x14ac:dyDescent="0.2">
      <c r="A61" s="12" t="s">
        <v>206</v>
      </c>
      <c r="B61" s="169" t="s">
        <v>204</v>
      </c>
      <c r="C61" s="156">
        <v>0</v>
      </c>
      <c r="D61" s="156">
        <v>4046021</v>
      </c>
      <c r="E61" s="93">
        <v>4673557</v>
      </c>
    </row>
    <row r="62" spans="1:5" s="167" customFormat="1" ht="12" customHeight="1" thickBot="1" x14ac:dyDescent="0.25">
      <c r="A62" s="14" t="s">
        <v>207</v>
      </c>
      <c r="B62" s="101" t="s">
        <v>205</v>
      </c>
      <c r="C62" s="158"/>
      <c r="D62" s="158"/>
      <c r="E62" s="95"/>
    </row>
    <row r="63" spans="1:5" s="167" customFormat="1" ht="12" customHeight="1" thickBot="1" x14ac:dyDescent="0.25">
      <c r="A63" s="18" t="s">
        <v>13</v>
      </c>
      <c r="B63" s="99" t="s">
        <v>208</v>
      </c>
      <c r="C63" s="155">
        <f>SUM(C64:C66)</f>
        <v>0</v>
      </c>
      <c r="D63" s="155">
        <f>SUM(D64:D66)</f>
        <v>0</v>
      </c>
      <c r="E63" s="92">
        <f>SUM(E64:E66)</f>
        <v>0</v>
      </c>
    </row>
    <row r="64" spans="1:5" s="167" customFormat="1" ht="12" customHeight="1" x14ac:dyDescent="0.2">
      <c r="A64" s="13" t="s">
        <v>122</v>
      </c>
      <c r="B64" s="168" t="s">
        <v>210</v>
      </c>
      <c r="C64" s="159"/>
      <c r="D64" s="159"/>
      <c r="E64" s="96"/>
    </row>
    <row r="65" spans="1:5" s="167" customFormat="1" ht="12" customHeight="1" x14ac:dyDescent="0.2">
      <c r="A65" s="12" t="s">
        <v>123</v>
      </c>
      <c r="B65" s="169" t="s">
        <v>329</v>
      </c>
      <c r="C65" s="159"/>
      <c r="D65" s="159"/>
      <c r="E65" s="96"/>
    </row>
    <row r="66" spans="1:5" s="167" customFormat="1" ht="12" customHeight="1" x14ac:dyDescent="0.2">
      <c r="A66" s="12" t="s">
        <v>142</v>
      </c>
      <c r="B66" s="169" t="s">
        <v>211</v>
      </c>
      <c r="C66" s="159"/>
      <c r="D66" s="159"/>
      <c r="E66" s="96"/>
    </row>
    <row r="67" spans="1:5" s="167" customFormat="1" ht="12" customHeight="1" thickBot="1" x14ac:dyDescent="0.25">
      <c r="A67" s="14" t="s">
        <v>209</v>
      </c>
      <c r="B67" s="101" t="s">
        <v>212</v>
      </c>
      <c r="C67" s="159"/>
      <c r="D67" s="159"/>
      <c r="E67" s="96"/>
    </row>
    <row r="68" spans="1:5" s="167" customFormat="1" ht="12" customHeight="1" thickBot="1" x14ac:dyDescent="0.25">
      <c r="A68" s="223" t="s">
        <v>375</v>
      </c>
      <c r="B68" s="19" t="s">
        <v>213</v>
      </c>
      <c r="C68" s="161">
        <f>+C11+C18+C25+C32+C40+C52+C58+C63</f>
        <v>161466056</v>
      </c>
      <c r="D68" s="161">
        <f>+D11+D18+D25+D32+D40+D52+D58+D63</f>
        <v>186344021</v>
      </c>
      <c r="E68" s="197">
        <f>+E11+E18+E25+E32+E40+E52+E58+E63</f>
        <v>187552345</v>
      </c>
    </row>
    <row r="69" spans="1:5" s="167" customFormat="1" ht="12" customHeight="1" thickBot="1" x14ac:dyDescent="0.25">
      <c r="A69" s="209" t="s">
        <v>214</v>
      </c>
      <c r="B69" s="99" t="s">
        <v>215</v>
      </c>
      <c r="C69" s="155">
        <f>SUM(C70:C72)</f>
        <v>0</v>
      </c>
      <c r="D69" s="155">
        <f>SUM(D70:D72)</f>
        <v>0</v>
      </c>
      <c r="E69" s="92">
        <f>SUM(E70:E72)</f>
        <v>0</v>
      </c>
    </row>
    <row r="70" spans="1:5" s="167" customFormat="1" ht="12" customHeight="1" x14ac:dyDescent="0.2">
      <c r="A70" s="13" t="s">
        <v>243</v>
      </c>
      <c r="B70" s="168" t="s">
        <v>216</v>
      </c>
      <c r="C70" s="159"/>
      <c r="D70" s="159"/>
      <c r="E70" s="96"/>
    </row>
    <row r="71" spans="1:5" s="167" customFormat="1" ht="12" customHeight="1" x14ac:dyDescent="0.2">
      <c r="A71" s="12" t="s">
        <v>252</v>
      </c>
      <c r="B71" s="169" t="s">
        <v>217</v>
      </c>
      <c r="C71" s="159"/>
      <c r="D71" s="159"/>
      <c r="E71" s="96"/>
    </row>
    <row r="72" spans="1:5" s="167" customFormat="1" ht="12" customHeight="1" thickBot="1" x14ac:dyDescent="0.25">
      <c r="A72" s="14" t="s">
        <v>253</v>
      </c>
      <c r="B72" s="219" t="s">
        <v>360</v>
      </c>
      <c r="C72" s="159"/>
      <c r="D72" s="159"/>
      <c r="E72" s="96"/>
    </row>
    <row r="73" spans="1:5" s="167" customFormat="1" ht="12" customHeight="1" thickBot="1" x14ac:dyDescent="0.25">
      <c r="A73" s="209" t="s">
        <v>219</v>
      </c>
      <c r="B73" s="99" t="s">
        <v>220</v>
      </c>
      <c r="C73" s="155">
        <f>SUM(C74:C77)</f>
        <v>0</v>
      </c>
      <c r="D73" s="155">
        <f>SUM(D74:D77)</f>
        <v>0</v>
      </c>
      <c r="E73" s="92">
        <f>SUM(E74:E77)</f>
        <v>0</v>
      </c>
    </row>
    <row r="74" spans="1:5" s="167" customFormat="1" ht="12" customHeight="1" x14ac:dyDescent="0.2">
      <c r="A74" s="13" t="s">
        <v>100</v>
      </c>
      <c r="B74" s="350" t="s">
        <v>221</v>
      </c>
      <c r="C74" s="159"/>
      <c r="D74" s="159"/>
      <c r="E74" s="96"/>
    </row>
    <row r="75" spans="1:5" s="167" customFormat="1" ht="12" customHeight="1" x14ac:dyDescent="0.2">
      <c r="A75" s="12" t="s">
        <v>101</v>
      </c>
      <c r="B75" s="350" t="s">
        <v>493</v>
      </c>
      <c r="C75" s="159"/>
      <c r="D75" s="159"/>
      <c r="E75" s="96"/>
    </row>
    <row r="76" spans="1:5" s="167" customFormat="1" ht="12" customHeight="1" x14ac:dyDescent="0.2">
      <c r="A76" s="12" t="s">
        <v>244</v>
      </c>
      <c r="B76" s="350" t="s">
        <v>222</v>
      </c>
      <c r="C76" s="159"/>
      <c r="D76" s="159"/>
      <c r="E76" s="96"/>
    </row>
    <row r="77" spans="1:5" s="167" customFormat="1" ht="12" customHeight="1" thickBot="1" x14ac:dyDescent="0.25">
      <c r="A77" s="14" t="s">
        <v>245</v>
      </c>
      <c r="B77" s="351" t="s">
        <v>494</v>
      </c>
      <c r="C77" s="159"/>
      <c r="D77" s="159"/>
      <c r="E77" s="96"/>
    </row>
    <row r="78" spans="1:5" s="167" customFormat="1" ht="12" customHeight="1" thickBot="1" x14ac:dyDescent="0.25">
      <c r="A78" s="209" t="s">
        <v>223</v>
      </c>
      <c r="B78" s="99" t="s">
        <v>224</v>
      </c>
      <c r="C78" s="155">
        <f>SUM(C79:C80)</f>
        <v>983396</v>
      </c>
      <c r="D78" s="155">
        <f>SUM(D79:D80)</f>
        <v>983396</v>
      </c>
      <c r="E78" s="92">
        <f>SUM(E79:E80)</f>
        <v>983396</v>
      </c>
    </row>
    <row r="79" spans="1:5" s="167" customFormat="1" ht="12" customHeight="1" x14ac:dyDescent="0.2">
      <c r="A79" s="13" t="s">
        <v>246</v>
      </c>
      <c r="B79" s="168" t="s">
        <v>225</v>
      </c>
      <c r="C79" s="159">
        <v>983396</v>
      </c>
      <c r="D79" s="159">
        <v>983396</v>
      </c>
      <c r="E79" s="96">
        <v>983396</v>
      </c>
    </row>
    <row r="80" spans="1:5" s="167" customFormat="1" ht="12" customHeight="1" thickBot="1" x14ac:dyDescent="0.25">
      <c r="A80" s="14" t="s">
        <v>247</v>
      </c>
      <c r="B80" s="101" t="s">
        <v>226</v>
      </c>
      <c r="C80" s="159"/>
      <c r="D80" s="159"/>
      <c r="E80" s="96"/>
    </row>
    <row r="81" spans="1:5" s="167" customFormat="1" ht="12" customHeight="1" thickBot="1" x14ac:dyDescent="0.25">
      <c r="A81" s="209" t="s">
        <v>227</v>
      </c>
      <c r="B81" s="99" t="s">
        <v>228</v>
      </c>
      <c r="C81" s="155">
        <f>SUM(C82:C84)</f>
        <v>0</v>
      </c>
      <c r="D81" s="155">
        <f>SUM(D82:D84)</f>
        <v>0</v>
      </c>
      <c r="E81" s="92">
        <f>SUM(E82:E84)</f>
        <v>0</v>
      </c>
    </row>
    <row r="82" spans="1:5" s="167" customFormat="1" ht="12" customHeight="1" x14ac:dyDescent="0.2">
      <c r="A82" s="13" t="s">
        <v>248</v>
      </c>
      <c r="B82" s="168" t="s">
        <v>229</v>
      </c>
      <c r="C82" s="159"/>
      <c r="D82" s="159"/>
      <c r="E82" s="96"/>
    </row>
    <row r="83" spans="1:5" s="167" customFormat="1" ht="12" customHeight="1" x14ac:dyDescent="0.2">
      <c r="A83" s="12" t="s">
        <v>249</v>
      </c>
      <c r="B83" s="169" t="s">
        <v>230</v>
      </c>
      <c r="C83" s="159"/>
      <c r="D83" s="159"/>
      <c r="E83" s="96"/>
    </row>
    <row r="84" spans="1:5" s="167" customFormat="1" ht="12" customHeight="1" thickBot="1" x14ac:dyDescent="0.25">
      <c r="A84" s="14" t="s">
        <v>250</v>
      </c>
      <c r="B84" s="101" t="s">
        <v>495</v>
      </c>
      <c r="C84" s="159"/>
      <c r="D84" s="159"/>
      <c r="E84" s="96"/>
    </row>
    <row r="85" spans="1:5" s="167" customFormat="1" ht="12" customHeight="1" thickBot="1" x14ac:dyDescent="0.25">
      <c r="A85" s="209" t="s">
        <v>231</v>
      </c>
      <c r="B85" s="99" t="s">
        <v>251</v>
      </c>
      <c r="C85" s="155">
        <f>SUM(C86:C89)</f>
        <v>0</v>
      </c>
      <c r="D85" s="155">
        <f>SUM(D86:D89)</f>
        <v>0</v>
      </c>
      <c r="E85" s="92">
        <f>SUM(E86:E89)</f>
        <v>0</v>
      </c>
    </row>
    <row r="86" spans="1:5" s="167" customFormat="1" ht="12" customHeight="1" x14ac:dyDescent="0.2">
      <c r="A86" s="172" t="s">
        <v>232</v>
      </c>
      <c r="B86" s="168" t="s">
        <v>233</v>
      </c>
      <c r="C86" s="159"/>
      <c r="D86" s="159"/>
      <c r="E86" s="96"/>
    </row>
    <row r="87" spans="1:5" s="167" customFormat="1" ht="12" customHeight="1" x14ac:dyDescent="0.2">
      <c r="A87" s="173" t="s">
        <v>234</v>
      </c>
      <c r="B87" s="169" t="s">
        <v>235</v>
      </c>
      <c r="C87" s="159"/>
      <c r="D87" s="159"/>
      <c r="E87" s="96"/>
    </row>
    <row r="88" spans="1:5" s="167" customFormat="1" ht="12" customHeight="1" x14ac:dyDescent="0.2">
      <c r="A88" s="173" t="s">
        <v>236</v>
      </c>
      <c r="B88" s="169" t="s">
        <v>237</v>
      </c>
      <c r="C88" s="159"/>
      <c r="D88" s="159"/>
      <c r="E88" s="96"/>
    </row>
    <row r="89" spans="1:5" s="167" customFormat="1" ht="12" customHeight="1" thickBot="1" x14ac:dyDescent="0.25">
      <c r="A89" s="174" t="s">
        <v>238</v>
      </c>
      <c r="B89" s="101" t="s">
        <v>239</v>
      </c>
      <c r="C89" s="159"/>
      <c r="D89" s="159"/>
      <c r="E89" s="96"/>
    </row>
    <row r="90" spans="1:5" s="167" customFormat="1" ht="12" customHeight="1" thickBot="1" x14ac:dyDescent="0.25">
      <c r="A90" s="209" t="s">
        <v>240</v>
      </c>
      <c r="B90" s="99" t="s">
        <v>374</v>
      </c>
      <c r="C90" s="211"/>
      <c r="D90" s="211"/>
      <c r="E90" s="212"/>
    </row>
    <row r="91" spans="1:5" s="167" customFormat="1" ht="13.5" customHeight="1" thickBot="1" x14ac:dyDescent="0.25">
      <c r="A91" s="209" t="s">
        <v>242</v>
      </c>
      <c r="B91" s="99" t="s">
        <v>241</v>
      </c>
      <c r="C91" s="211"/>
      <c r="D91" s="211"/>
      <c r="E91" s="212"/>
    </row>
    <row r="92" spans="1:5" s="167" customFormat="1" ht="15.75" customHeight="1" thickBot="1" x14ac:dyDescent="0.25">
      <c r="A92" s="209" t="s">
        <v>254</v>
      </c>
      <c r="B92" s="175" t="s">
        <v>377</v>
      </c>
      <c r="C92" s="161">
        <f>+C69+C73+C78+C81+C85+C91+C90</f>
        <v>983396</v>
      </c>
      <c r="D92" s="161">
        <f>+D69+D73+D78+D81+D85+D91+D90</f>
        <v>983396</v>
      </c>
      <c r="E92" s="197">
        <f>+E69+E73+E78+E81+E85+E91+E90</f>
        <v>983396</v>
      </c>
    </row>
    <row r="93" spans="1:5" s="167" customFormat="1" ht="25.5" customHeight="1" thickBot="1" x14ac:dyDescent="0.25">
      <c r="A93" s="210" t="s">
        <v>376</v>
      </c>
      <c r="B93" s="176" t="s">
        <v>378</v>
      </c>
      <c r="C93" s="161">
        <f>+C68+C92</f>
        <v>162449452</v>
      </c>
      <c r="D93" s="161">
        <f>+D68+D92</f>
        <v>187327417</v>
      </c>
      <c r="E93" s="197">
        <f>+E68+E92</f>
        <v>188535741</v>
      </c>
    </row>
    <row r="94" spans="1:5" s="167" customFormat="1" ht="15.2" customHeight="1" x14ac:dyDescent="0.2">
      <c r="A94" s="3"/>
      <c r="B94" s="4"/>
      <c r="C94" s="103"/>
    </row>
    <row r="95" spans="1:5" ht="16.5" customHeight="1" x14ac:dyDescent="0.25">
      <c r="A95" s="678" t="s">
        <v>34</v>
      </c>
      <c r="B95" s="678"/>
      <c r="C95" s="678"/>
      <c r="D95" s="678"/>
      <c r="E95" s="678"/>
    </row>
    <row r="96" spans="1:5" s="177" customFormat="1" ht="16.5" customHeight="1" thickBot="1" x14ac:dyDescent="0.3">
      <c r="A96" s="680" t="s">
        <v>103</v>
      </c>
      <c r="B96" s="680"/>
      <c r="C96" s="60"/>
      <c r="E96" s="60" t="str">
        <f>E7</f>
        <v xml:space="preserve"> Forintban!</v>
      </c>
    </row>
    <row r="97" spans="1:5" x14ac:dyDescent="0.25">
      <c r="A97" s="669" t="s">
        <v>52</v>
      </c>
      <c r="B97" s="671" t="s">
        <v>414</v>
      </c>
      <c r="C97" s="673" t="str">
        <f>+CONCATENATE(LEFT(Z_ÖSSZEFÜGGÉSEK!A6,4),". évi")</f>
        <v>2018. évi</v>
      </c>
      <c r="D97" s="674"/>
      <c r="E97" s="675"/>
    </row>
    <row r="98" spans="1:5" ht="24.75" thickBot="1" x14ac:dyDescent="0.3">
      <c r="A98" s="670"/>
      <c r="B98" s="672"/>
      <c r="C98" s="240" t="s">
        <v>412</v>
      </c>
      <c r="D98" s="239" t="s">
        <v>413</v>
      </c>
      <c r="E98" s="352" t="str">
        <f>CONCATENATE(E9)</f>
        <v>2018. XII. 31.
teljesítés</v>
      </c>
    </row>
    <row r="99" spans="1:5" s="166" customFormat="1" ht="12" customHeight="1" thickBot="1" x14ac:dyDescent="0.25">
      <c r="A99" s="25" t="s">
        <v>383</v>
      </c>
      <c r="B99" s="26" t="s">
        <v>384</v>
      </c>
      <c r="C99" s="26" t="s">
        <v>385</v>
      </c>
      <c r="D99" s="26" t="s">
        <v>387</v>
      </c>
      <c r="E99" s="251" t="s">
        <v>386</v>
      </c>
    </row>
    <row r="100" spans="1:5" ht="12" customHeight="1" thickBot="1" x14ac:dyDescent="0.3">
      <c r="A100" s="20" t="s">
        <v>6</v>
      </c>
      <c r="B100" s="24" t="s">
        <v>336</v>
      </c>
      <c r="C100" s="154">
        <f>C101+C102+C103+C104+C105+C118</f>
        <v>113707925</v>
      </c>
      <c r="D100" s="154">
        <f>D101+D102+D103+D104+D105+D118</f>
        <v>173251056</v>
      </c>
      <c r="E100" s="226">
        <f>E101+E102+E103+E104+E105+E118</f>
        <v>148149276</v>
      </c>
    </row>
    <row r="101" spans="1:5" ht="12" customHeight="1" x14ac:dyDescent="0.25">
      <c r="A101" s="15" t="s">
        <v>64</v>
      </c>
      <c r="B101" s="8" t="s">
        <v>35</v>
      </c>
      <c r="C101" s="233">
        <f>46925688-19562523</f>
        <v>27363165</v>
      </c>
      <c r="D101" s="233">
        <f>52947121+21122770</f>
        <v>74069891</v>
      </c>
      <c r="E101" s="227">
        <f>51709373+21026893</f>
        <v>72736266</v>
      </c>
    </row>
    <row r="102" spans="1:5" ht="12" customHeight="1" x14ac:dyDescent="0.25">
      <c r="A102" s="12" t="s">
        <v>65</v>
      </c>
      <c r="B102" s="6" t="s">
        <v>124</v>
      </c>
      <c r="C102" s="156">
        <f>9376489+3889979</f>
        <v>13266468</v>
      </c>
      <c r="D102" s="156">
        <f>10290263+3887979</f>
        <v>14178242</v>
      </c>
      <c r="E102" s="93">
        <f>10290263+3463589</f>
        <v>13753852</v>
      </c>
    </row>
    <row r="103" spans="1:5" ht="12" customHeight="1" x14ac:dyDescent="0.25">
      <c r="A103" s="12" t="s">
        <v>66</v>
      </c>
      <c r="B103" s="6" t="s">
        <v>92</v>
      </c>
      <c r="C103" s="158">
        <f>7935868+51784793</f>
        <v>59720661</v>
      </c>
      <c r="D103" s="158">
        <f>4821059+60706285</f>
        <v>65527344</v>
      </c>
      <c r="E103" s="95">
        <f>4821059+49697831</f>
        <v>54518890</v>
      </c>
    </row>
    <row r="104" spans="1:5" ht="12" customHeight="1" x14ac:dyDescent="0.25">
      <c r="A104" s="12" t="s">
        <v>67</v>
      </c>
      <c r="B104" s="9" t="s">
        <v>125</v>
      </c>
      <c r="C104" s="158">
        <v>2700000</v>
      </c>
      <c r="D104" s="158">
        <v>5091000</v>
      </c>
      <c r="E104" s="95">
        <v>2537250</v>
      </c>
    </row>
    <row r="105" spans="1:5" ht="12" customHeight="1" x14ac:dyDescent="0.25">
      <c r="A105" s="12" t="s">
        <v>76</v>
      </c>
      <c r="B105" s="17" t="s">
        <v>126</v>
      </c>
      <c r="C105" s="158">
        <v>10657631</v>
      </c>
      <c r="D105" s="158">
        <f>34378+14350201</f>
        <v>14384579</v>
      </c>
      <c r="E105" s="95">
        <f>34378+4568640</f>
        <v>4603018</v>
      </c>
    </row>
    <row r="106" spans="1:5" ht="12" customHeight="1" x14ac:dyDescent="0.25">
      <c r="A106" s="12" t="s">
        <v>68</v>
      </c>
      <c r="B106" s="6" t="s">
        <v>341</v>
      </c>
      <c r="C106" s="158"/>
      <c r="D106" s="158"/>
      <c r="E106" s="95"/>
    </row>
    <row r="107" spans="1:5" ht="12" customHeight="1" x14ac:dyDescent="0.25">
      <c r="A107" s="12" t="s">
        <v>69</v>
      </c>
      <c r="B107" s="64" t="s">
        <v>340</v>
      </c>
      <c r="C107" s="158"/>
      <c r="D107" s="158"/>
      <c r="E107" s="95"/>
    </row>
    <row r="108" spans="1:5" ht="12" customHeight="1" x14ac:dyDescent="0.25">
      <c r="A108" s="12" t="s">
        <v>77</v>
      </c>
      <c r="B108" s="64" t="s">
        <v>339</v>
      </c>
      <c r="C108" s="158"/>
      <c r="D108" s="158"/>
      <c r="E108" s="95"/>
    </row>
    <row r="109" spans="1:5" ht="12" customHeight="1" x14ac:dyDescent="0.25">
      <c r="A109" s="12" t="s">
        <v>78</v>
      </c>
      <c r="B109" s="62" t="s">
        <v>257</v>
      </c>
      <c r="C109" s="158"/>
      <c r="D109" s="158"/>
      <c r="E109" s="95"/>
    </row>
    <row r="110" spans="1:5" ht="12" customHeight="1" x14ac:dyDescent="0.25">
      <c r="A110" s="12" t="s">
        <v>79</v>
      </c>
      <c r="B110" s="63" t="s">
        <v>258</v>
      </c>
      <c r="C110" s="158"/>
      <c r="D110" s="158"/>
      <c r="E110" s="95"/>
    </row>
    <row r="111" spans="1:5" ht="12" customHeight="1" x14ac:dyDescent="0.25">
      <c r="A111" s="12" t="s">
        <v>80</v>
      </c>
      <c r="B111" s="63" t="s">
        <v>259</v>
      </c>
      <c r="C111" s="158"/>
      <c r="D111" s="158"/>
      <c r="E111" s="95"/>
    </row>
    <row r="112" spans="1:5" ht="12" customHeight="1" x14ac:dyDescent="0.25">
      <c r="A112" s="12" t="s">
        <v>82</v>
      </c>
      <c r="B112" s="62" t="s">
        <v>260</v>
      </c>
      <c r="C112" s="158"/>
      <c r="D112" s="158"/>
      <c r="E112" s="95"/>
    </row>
    <row r="113" spans="1:5" ht="12" customHeight="1" x14ac:dyDescent="0.25">
      <c r="A113" s="12" t="s">
        <v>127</v>
      </c>
      <c r="B113" s="62" t="s">
        <v>261</v>
      </c>
      <c r="C113" s="158"/>
      <c r="D113" s="158"/>
      <c r="E113" s="95"/>
    </row>
    <row r="114" spans="1:5" ht="12" customHeight="1" x14ac:dyDescent="0.25">
      <c r="A114" s="12" t="s">
        <v>255</v>
      </c>
      <c r="B114" s="63" t="s">
        <v>262</v>
      </c>
      <c r="C114" s="158"/>
      <c r="D114" s="158"/>
      <c r="E114" s="95"/>
    </row>
    <row r="115" spans="1:5" ht="12" customHeight="1" x14ac:dyDescent="0.25">
      <c r="A115" s="11" t="s">
        <v>256</v>
      </c>
      <c r="B115" s="64" t="s">
        <v>263</v>
      </c>
      <c r="C115" s="158"/>
      <c r="D115" s="158"/>
      <c r="E115" s="95"/>
    </row>
    <row r="116" spans="1:5" ht="12" customHeight="1" x14ac:dyDescent="0.25">
      <c r="A116" s="12" t="s">
        <v>337</v>
      </c>
      <c r="B116" s="64" t="s">
        <v>264</v>
      </c>
      <c r="C116" s="158"/>
      <c r="D116" s="158"/>
      <c r="E116" s="95"/>
    </row>
    <row r="117" spans="1:5" ht="12" customHeight="1" x14ac:dyDescent="0.25">
      <c r="A117" s="14" t="s">
        <v>338</v>
      </c>
      <c r="B117" s="64" t="s">
        <v>265</v>
      </c>
      <c r="C117" s="158"/>
      <c r="D117" s="158"/>
      <c r="E117" s="95"/>
    </row>
    <row r="118" spans="1:5" ht="12" customHeight="1" x14ac:dyDescent="0.25">
      <c r="A118" s="12" t="s">
        <v>342</v>
      </c>
      <c r="B118" s="9" t="s">
        <v>36</v>
      </c>
      <c r="C118" s="156"/>
      <c r="D118" s="156"/>
      <c r="E118" s="93"/>
    </row>
    <row r="119" spans="1:5" ht="12" customHeight="1" x14ac:dyDescent="0.25">
      <c r="A119" s="12" t="s">
        <v>343</v>
      </c>
      <c r="B119" s="6" t="s">
        <v>345</v>
      </c>
      <c r="C119" s="156"/>
      <c r="D119" s="156"/>
      <c r="E119" s="93"/>
    </row>
    <row r="120" spans="1:5" ht="12" customHeight="1" thickBot="1" x14ac:dyDescent="0.3">
      <c r="A120" s="16" t="s">
        <v>344</v>
      </c>
      <c r="B120" s="222" t="s">
        <v>346</v>
      </c>
      <c r="C120" s="234"/>
      <c r="D120" s="234"/>
      <c r="E120" s="228"/>
    </row>
    <row r="121" spans="1:5" ht="12" customHeight="1" thickBot="1" x14ac:dyDescent="0.3">
      <c r="A121" s="220" t="s">
        <v>7</v>
      </c>
      <c r="B121" s="221" t="s">
        <v>266</v>
      </c>
      <c r="C121" s="235">
        <f>+C122+C124+C126</f>
        <v>0</v>
      </c>
      <c r="D121" s="155">
        <f>+D122+D124+D126</f>
        <v>0</v>
      </c>
      <c r="E121" s="229">
        <f>+E122+E124+E126</f>
        <v>0</v>
      </c>
    </row>
    <row r="122" spans="1:5" ht="12" customHeight="1" x14ac:dyDescent="0.25">
      <c r="A122" s="13" t="s">
        <v>70</v>
      </c>
      <c r="B122" s="6" t="s">
        <v>141</v>
      </c>
      <c r="C122" s="157"/>
      <c r="D122" s="244"/>
      <c r="E122" s="94"/>
    </row>
    <row r="123" spans="1:5" ht="12" customHeight="1" x14ac:dyDescent="0.25">
      <c r="A123" s="13" t="s">
        <v>71</v>
      </c>
      <c r="B123" s="10" t="s">
        <v>270</v>
      </c>
      <c r="C123" s="157"/>
      <c r="D123" s="244"/>
      <c r="E123" s="94"/>
    </row>
    <row r="124" spans="1:5" ht="12" customHeight="1" x14ac:dyDescent="0.25">
      <c r="A124" s="13" t="s">
        <v>72</v>
      </c>
      <c r="B124" s="10" t="s">
        <v>128</v>
      </c>
      <c r="C124" s="156"/>
      <c r="D124" s="245"/>
      <c r="E124" s="93"/>
    </row>
    <row r="125" spans="1:5" ht="12" customHeight="1" x14ac:dyDescent="0.25">
      <c r="A125" s="13" t="s">
        <v>73</v>
      </c>
      <c r="B125" s="10" t="s">
        <v>271</v>
      </c>
      <c r="C125" s="156"/>
      <c r="D125" s="245"/>
      <c r="E125" s="93"/>
    </row>
    <row r="126" spans="1:5" ht="12" customHeight="1" x14ac:dyDescent="0.25">
      <c r="A126" s="13" t="s">
        <v>74</v>
      </c>
      <c r="B126" s="101" t="s">
        <v>143</v>
      </c>
      <c r="C126" s="156"/>
      <c r="D126" s="245"/>
      <c r="E126" s="93"/>
    </row>
    <row r="127" spans="1:5" ht="12" customHeight="1" x14ac:dyDescent="0.25">
      <c r="A127" s="13" t="s">
        <v>81</v>
      </c>
      <c r="B127" s="100" t="s">
        <v>330</v>
      </c>
      <c r="C127" s="156"/>
      <c r="D127" s="245"/>
      <c r="E127" s="93"/>
    </row>
    <row r="128" spans="1:5" ht="12" customHeight="1" x14ac:dyDescent="0.25">
      <c r="A128" s="13" t="s">
        <v>83</v>
      </c>
      <c r="B128" s="164" t="s">
        <v>276</v>
      </c>
      <c r="C128" s="156"/>
      <c r="D128" s="245"/>
      <c r="E128" s="93"/>
    </row>
    <row r="129" spans="1:5" x14ac:dyDescent="0.25">
      <c r="A129" s="13" t="s">
        <v>129</v>
      </c>
      <c r="B129" s="63" t="s">
        <v>259</v>
      </c>
      <c r="C129" s="156"/>
      <c r="D129" s="245"/>
      <c r="E129" s="93"/>
    </row>
    <row r="130" spans="1:5" ht="12" customHeight="1" x14ac:dyDescent="0.25">
      <c r="A130" s="13" t="s">
        <v>130</v>
      </c>
      <c r="B130" s="63" t="s">
        <v>275</v>
      </c>
      <c r="C130" s="156"/>
      <c r="D130" s="245"/>
      <c r="E130" s="93"/>
    </row>
    <row r="131" spans="1:5" ht="12" customHeight="1" x14ac:dyDescent="0.25">
      <c r="A131" s="13" t="s">
        <v>131</v>
      </c>
      <c r="B131" s="63" t="s">
        <v>274</v>
      </c>
      <c r="C131" s="156"/>
      <c r="D131" s="245"/>
      <c r="E131" s="93"/>
    </row>
    <row r="132" spans="1:5" ht="12" customHeight="1" x14ac:dyDescent="0.25">
      <c r="A132" s="13" t="s">
        <v>267</v>
      </c>
      <c r="B132" s="63" t="s">
        <v>262</v>
      </c>
      <c r="C132" s="156"/>
      <c r="D132" s="245"/>
      <c r="E132" s="93"/>
    </row>
    <row r="133" spans="1:5" ht="12" customHeight="1" x14ac:dyDescent="0.25">
      <c r="A133" s="13" t="s">
        <v>268</v>
      </c>
      <c r="B133" s="63" t="s">
        <v>273</v>
      </c>
      <c r="C133" s="156"/>
      <c r="D133" s="245"/>
      <c r="E133" s="93"/>
    </row>
    <row r="134" spans="1:5" ht="16.5" thickBot="1" x14ac:dyDescent="0.3">
      <c r="A134" s="11" t="s">
        <v>269</v>
      </c>
      <c r="B134" s="63" t="s">
        <v>272</v>
      </c>
      <c r="C134" s="158"/>
      <c r="D134" s="246"/>
      <c r="E134" s="95"/>
    </row>
    <row r="135" spans="1:5" ht="12" customHeight="1" thickBot="1" x14ac:dyDescent="0.3">
      <c r="A135" s="18" t="s">
        <v>8</v>
      </c>
      <c r="B135" s="58" t="s">
        <v>347</v>
      </c>
      <c r="C135" s="155">
        <f>+C100+C121</f>
        <v>113707925</v>
      </c>
      <c r="D135" s="243">
        <f>+D100+D121</f>
        <v>173251056</v>
      </c>
      <c r="E135" s="92">
        <f>+E100+E121</f>
        <v>148149276</v>
      </c>
    </row>
    <row r="136" spans="1:5" ht="12" customHeight="1" thickBot="1" x14ac:dyDescent="0.3">
      <c r="A136" s="18" t="s">
        <v>9</v>
      </c>
      <c r="B136" s="58" t="s">
        <v>415</v>
      </c>
      <c r="C136" s="155">
        <f>+C137+C138+C139</f>
        <v>0</v>
      </c>
      <c r="D136" s="243">
        <f>+D137+D138+D139</f>
        <v>0</v>
      </c>
      <c r="E136" s="92">
        <f>+E137+E138+E139</f>
        <v>0</v>
      </c>
    </row>
    <row r="137" spans="1:5" ht="12" customHeight="1" x14ac:dyDescent="0.25">
      <c r="A137" s="13" t="s">
        <v>175</v>
      </c>
      <c r="B137" s="10" t="s">
        <v>355</v>
      </c>
      <c r="C137" s="156"/>
      <c r="D137" s="245"/>
      <c r="E137" s="93"/>
    </row>
    <row r="138" spans="1:5" ht="12" customHeight="1" x14ac:dyDescent="0.25">
      <c r="A138" s="13" t="s">
        <v>176</v>
      </c>
      <c r="B138" s="10" t="s">
        <v>356</v>
      </c>
      <c r="C138" s="156"/>
      <c r="D138" s="245"/>
      <c r="E138" s="93"/>
    </row>
    <row r="139" spans="1:5" ht="12" customHeight="1" thickBot="1" x14ac:dyDescent="0.3">
      <c r="A139" s="11" t="s">
        <v>177</v>
      </c>
      <c r="B139" s="10" t="s">
        <v>357</v>
      </c>
      <c r="C139" s="156"/>
      <c r="D139" s="245"/>
      <c r="E139" s="93"/>
    </row>
    <row r="140" spans="1:5" ht="12" customHeight="1" thickBot="1" x14ac:dyDescent="0.3">
      <c r="A140" s="18" t="s">
        <v>10</v>
      </c>
      <c r="B140" s="58" t="s">
        <v>349</v>
      </c>
      <c r="C140" s="155">
        <f>SUM(C141:C146)</f>
        <v>0</v>
      </c>
      <c r="D140" s="243">
        <f>SUM(D141:D146)</f>
        <v>0</v>
      </c>
      <c r="E140" s="92">
        <f>SUM(E141:E146)</f>
        <v>0</v>
      </c>
    </row>
    <row r="141" spans="1:5" ht="12" customHeight="1" x14ac:dyDescent="0.25">
      <c r="A141" s="13" t="s">
        <v>57</v>
      </c>
      <c r="B141" s="7" t="s">
        <v>358</v>
      </c>
      <c r="C141" s="156"/>
      <c r="D141" s="245"/>
      <c r="E141" s="93"/>
    </row>
    <row r="142" spans="1:5" ht="12" customHeight="1" x14ac:dyDescent="0.25">
      <c r="A142" s="13" t="s">
        <v>58</v>
      </c>
      <c r="B142" s="7" t="s">
        <v>350</v>
      </c>
      <c r="C142" s="156"/>
      <c r="D142" s="245"/>
      <c r="E142" s="93"/>
    </row>
    <row r="143" spans="1:5" ht="12" customHeight="1" x14ac:dyDescent="0.25">
      <c r="A143" s="13" t="s">
        <v>59</v>
      </c>
      <c r="B143" s="7" t="s">
        <v>351</v>
      </c>
      <c r="C143" s="156"/>
      <c r="D143" s="245"/>
      <c r="E143" s="93"/>
    </row>
    <row r="144" spans="1:5" ht="12" customHeight="1" x14ac:dyDescent="0.25">
      <c r="A144" s="13" t="s">
        <v>116</v>
      </c>
      <c r="B144" s="7" t="s">
        <v>352</v>
      </c>
      <c r="C144" s="156"/>
      <c r="D144" s="245"/>
      <c r="E144" s="93"/>
    </row>
    <row r="145" spans="1:9" ht="12" customHeight="1" x14ac:dyDescent="0.25">
      <c r="A145" s="13" t="s">
        <v>117</v>
      </c>
      <c r="B145" s="7" t="s">
        <v>353</v>
      </c>
      <c r="C145" s="156"/>
      <c r="D145" s="245"/>
      <c r="E145" s="93"/>
    </row>
    <row r="146" spans="1:9" ht="12" customHeight="1" thickBot="1" x14ac:dyDescent="0.3">
      <c r="A146" s="16" t="s">
        <v>118</v>
      </c>
      <c r="B146" s="362" t="s">
        <v>354</v>
      </c>
      <c r="C146" s="234"/>
      <c r="D146" s="307"/>
      <c r="E146" s="228"/>
    </row>
    <row r="147" spans="1:9" ht="12" customHeight="1" thickBot="1" x14ac:dyDescent="0.3">
      <c r="A147" s="18" t="s">
        <v>11</v>
      </c>
      <c r="B147" s="58" t="s">
        <v>362</v>
      </c>
      <c r="C147" s="161">
        <f>+C148+C149+C150+C151</f>
        <v>4455369</v>
      </c>
      <c r="D147" s="247">
        <f>+D148+D149+D150+D151</f>
        <v>4455369</v>
      </c>
      <c r="E147" s="197">
        <f>+E148+E149+E150+E151</f>
        <v>4455369</v>
      </c>
    </row>
    <row r="148" spans="1:9" ht="12" customHeight="1" x14ac:dyDescent="0.25">
      <c r="A148" s="13" t="s">
        <v>60</v>
      </c>
      <c r="B148" s="7" t="s">
        <v>277</v>
      </c>
      <c r="C148" s="156"/>
      <c r="D148" s="245"/>
      <c r="E148" s="93"/>
    </row>
    <row r="149" spans="1:9" ht="12" customHeight="1" x14ac:dyDescent="0.25">
      <c r="A149" s="13" t="s">
        <v>61</v>
      </c>
      <c r="B149" s="7" t="s">
        <v>278</v>
      </c>
      <c r="C149" s="156">
        <v>4455369</v>
      </c>
      <c r="D149" s="245">
        <v>4455369</v>
      </c>
      <c r="E149" s="93">
        <v>4455369</v>
      </c>
    </row>
    <row r="150" spans="1:9" ht="12" customHeight="1" x14ac:dyDescent="0.25">
      <c r="A150" s="13" t="s">
        <v>194</v>
      </c>
      <c r="B150" s="7" t="s">
        <v>363</v>
      </c>
      <c r="C150" s="156"/>
      <c r="D150" s="245"/>
      <c r="E150" s="93"/>
    </row>
    <row r="151" spans="1:9" ht="12" customHeight="1" thickBot="1" x14ac:dyDescent="0.3">
      <c r="A151" s="11" t="s">
        <v>195</v>
      </c>
      <c r="B151" s="5" t="s">
        <v>294</v>
      </c>
      <c r="C151" s="156"/>
      <c r="D151" s="245"/>
      <c r="E151" s="93"/>
    </row>
    <row r="152" spans="1:9" ht="12" customHeight="1" thickBot="1" x14ac:dyDescent="0.3">
      <c r="A152" s="18" t="s">
        <v>12</v>
      </c>
      <c r="B152" s="58" t="s">
        <v>364</v>
      </c>
      <c r="C152" s="236">
        <f>SUM(C153:C157)</f>
        <v>0</v>
      </c>
      <c r="D152" s="248">
        <f>SUM(D153:D157)</f>
        <v>0</v>
      </c>
      <c r="E152" s="230">
        <f>SUM(E153:E157)</f>
        <v>0</v>
      </c>
    </row>
    <row r="153" spans="1:9" ht="12" customHeight="1" x14ac:dyDescent="0.25">
      <c r="A153" s="13" t="s">
        <v>62</v>
      </c>
      <c r="B153" s="7" t="s">
        <v>359</v>
      </c>
      <c r="C153" s="156"/>
      <c r="D153" s="245"/>
      <c r="E153" s="93"/>
    </row>
    <row r="154" spans="1:9" ht="12" customHeight="1" x14ac:dyDescent="0.25">
      <c r="A154" s="13" t="s">
        <v>63</v>
      </c>
      <c r="B154" s="7" t="s">
        <v>366</v>
      </c>
      <c r="C154" s="156"/>
      <c r="D154" s="245"/>
      <c r="E154" s="93"/>
    </row>
    <row r="155" spans="1:9" ht="12" customHeight="1" x14ac:dyDescent="0.25">
      <c r="A155" s="13" t="s">
        <v>206</v>
      </c>
      <c r="B155" s="7" t="s">
        <v>361</v>
      </c>
      <c r="C155" s="156"/>
      <c r="D155" s="245"/>
      <c r="E155" s="93"/>
    </row>
    <row r="156" spans="1:9" ht="12" customHeight="1" x14ac:dyDescent="0.25">
      <c r="A156" s="13" t="s">
        <v>207</v>
      </c>
      <c r="B156" s="7" t="s">
        <v>367</v>
      </c>
      <c r="C156" s="156"/>
      <c r="D156" s="245"/>
      <c r="E156" s="93"/>
    </row>
    <row r="157" spans="1:9" ht="12" customHeight="1" thickBot="1" x14ac:dyDescent="0.3">
      <c r="A157" s="13" t="s">
        <v>365</v>
      </c>
      <c r="B157" s="7" t="s">
        <v>368</v>
      </c>
      <c r="C157" s="156"/>
      <c r="D157" s="245"/>
      <c r="E157" s="93"/>
    </row>
    <row r="158" spans="1:9" ht="12" customHeight="1" thickBot="1" x14ac:dyDescent="0.3">
      <c r="A158" s="18" t="s">
        <v>13</v>
      </c>
      <c r="B158" s="58" t="s">
        <v>369</v>
      </c>
      <c r="C158" s="237"/>
      <c r="D158" s="249"/>
      <c r="E158" s="231"/>
    </row>
    <row r="159" spans="1:9" ht="12" customHeight="1" thickBot="1" x14ac:dyDescent="0.3">
      <c r="A159" s="18" t="s">
        <v>14</v>
      </c>
      <c r="B159" s="58" t="s">
        <v>370</v>
      </c>
      <c r="C159" s="237"/>
      <c r="D159" s="249"/>
      <c r="E159" s="231"/>
    </row>
    <row r="160" spans="1:9" ht="15.2" customHeight="1" thickBot="1" x14ac:dyDescent="0.3">
      <c r="A160" s="18" t="s">
        <v>15</v>
      </c>
      <c r="B160" s="58" t="s">
        <v>372</v>
      </c>
      <c r="C160" s="238">
        <f>+C136+C140+C147+C152+C158+C159</f>
        <v>4455369</v>
      </c>
      <c r="D160" s="250">
        <f>+D136+D140+D147+D152+D158+D159</f>
        <v>4455369</v>
      </c>
      <c r="E160" s="232">
        <f>+E136+E140+E147+E152+E158+E159</f>
        <v>4455369</v>
      </c>
      <c r="F160" s="178"/>
      <c r="G160" s="179"/>
      <c r="H160" s="179"/>
      <c r="I160" s="179"/>
    </row>
    <row r="161" spans="1:5" s="167" customFormat="1" ht="12.95" customHeight="1" thickBot="1" x14ac:dyDescent="0.25">
      <c r="A161" s="102" t="s">
        <v>16</v>
      </c>
      <c r="B161" s="142" t="s">
        <v>371</v>
      </c>
      <c r="C161" s="238">
        <f>+C135+C160</f>
        <v>118163294</v>
      </c>
      <c r="D161" s="250">
        <f>+D135+D160</f>
        <v>177706425</v>
      </c>
      <c r="E161" s="232">
        <f>+E135+E160</f>
        <v>152604645</v>
      </c>
    </row>
    <row r="162" spans="1:5" x14ac:dyDescent="0.25">
      <c r="C162" s="609"/>
      <c r="D162" s="609"/>
    </row>
    <row r="163" spans="1:5" x14ac:dyDescent="0.25">
      <c r="A163" s="676" t="s">
        <v>279</v>
      </c>
      <c r="B163" s="676"/>
      <c r="C163" s="676"/>
      <c r="D163" s="676"/>
      <c r="E163" s="676"/>
    </row>
    <row r="164" spans="1:5" ht="15.2" customHeight="1" thickBot="1" x14ac:dyDescent="0.3">
      <c r="A164" s="668" t="s">
        <v>104</v>
      </c>
      <c r="B164" s="668"/>
      <c r="C164" s="104"/>
      <c r="E164" s="104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373</v>
      </c>
      <c r="C165" s="242">
        <f>+C68-C135</f>
        <v>47758131</v>
      </c>
      <c r="D165" s="155">
        <f>+D68-D135</f>
        <v>13092965</v>
      </c>
      <c r="E165" s="92">
        <f>+E68-E135</f>
        <v>39403069</v>
      </c>
    </row>
    <row r="166" spans="1:5" ht="32.450000000000003" customHeight="1" thickBot="1" x14ac:dyDescent="0.3">
      <c r="A166" s="18" t="s">
        <v>7</v>
      </c>
      <c r="B166" s="23" t="s">
        <v>379</v>
      </c>
      <c r="C166" s="155">
        <f>+C92-C160</f>
        <v>-3471973</v>
      </c>
      <c r="D166" s="155">
        <f>+D92-D160</f>
        <v>-3471973</v>
      </c>
      <c r="E166" s="92">
        <f>+E92-E160</f>
        <v>-3471973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topLeftCell="A25" zoomScale="120" zoomScaleNormal="120" zoomScaleSheetLayoutView="100" workbookViewId="0">
      <selection activeCell="E162" sqref="E162"/>
    </sheetView>
  </sheetViews>
  <sheetFormatPr defaultRowHeight="15.75" x14ac:dyDescent="0.25"/>
  <cols>
    <col min="1" max="1" width="9.5" style="143" customWidth="1"/>
    <col min="2" max="2" width="65.83203125" style="143" customWidth="1"/>
    <col min="3" max="3" width="17.83203125" style="144" customWidth="1"/>
    <col min="4" max="5" width="17.83203125" style="165" customWidth="1"/>
    <col min="6" max="16384" width="9.33203125" style="165"/>
  </cols>
  <sheetData>
    <row r="1" spans="1:5" x14ac:dyDescent="0.25">
      <c r="A1" s="363"/>
      <c r="B1" s="663" t="str">
        <f>CONCATENATE("1.3. melléklet ",Z_ALAPADATOK!A7," ",Z_ALAPADATOK!B7," ",Z_ALAPADATOK!C7," ",Z_ALAPADATOK!D7," ",Z_ALAPADATOK!E7," ",Z_ALAPADATOK!F7," ",Z_ALAPADATOK!G7," ",Z_ALAPADATOK!H7)</f>
        <v>1.3. melléklet a 6 / 2019. ( IV.25 ) önkormányzati rendelethez</v>
      </c>
      <c r="C1" s="664"/>
      <c r="D1" s="664"/>
      <c r="E1" s="664"/>
    </row>
    <row r="2" spans="1:5" x14ac:dyDescent="0.25">
      <c r="A2" s="665" t="str">
        <f>CONCATENATE(Z_ALAPADATOK!A3)</f>
        <v>Kajárpéc Közésgi Önkormányzat</v>
      </c>
      <c r="B2" s="666"/>
      <c r="C2" s="666"/>
      <c r="D2" s="666"/>
      <c r="E2" s="666"/>
    </row>
    <row r="3" spans="1:5" x14ac:dyDescent="0.25">
      <c r="A3" s="665" t="s">
        <v>803</v>
      </c>
      <c r="B3" s="665"/>
      <c r="C3" s="667"/>
      <c r="D3" s="665"/>
      <c r="E3" s="665"/>
    </row>
    <row r="4" spans="1:5" ht="19.5" customHeight="1" x14ac:dyDescent="0.25">
      <c r="A4" s="665" t="s">
        <v>805</v>
      </c>
      <c r="B4" s="665"/>
      <c r="C4" s="667"/>
      <c r="D4" s="665"/>
      <c r="E4" s="665"/>
    </row>
    <row r="5" spans="1:5" x14ac:dyDescent="0.25">
      <c r="A5" s="363"/>
      <c r="B5" s="363"/>
      <c r="C5" s="364"/>
      <c r="D5" s="365"/>
      <c r="E5" s="365"/>
    </row>
    <row r="6" spans="1:5" ht="15.95" customHeight="1" x14ac:dyDescent="0.25">
      <c r="A6" s="677" t="s">
        <v>3</v>
      </c>
      <c r="B6" s="677"/>
      <c r="C6" s="677"/>
      <c r="D6" s="677"/>
      <c r="E6" s="677"/>
    </row>
    <row r="7" spans="1:5" ht="15.95" customHeight="1" thickBot="1" x14ac:dyDescent="0.3">
      <c r="A7" s="679" t="s">
        <v>102</v>
      </c>
      <c r="B7" s="679"/>
      <c r="C7" s="366"/>
      <c r="D7" s="365"/>
      <c r="E7" s="366" t="str">
        <f>CONCATENATE('Z_1.2.sz.mell.'!E7)</f>
        <v xml:space="preserve"> Forintban!</v>
      </c>
    </row>
    <row r="8" spans="1:5" x14ac:dyDescent="0.25">
      <c r="A8" s="669" t="s">
        <v>52</v>
      </c>
      <c r="B8" s="671" t="s">
        <v>5</v>
      </c>
      <c r="C8" s="673" t="str">
        <f>+CONCATENATE(LEFT(Z_ÖSSZEFÜGGÉSEK!A6,4),". évi")</f>
        <v>2018. évi</v>
      </c>
      <c r="D8" s="674"/>
      <c r="E8" s="675"/>
    </row>
    <row r="9" spans="1:5" ht="24.75" thickBot="1" x14ac:dyDescent="0.3">
      <c r="A9" s="670"/>
      <c r="B9" s="672"/>
      <c r="C9" s="240" t="s">
        <v>412</v>
      </c>
      <c r="D9" s="239" t="s">
        <v>413</v>
      </c>
      <c r="E9" s="352" t="str">
        <f>CONCATENATE('Z_1.2.sz.mell.'!E9)</f>
        <v>2018. XII. 31.
teljesítés</v>
      </c>
    </row>
    <row r="10" spans="1:5" s="166" customFormat="1" ht="12" customHeight="1" thickBot="1" x14ac:dyDescent="0.25">
      <c r="A10" s="162" t="s">
        <v>383</v>
      </c>
      <c r="B10" s="163" t="s">
        <v>384</v>
      </c>
      <c r="C10" s="163" t="s">
        <v>385</v>
      </c>
      <c r="D10" s="163" t="s">
        <v>387</v>
      </c>
      <c r="E10" s="241" t="s">
        <v>386</v>
      </c>
    </row>
    <row r="11" spans="1:5" s="167" customFormat="1" ht="12" customHeight="1" thickBot="1" x14ac:dyDescent="0.25">
      <c r="A11" s="18" t="s">
        <v>6</v>
      </c>
      <c r="B11" s="19" t="s">
        <v>160</v>
      </c>
      <c r="C11" s="155">
        <f>+C12+C13+C14+C15+C16+C17</f>
        <v>0</v>
      </c>
      <c r="D11" s="155">
        <f>+D12+D13+D14+D15+D16+D17</f>
        <v>0</v>
      </c>
      <c r="E11" s="92">
        <f>+E12+E13+E14+E15+E16+E17</f>
        <v>0</v>
      </c>
    </row>
    <row r="12" spans="1:5" s="167" customFormat="1" ht="12" customHeight="1" x14ac:dyDescent="0.2">
      <c r="A12" s="13" t="s">
        <v>64</v>
      </c>
      <c r="B12" s="168" t="s">
        <v>161</v>
      </c>
      <c r="C12" s="157"/>
      <c r="D12" s="157"/>
      <c r="E12" s="94"/>
    </row>
    <row r="13" spans="1:5" s="167" customFormat="1" ht="12" customHeight="1" x14ac:dyDescent="0.2">
      <c r="A13" s="12" t="s">
        <v>65</v>
      </c>
      <c r="B13" s="169" t="s">
        <v>162</v>
      </c>
      <c r="C13" s="156"/>
      <c r="D13" s="156"/>
      <c r="E13" s="93"/>
    </row>
    <row r="14" spans="1:5" s="167" customFormat="1" ht="12" customHeight="1" x14ac:dyDescent="0.2">
      <c r="A14" s="12" t="s">
        <v>66</v>
      </c>
      <c r="B14" s="169" t="s">
        <v>163</v>
      </c>
      <c r="C14" s="156"/>
      <c r="D14" s="156"/>
      <c r="E14" s="93"/>
    </row>
    <row r="15" spans="1:5" s="167" customFormat="1" ht="12" customHeight="1" x14ac:dyDescent="0.2">
      <c r="A15" s="12" t="s">
        <v>67</v>
      </c>
      <c r="B15" s="169" t="s">
        <v>164</v>
      </c>
      <c r="C15" s="156"/>
      <c r="D15" s="156"/>
      <c r="E15" s="93"/>
    </row>
    <row r="16" spans="1:5" s="167" customFormat="1" ht="12" customHeight="1" x14ac:dyDescent="0.2">
      <c r="A16" s="12" t="s">
        <v>99</v>
      </c>
      <c r="B16" s="100" t="s">
        <v>331</v>
      </c>
      <c r="C16" s="156"/>
      <c r="D16" s="156"/>
      <c r="E16" s="93"/>
    </row>
    <row r="17" spans="1:5" s="167" customFormat="1" ht="12" customHeight="1" thickBot="1" x14ac:dyDescent="0.25">
      <c r="A17" s="14" t="s">
        <v>68</v>
      </c>
      <c r="B17" s="101" t="s">
        <v>332</v>
      </c>
      <c r="C17" s="156"/>
      <c r="D17" s="156"/>
      <c r="E17" s="93"/>
    </row>
    <row r="18" spans="1:5" s="167" customFormat="1" ht="12" customHeight="1" thickBot="1" x14ac:dyDescent="0.25">
      <c r="A18" s="18" t="s">
        <v>7</v>
      </c>
      <c r="B18" s="99" t="s">
        <v>165</v>
      </c>
      <c r="C18" s="155">
        <f>+C19+C20+C21+C22+C23</f>
        <v>0</v>
      </c>
      <c r="D18" s="155">
        <f>+D19+D20+D21+D22+D23</f>
        <v>0</v>
      </c>
      <c r="E18" s="92">
        <f>+E19+E20+E21+E22+E23</f>
        <v>0</v>
      </c>
    </row>
    <row r="19" spans="1:5" s="167" customFormat="1" ht="12" customHeight="1" x14ac:dyDescent="0.2">
      <c r="A19" s="13" t="s">
        <v>70</v>
      </c>
      <c r="B19" s="168" t="s">
        <v>166</v>
      </c>
      <c r="C19" s="157"/>
      <c r="D19" s="157"/>
      <c r="E19" s="94"/>
    </row>
    <row r="20" spans="1:5" s="167" customFormat="1" ht="12" customHeight="1" x14ac:dyDescent="0.2">
      <c r="A20" s="12" t="s">
        <v>71</v>
      </c>
      <c r="B20" s="169" t="s">
        <v>167</v>
      </c>
      <c r="C20" s="156"/>
      <c r="D20" s="156"/>
      <c r="E20" s="93"/>
    </row>
    <row r="21" spans="1:5" s="167" customFormat="1" ht="12" customHeight="1" x14ac:dyDescent="0.2">
      <c r="A21" s="12" t="s">
        <v>72</v>
      </c>
      <c r="B21" s="169" t="s">
        <v>324</v>
      </c>
      <c r="C21" s="156"/>
      <c r="D21" s="156"/>
      <c r="E21" s="93"/>
    </row>
    <row r="22" spans="1:5" s="167" customFormat="1" ht="12" customHeight="1" x14ac:dyDescent="0.2">
      <c r="A22" s="12" t="s">
        <v>73</v>
      </c>
      <c r="B22" s="169" t="s">
        <v>325</v>
      </c>
      <c r="C22" s="156"/>
      <c r="D22" s="156"/>
      <c r="E22" s="93"/>
    </row>
    <row r="23" spans="1:5" s="167" customFormat="1" ht="12" customHeight="1" x14ac:dyDescent="0.2">
      <c r="A23" s="12" t="s">
        <v>74</v>
      </c>
      <c r="B23" s="169" t="s">
        <v>168</v>
      </c>
      <c r="C23" s="156"/>
      <c r="D23" s="156"/>
      <c r="E23" s="93"/>
    </row>
    <row r="24" spans="1:5" s="167" customFormat="1" ht="12" customHeight="1" thickBot="1" x14ac:dyDescent="0.25">
      <c r="A24" s="14" t="s">
        <v>81</v>
      </c>
      <c r="B24" s="101" t="s">
        <v>169</v>
      </c>
      <c r="C24" s="158"/>
      <c r="D24" s="158"/>
      <c r="E24" s="95"/>
    </row>
    <row r="25" spans="1:5" s="167" customFormat="1" ht="12" customHeight="1" thickBot="1" x14ac:dyDescent="0.25">
      <c r="A25" s="18" t="s">
        <v>8</v>
      </c>
      <c r="B25" s="19" t="s">
        <v>170</v>
      </c>
      <c r="C25" s="155">
        <f>+C26+C27+C28+C29+C30</f>
        <v>0</v>
      </c>
      <c r="D25" s="155">
        <f>+D26+D27+D28+D29+D30</f>
        <v>0</v>
      </c>
      <c r="E25" s="92">
        <f>+E26+E27+E28+E29+E30</f>
        <v>0</v>
      </c>
    </row>
    <row r="26" spans="1:5" s="167" customFormat="1" ht="12" customHeight="1" x14ac:dyDescent="0.2">
      <c r="A26" s="13" t="s">
        <v>53</v>
      </c>
      <c r="B26" s="168" t="s">
        <v>171</v>
      </c>
      <c r="C26" s="157"/>
      <c r="D26" s="157"/>
      <c r="E26" s="94"/>
    </row>
    <row r="27" spans="1:5" s="167" customFormat="1" ht="12" customHeight="1" x14ac:dyDescent="0.2">
      <c r="A27" s="12" t="s">
        <v>54</v>
      </c>
      <c r="B27" s="169" t="s">
        <v>172</v>
      </c>
      <c r="C27" s="156"/>
      <c r="D27" s="156"/>
      <c r="E27" s="93"/>
    </row>
    <row r="28" spans="1:5" s="167" customFormat="1" ht="12" customHeight="1" x14ac:dyDescent="0.2">
      <c r="A28" s="12" t="s">
        <v>55</v>
      </c>
      <c r="B28" s="169" t="s">
        <v>326</v>
      </c>
      <c r="C28" s="156"/>
      <c r="D28" s="156"/>
      <c r="E28" s="93"/>
    </row>
    <row r="29" spans="1:5" s="167" customFormat="1" ht="12" customHeight="1" x14ac:dyDescent="0.2">
      <c r="A29" s="12" t="s">
        <v>56</v>
      </c>
      <c r="B29" s="169" t="s">
        <v>327</v>
      </c>
      <c r="C29" s="156"/>
      <c r="D29" s="156"/>
      <c r="E29" s="93"/>
    </row>
    <row r="30" spans="1:5" s="167" customFormat="1" ht="12" customHeight="1" x14ac:dyDescent="0.2">
      <c r="A30" s="12" t="s">
        <v>112</v>
      </c>
      <c r="B30" s="169" t="s">
        <v>173</v>
      </c>
      <c r="C30" s="156"/>
      <c r="D30" s="156"/>
      <c r="E30" s="93"/>
    </row>
    <row r="31" spans="1:5" s="167" customFormat="1" ht="12" customHeight="1" thickBot="1" x14ac:dyDescent="0.25">
      <c r="A31" s="14" t="s">
        <v>113</v>
      </c>
      <c r="B31" s="170" t="s">
        <v>174</v>
      </c>
      <c r="C31" s="158"/>
      <c r="D31" s="158"/>
      <c r="E31" s="95"/>
    </row>
    <row r="32" spans="1:5" s="167" customFormat="1" ht="12" customHeight="1" thickBot="1" x14ac:dyDescent="0.25">
      <c r="A32" s="18" t="s">
        <v>114</v>
      </c>
      <c r="B32" s="19" t="s">
        <v>478</v>
      </c>
      <c r="C32" s="161">
        <f>SUM(C33:C39)</f>
        <v>0</v>
      </c>
      <c r="D32" s="161">
        <f>SUM(D33:D39)</f>
        <v>0</v>
      </c>
      <c r="E32" s="197">
        <f>SUM(E33:E39)</f>
        <v>0</v>
      </c>
    </row>
    <row r="33" spans="1:5" s="167" customFormat="1" ht="12" customHeight="1" x14ac:dyDescent="0.2">
      <c r="A33" s="13" t="s">
        <v>175</v>
      </c>
      <c r="B33" s="168" t="s">
        <v>479</v>
      </c>
      <c r="C33" s="157">
        <f>+C34+C35+C36</f>
        <v>0</v>
      </c>
      <c r="D33" s="157">
        <f>+D34+D35+D36</f>
        <v>0</v>
      </c>
      <c r="E33" s="94">
        <f>+E34+E35+E36</f>
        <v>0</v>
      </c>
    </row>
    <row r="34" spans="1:5" s="167" customFormat="1" ht="12" customHeight="1" x14ac:dyDescent="0.2">
      <c r="A34" s="12" t="s">
        <v>176</v>
      </c>
      <c r="B34" s="169" t="s">
        <v>480</v>
      </c>
      <c r="C34" s="156"/>
      <c r="D34" s="156"/>
      <c r="E34" s="93"/>
    </row>
    <row r="35" spans="1:5" s="167" customFormat="1" ht="12" customHeight="1" x14ac:dyDescent="0.2">
      <c r="A35" s="12" t="s">
        <v>177</v>
      </c>
      <c r="B35" s="169" t="s">
        <v>481</v>
      </c>
      <c r="C35" s="156"/>
      <c r="D35" s="156"/>
      <c r="E35" s="93"/>
    </row>
    <row r="36" spans="1:5" s="167" customFormat="1" ht="12" customHeight="1" x14ac:dyDescent="0.2">
      <c r="A36" s="12" t="s">
        <v>178</v>
      </c>
      <c r="B36" s="169" t="s">
        <v>482</v>
      </c>
      <c r="C36" s="156"/>
      <c r="D36" s="156"/>
      <c r="E36" s="93"/>
    </row>
    <row r="37" spans="1:5" s="167" customFormat="1" ht="12" customHeight="1" x14ac:dyDescent="0.2">
      <c r="A37" s="12" t="s">
        <v>483</v>
      </c>
      <c r="B37" s="169" t="s">
        <v>179</v>
      </c>
      <c r="C37" s="156"/>
      <c r="D37" s="156"/>
      <c r="E37" s="93"/>
    </row>
    <row r="38" spans="1:5" s="167" customFormat="1" ht="12" customHeight="1" x14ac:dyDescent="0.2">
      <c r="A38" s="12" t="s">
        <v>484</v>
      </c>
      <c r="B38" s="169" t="s">
        <v>817</v>
      </c>
      <c r="C38" s="156"/>
      <c r="D38" s="156"/>
      <c r="E38" s="93"/>
    </row>
    <row r="39" spans="1:5" s="167" customFormat="1" ht="12" customHeight="1" thickBot="1" x14ac:dyDescent="0.25">
      <c r="A39" s="14" t="s">
        <v>485</v>
      </c>
      <c r="B39" s="312" t="s">
        <v>180</v>
      </c>
      <c r="C39" s="158"/>
      <c r="D39" s="158"/>
      <c r="E39" s="95"/>
    </row>
    <row r="40" spans="1:5" s="167" customFormat="1" ht="12" customHeight="1" thickBot="1" x14ac:dyDescent="0.25">
      <c r="A40" s="18" t="s">
        <v>10</v>
      </c>
      <c r="B40" s="19" t="s">
        <v>333</v>
      </c>
      <c r="C40" s="155">
        <f>SUM(C41:C51)</f>
        <v>0</v>
      </c>
      <c r="D40" s="155">
        <f>SUM(D41:D51)</f>
        <v>0</v>
      </c>
      <c r="E40" s="92">
        <f>SUM(E41:E51)</f>
        <v>0</v>
      </c>
    </row>
    <row r="41" spans="1:5" s="167" customFormat="1" ht="12" customHeight="1" x14ac:dyDescent="0.2">
      <c r="A41" s="13" t="s">
        <v>57</v>
      </c>
      <c r="B41" s="168" t="s">
        <v>183</v>
      </c>
      <c r="C41" s="157"/>
      <c r="D41" s="157"/>
      <c r="E41" s="94"/>
    </row>
    <row r="42" spans="1:5" s="167" customFormat="1" ht="12" customHeight="1" x14ac:dyDescent="0.2">
      <c r="A42" s="12" t="s">
        <v>58</v>
      </c>
      <c r="B42" s="169" t="s">
        <v>184</v>
      </c>
      <c r="C42" s="156"/>
      <c r="D42" s="156"/>
      <c r="E42" s="93"/>
    </row>
    <row r="43" spans="1:5" s="167" customFormat="1" ht="12" customHeight="1" x14ac:dyDescent="0.2">
      <c r="A43" s="12" t="s">
        <v>59</v>
      </c>
      <c r="B43" s="169" t="s">
        <v>185</v>
      </c>
      <c r="C43" s="156"/>
      <c r="D43" s="156"/>
      <c r="E43" s="93"/>
    </row>
    <row r="44" spans="1:5" s="167" customFormat="1" ht="12" customHeight="1" x14ac:dyDescent="0.2">
      <c r="A44" s="12" t="s">
        <v>116</v>
      </c>
      <c r="B44" s="169" t="s">
        <v>186</v>
      </c>
      <c r="C44" s="156"/>
      <c r="D44" s="156"/>
      <c r="E44" s="93"/>
    </row>
    <row r="45" spans="1:5" s="167" customFormat="1" ht="12" customHeight="1" x14ac:dyDescent="0.2">
      <c r="A45" s="12" t="s">
        <v>117</v>
      </c>
      <c r="B45" s="169" t="s">
        <v>187</v>
      </c>
      <c r="C45" s="156"/>
      <c r="D45" s="156"/>
      <c r="E45" s="93"/>
    </row>
    <row r="46" spans="1:5" s="167" customFormat="1" ht="12" customHeight="1" x14ac:dyDescent="0.2">
      <c r="A46" s="12" t="s">
        <v>118</v>
      </c>
      <c r="B46" s="169" t="s">
        <v>188</v>
      </c>
      <c r="C46" s="156"/>
      <c r="D46" s="156"/>
      <c r="E46" s="93"/>
    </row>
    <row r="47" spans="1:5" s="167" customFormat="1" ht="12" customHeight="1" x14ac:dyDescent="0.2">
      <c r="A47" s="12" t="s">
        <v>119</v>
      </c>
      <c r="B47" s="169" t="s">
        <v>189</v>
      </c>
      <c r="C47" s="156"/>
      <c r="D47" s="156"/>
      <c r="E47" s="93"/>
    </row>
    <row r="48" spans="1:5" s="167" customFormat="1" ht="12" customHeight="1" x14ac:dyDescent="0.2">
      <c r="A48" s="12" t="s">
        <v>120</v>
      </c>
      <c r="B48" s="169" t="s">
        <v>486</v>
      </c>
      <c r="C48" s="156"/>
      <c r="D48" s="156"/>
      <c r="E48" s="93"/>
    </row>
    <row r="49" spans="1:5" s="167" customFormat="1" ht="12" customHeight="1" x14ac:dyDescent="0.2">
      <c r="A49" s="12" t="s">
        <v>181</v>
      </c>
      <c r="B49" s="169" t="s">
        <v>191</v>
      </c>
      <c r="C49" s="159"/>
      <c r="D49" s="159"/>
      <c r="E49" s="96"/>
    </row>
    <row r="50" spans="1:5" s="167" customFormat="1" ht="12" customHeight="1" x14ac:dyDescent="0.2">
      <c r="A50" s="14" t="s">
        <v>182</v>
      </c>
      <c r="B50" s="170" t="s">
        <v>335</v>
      </c>
      <c r="C50" s="160"/>
      <c r="D50" s="160"/>
      <c r="E50" s="97"/>
    </row>
    <row r="51" spans="1:5" s="167" customFormat="1" ht="12" customHeight="1" thickBot="1" x14ac:dyDescent="0.25">
      <c r="A51" s="14" t="s">
        <v>334</v>
      </c>
      <c r="B51" s="101" t="s">
        <v>192</v>
      </c>
      <c r="C51" s="160"/>
      <c r="D51" s="160"/>
      <c r="E51" s="97"/>
    </row>
    <row r="52" spans="1:5" s="167" customFormat="1" ht="12" customHeight="1" thickBot="1" x14ac:dyDescent="0.25">
      <c r="A52" s="18" t="s">
        <v>11</v>
      </c>
      <c r="B52" s="19" t="s">
        <v>193</v>
      </c>
      <c r="C52" s="155">
        <f>SUM(C53:C57)</f>
        <v>0</v>
      </c>
      <c r="D52" s="155">
        <f>SUM(D53:D57)</f>
        <v>0</v>
      </c>
      <c r="E52" s="92">
        <f>SUM(E53:E57)</f>
        <v>0</v>
      </c>
    </row>
    <row r="53" spans="1:5" s="167" customFormat="1" ht="12" customHeight="1" x14ac:dyDescent="0.2">
      <c r="A53" s="13" t="s">
        <v>60</v>
      </c>
      <c r="B53" s="168" t="s">
        <v>197</v>
      </c>
      <c r="C53" s="208"/>
      <c r="D53" s="208"/>
      <c r="E53" s="98"/>
    </row>
    <row r="54" spans="1:5" s="167" customFormat="1" ht="12" customHeight="1" x14ac:dyDescent="0.2">
      <c r="A54" s="12" t="s">
        <v>61</v>
      </c>
      <c r="B54" s="169" t="s">
        <v>198</v>
      </c>
      <c r="C54" s="159"/>
      <c r="D54" s="159"/>
      <c r="E54" s="96"/>
    </row>
    <row r="55" spans="1:5" s="167" customFormat="1" ht="12" customHeight="1" x14ac:dyDescent="0.2">
      <c r="A55" s="12" t="s">
        <v>194</v>
      </c>
      <c r="B55" s="169" t="s">
        <v>199</v>
      </c>
      <c r="C55" s="159"/>
      <c r="D55" s="159"/>
      <c r="E55" s="96"/>
    </row>
    <row r="56" spans="1:5" s="167" customFormat="1" ht="12" customHeight="1" x14ac:dyDescent="0.2">
      <c r="A56" s="12" t="s">
        <v>195</v>
      </c>
      <c r="B56" s="169" t="s">
        <v>200</v>
      </c>
      <c r="C56" s="159"/>
      <c r="D56" s="159"/>
      <c r="E56" s="96"/>
    </row>
    <row r="57" spans="1:5" s="167" customFormat="1" ht="12" customHeight="1" thickBot="1" x14ac:dyDescent="0.25">
      <c r="A57" s="14" t="s">
        <v>196</v>
      </c>
      <c r="B57" s="101" t="s">
        <v>201</v>
      </c>
      <c r="C57" s="160"/>
      <c r="D57" s="160"/>
      <c r="E57" s="97"/>
    </row>
    <row r="58" spans="1:5" s="167" customFormat="1" ht="12" customHeight="1" thickBot="1" x14ac:dyDescent="0.25">
      <c r="A58" s="18" t="s">
        <v>121</v>
      </c>
      <c r="B58" s="19" t="s">
        <v>202</v>
      </c>
      <c r="C58" s="155">
        <f>SUM(C59:C61)</f>
        <v>0</v>
      </c>
      <c r="D58" s="155">
        <f>SUM(D59:D61)</f>
        <v>0</v>
      </c>
      <c r="E58" s="92">
        <f>SUM(E59:E61)</f>
        <v>0</v>
      </c>
    </row>
    <row r="59" spans="1:5" s="167" customFormat="1" ht="12" customHeight="1" x14ac:dyDescent="0.2">
      <c r="A59" s="13" t="s">
        <v>62</v>
      </c>
      <c r="B59" s="168" t="s">
        <v>203</v>
      </c>
      <c r="C59" s="157"/>
      <c r="D59" s="157"/>
      <c r="E59" s="94"/>
    </row>
    <row r="60" spans="1:5" s="167" customFormat="1" ht="12" customHeight="1" x14ac:dyDescent="0.2">
      <c r="A60" s="12" t="s">
        <v>63</v>
      </c>
      <c r="B60" s="169" t="s">
        <v>328</v>
      </c>
      <c r="C60" s="156"/>
      <c r="D60" s="156"/>
      <c r="E60" s="93"/>
    </row>
    <row r="61" spans="1:5" s="167" customFormat="1" ht="12" customHeight="1" x14ac:dyDescent="0.2">
      <c r="A61" s="12" t="s">
        <v>206</v>
      </c>
      <c r="B61" s="169" t="s">
        <v>204</v>
      </c>
      <c r="C61" s="156"/>
      <c r="D61" s="156"/>
      <c r="E61" s="93"/>
    </row>
    <row r="62" spans="1:5" s="167" customFormat="1" ht="12" customHeight="1" thickBot="1" x14ac:dyDescent="0.25">
      <c r="A62" s="14" t="s">
        <v>207</v>
      </c>
      <c r="B62" s="101" t="s">
        <v>205</v>
      </c>
      <c r="C62" s="158"/>
      <c r="D62" s="158"/>
      <c r="E62" s="95"/>
    </row>
    <row r="63" spans="1:5" s="167" customFormat="1" ht="12" customHeight="1" thickBot="1" x14ac:dyDescent="0.25">
      <c r="A63" s="18" t="s">
        <v>13</v>
      </c>
      <c r="B63" s="99" t="s">
        <v>208</v>
      </c>
      <c r="C63" s="155">
        <f>SUM(C64:C66)</f>
        <v>0</v>
      </c>
      <c r="D63" s="155">
        <f>SUM(D64:D66)</f>
        <v>0</v>
      </c>
      <c r="E63" s="92">
        <f>SUM(E64:E66)</f>
        <v>0</v>
      </c>
    </row>
    <row r="64" spans="1:5" s="167" customFormat="1" ht="12" customHeight="1" x14ac:dyDescent="0.2">
      <c r="A64" s="13" t="s">
        <v>122</v>
      </c>
      <c r="B64" s="168" t="s">
        <v>210</v>
      </c>
      <c r="C64" s="159"/>
      <c r="D64" s="159"/>
      <c r="E64" s="96"/>
    </row>
    <row r="65" spans="1:5" s="167" customFormat="1" ht="12" customHeight="1" x14ac:dyDescent="0.2">
      <c r="A65" s="12" t="s">
        <v>123</v>
      </c>
      <c r="B65" s="169" t="s">
        <v>329</v>
      </c>
      <c r="C65" s="159"/>
      <c r="D65" s="159"/>
      <c r="E65" s="96"/>
    </row>
    <row r="66" spans="1:5" s="167" customFormat="1" ht="12" customHeight="1" x14ac:dyDescent="0.2">
      <c r="A66" s="12" t="s">
        <v>142</v>
      </c>
      <c r="B66" s="169" t="s">
        <v>211</v>
      </c>
      <c r="C66" s="159"/>
      <c r="D66" s="159"/>
      <c r="E66" s="96"/>
    </row>
    <row r="67" spans="1:5" s="167" customFormat="1" ht="12" customHeight="1" thickBot="1" x14ac:dyDescent="0.25">
      <c r="A67" s="14" t="s">
        <v>209</v>
      </c>
      <c r="B67" s="101" t="s">
        <v>212</v>
      </c>
      <c r="C67" s="159"/>
      <c r="D67" s="159"/>
      <c r="E67" s="96"/>
    </row>
    <row r="68" spans="1:5" s="167" customFormat="1" ht="12" customHeight="1" thickBot="1" x14ac:dyDescent="0.25">
      <c r="A68" s="223" t="s">
        <v>375</v>
      </c>
      <c r="B68" s="19" t="s">
        <v>213</v>
      </c>
      <c r="C68" s="161">
        <f>+C11+C18+C25+C32+C40+C52+C58+C63</f>
        <v>0</v>
      </c>
      <c r="D68" s="161">
        <f>+D11+D18+D25+D32+D40+D52+D58+D63</f>
        <v>0</v>
      </c>
      <c r="E68" s="197">
        <f>+E11+E18+E25+E32+E40+E52+E58+E63</f>
        <v>0</v>
      </c>
    </row>
    <row r="69" spans="1:5" s="167" customFormat="1" ht="12" customHeight="1" thickBot="1" x14ac:dyDescent="0.25">
      <c r="A69" s="209" t="s">
        <v>214</v>
      </c>
      <c r="B69" s="99" t="s">
        <v>215</v>
      </c>
      <c r="C69" s="155">
        <f>SUM(C70:C72)</f>
        <v>0</v>
      </c>
      <c r="D69" s="155">
        <f>SUM(D70:D72)</f>
        <v>0</v>
      </c>
      <c r="E69" s="92">
        <f>SUM(E70:E72)</f>
        <v>0</v>
      </c>
    </row>
    <row r="70" spans="1:5" s="167" customFormat="1" ht="12" customHeight="1" x14ac:dyDescent="0.2">
      <c r="A70" s="13" t="s">
        <v>243</v>
      </c>
      <c r="B70" s="168" t="s">
        <v>216</v>
      </c>
      <c r="C70" s="159"/>
      <c r="D70" s="159"/>
      <c r="E70" s="96"/>
    </row>
    <row r="71" spans="1:5" s="167" customFormat="1" ht="12" customHeight="1" x14ac:dyDescent="0.2">
      <c r="A71" s="12" t="s">
        <v>252</v>
      </c>
      <c r="B71" s="169" t="s">
        <v>217</v>
      </c>
      <c r="C71" s="159"/>
      <c r="D71" s="159"/>
      <c r="E71" s="96"/>
    </row>
    <row r="72" spans="1:5" s="167" customFormat="1" ht="12" customHeight="1" thickBot="1" x14ac:dyDescent="0.25">
      <c r="A72" s="14" t="s">
        <v>253</v>
      </c>
      <c r="B72" s="219" t="s">
        <v>360</v>
      </c>
      <c r="C72" s="159"/>
      <c r="D72" s="159"/>
      <c r="E72" s="96"/>
    </row>
    <row r="73" spans="1:5" s="167" customFormat="1" ht="12" customHeight="1" thickBot="1" x14ac:dyDescent="0.25">
      <c r="A73" s="209" t="s">
        <v>219</v>
      </c>
      <c r="B73" s="99" t="s">
        <v>220</v>
      </c>
      <c r="C73" s="155">
        <f>SUM(C74:C77)</f>
        <v>0</v>
      </c>
      <c r="D73" s="155">
        <f>SUM(D74:D77)</f>
        <v>0</v>
      </c>
      <c r="E73" s="92">
        <f>SUM(E74:E77)</f>
        <v>0</v>
      </c>
    </row>
    <row r="74" spans="1:5" s="167" customFormat="1" ht="12" customHeight="1" x14ac:dyDescent="0.2">
      <c r="A74" s="13" t="s">
        <v>100</v>
      </c>
      <c r="B74" s="350" t="s">
        <v>221</v>
      </c>
      <c r="C74" s="159"/>
      <c r="D74" s="159"/>
      <c r="E74" s="96"/>
    </row>
    <row r="75" spans="1:5" s="167" customFormat="1" ht="12" customHeight="1" x14ac:dyDescent="0.2">
      <c r="A75" s="12" t="s">
        <v>101</v>
      </c>
      <c r="B75" s="350" t="s">
        <v>493</v>
      </c>
      <c r="C75" s="159"/>
      <c r="D75" s="159"/>
      <c r="E75" s="96"/>
    </row>
    <row r="76" spans="1:5" s="167" customFormat="1" ht="12" customHeight="1" x14ac:dyDescent="0.2">
      <c r="A76" s="12" t="s">
        <v>244</v>
      </c>
      <c r="B76" s="350" t="s">
        <v>222</v>
      </c>
      <c r="C76" s="159"/>
      <c r="D76" s="159"/>
      <c r="E76" s="96"/>
    </row>
    <row r="77" spans="1:5" s="167" customFormat="1" ht="12" customHeight="1" thickBot="1" x14ac:dyDescent="0.25">
      <c r="A77" s="14" t="s">
        <v>245</v>
      </c>
      <c r="B77" s="351" t="s">
        <v>494</v>
      </c>
      <c r="C77" s="159"/>
      <c r="D77" s="159"/>
      <c r="E77" s="96"/>
    </row>
    <row r="78" spans="1:5" s="167" customFormat="1" ht="12" customHeight="1" thickBot="1" x14ac:dyDescent="0.25">
      <c r="A78" s="209" t="s">
        <v>223</v>
      </c>
      <c r="B78" s="99" t="s">
        <v>224</v>
      </c>
      <c r="C78" s="155">
        <f>SUM(C79:C80)</f>
        <v>69318628</v>
      </c>
      <c r="D78" s="155">
        <f>SUM(D79:D80)</f>
        <v>69930996</v>
      </c>
      <c r="E78" s="92">
        <f>SUM(E79:E80)</f>
        <v>69930996</v>
      </c>
    </row>
    <row r="79" spans="1:5" s="167" customFormat="1" ht="12" customHeight="1" x14ac:dyDescent="0.2">
      <c r="A79" s="13" t="s">
        <v>246</v>
      </c>
      <c r="B79" s="168" t="s">
        <v>225</v>
      </c>
      <c r="C79" s="159">
        <v>69318628</v>
      </c>
      <c r="D79" s="159">
        <v>69930996</v>
      </c>
      <c r="E79" s="96">
        <v>69930996</v>
      </c>
    </row>
    <row r="80" spans="1:5" s="167" customFormat="1" ht="12" customHeight="1" thickBot="1" x14ac:dyDescent="0.25">
      <c r="A80" s="14" t="s">
        <v>247</v>
      </c>
      <c r="B80" s="101" t="s">
        <v>226</v>
      </c>
      <c r="C80" s="159"/>
      <c r="D80" s="159"/>
      <c r="E80" s="96"/>
    </row>
    <row r="81" spans="1:5" s="167" customFormat="1" ht="12" customHeight="1" thickBot="1" x14ac:dyDescent="0.25">
      <c r="A81" s="209" t="s">
        <v>227</v>
      </c>
      <c r="B81" s="99" t="s">
        <v>228</v>
      </c>
      <c r="C81" s="155">
        <f>SUM(C82:C84)</f>
        <v>0</v>
      </c>
      <c r="D81" s="155">
        <f>SUM(D82:D84)</f>
        <v>0</v>
      </c>
      <c r="E81" s="92">
        <f>SUM(E82:E84)</f>
        <v>0</v>
      </c>
    </row>
    <row r="82" spans="1:5" s="167" customFormat="1" ht="12" customHeight="1" x14ac:dyDescent="0.2">
      <c r="A82" s="13" t="s">
        <v>248</v>
      </c>
      <c r="B82" s="168" t="s">
        <v>229</v>
      </c>
      <c r="C82" s="159"/>
      <c r="D82" s="159"/>
      <c r="E82" s="96"/>
    </row>
    <row r="83" spans="1:5" s="167" customFormat="1" ht="12" customHeight="1" x14ac:dyDescent="0.2">
      <c r="A83" s="12" t="s">
        <v>249</v>
      </c>
      <c r="B83" s="169" t="s">
        <v>230</v>
      </c>
      <c r="C83" s="159"/>
      <c r="D83" s="159"/>
      <c r="E83" s="96"/>
    </row>
    <row r="84" spans="1:5" s="167" customFormat="1" ht="12" customHeight="1" thickBot="1" x14ac:dyDescent="0.25">
      <c r="A84" s="14" t="s">
        <v>250</v>
      </c>
      <c r="B84" s="101" t="s">
        <v>495</v>
      </c>
      <c r="C84" s="159"/>
      <c r="D84" s="159"/>
      <c r="E84" s="96"/>
    </row>
    <row r="85" spans="1:5" s="167" customFormat="1" ht="12" customHeight="1" thickBot="1" x14ac:dyDescent="0.25">
      <c r="A85" s="209" t="s">
        <v>231</v>
      </c>
      <c r="B85" s="99" t="s">
        <v>251</v>
      </c>
      <c r="C85" s="155">
        <f>SUM(C86:C89)</f>
        <v>0</v>
      </c>
      <c r="D85" s="155">
        <f>SUM(D86:D89)</f>
        <v>0</v>
      </c>
      <c r="E85" s="92">
        <f>SUM(E86:E89)</f>
        <v>0</v>
      </c>
    </row>
    <row r="86" spans="1:5" s="167" customFormat="1" ht="12" customHeight="1" x14ac:dyDescent="0.2">
      <c r="A86" s="172" t="s">
        <v>232</v>
      </c>
      <c r="B86" s="168" t="s">
        <v>233</v>
      </c>
      <c r="C86" s="159"/>
      <c r="D86" s="159"/>
      <c r="E86" s="96"/>
    </row>
    <row r="87" spans="1:5" s="167" customFormat="1" ht="12" customHeight="1" x14ac:dyDescent="0.2">
      <c r="A87" s="173" t="s">
        <v>234</v>
      </c>
      <c r="B87" s="169" t="s">
        <v>235</v>
      </c>
      <c r="C87" s="159"/>
      <c r="D87" s="159"/>
      <c r="E87" s="96"/>
    </row>
    <row r="88" spans="1:5" s="167" customFormat="1" ht="12" customHeight="1" x14ac:dyDescent="0.2">
      <c r="A88" s="173" t="s">
        <v>236</v>
      </c>
      <c r="B88" s="169" t="s">
        <v>237</v>
      </c>
      <c r="C88" s="159"/>
      <c r="D88" s="159"/>
      <c r="E88" s="96"/>
    </row>
    <row r="89" spans="1:5" s="167" customFormat="1" ht="12" customHeight="1" thickBot="1" x14ac:dyDescent="0.25">
      <c r="A89" s="174" t="s">
        <v>238</v>
      </c>
      <c r="B89" s="101" t="s">
        <v>239</v>
      </c>
      <c r="C89" s="159"/>
      <c r="D89" s="159"/>
      <c r="E89" s="96"/>
    </row>
    <row r="90" spans="1:5" s="167" customFormat="1" ht="12" customHeight="1" thickBot="1" x14ac:dyDescent="0.25">
      <c r="A90" s="209" t="s">
        <v>240</v>
      </c>
      <c r="B90" s="99" t="s">
        <v>374</v>
      </c>
      <c r="C90" s="211"/>
      <c r="D90" s="211"/>
      <c r="E90" s="212"/>
    </row>
    <row r="91" spans="1:5" s="167" customFormat="1" ht="13.5" customHeight="1" thickBot="1" x14ac:dyDescent="0.25">
      <c r="A91" s="209" t="s">
        <v>242</v>
      </c>
      <c r="B91" s="99" t="s">
        <v>241</v>
      </c>
      <c r="C91" s="211"/>
      <c r="D91" s="211"/>
      <c r="E91" s="212"/>
    </row>
    <row r="92" spans="1:5" s="167" customFormat="1" ht="15.75" customHeight="1" thickBot="1" x14ac:dyDescent="0.25">
      <c r="A92" s="209" t="s">
        <v>254</v>
      </c>
      <c r="B92" s="175" t="s">
        <v>377</v>
      </c>
      <c r="C92" s="161">
        <f>+C69+C73+C78+C81+C85+C91+C90</f>
        <v>69318628</v>
      </c>
      <c r="D92" s="161">
        <f>+D69+D73+D78+D81+D85+D91+D90</f>
        <v>69930996</v>
      </c>
      <c r="E92" s="197">
        <f>+E69+E73+E78+E81+E85+E91+E90</f>
        <v>69930996</v>
      </c>
    </row>
    <row r="93" spans="1:5" s="167" customFormat="1" ht="25.5" customHeight="1" thickBot="1" x14ac:dyDescent="0.25">
      <c r="A93" s="210" t="s">
        <v>376</v>
      </c>
      <c r="B93" s="176" t="s">
        <v>378</v>
      </c>
      <c r="C93" s="161">
        <f>+C68+C92</f>
        <v>69318628</v>
      </c>
      <c r="D93" s="161">
        <f>+D68+D92</f>
        <v>69930996</v>
      </c>
      <c r="E93" s="197">
        <f>+E68+E92</f>
        <v>69930996</v>
      </c>
    </row>
    <row r="94" spans="1:5" s="167" customFormat="1" ht="15.2" customHeight="1" x14ac:dyDescent="0.2">
      <c r="A94" s="3"/>
      <c r="B94" s="4"/>
      <c r="C94" s="103"/>
    </row>
    <row r="95" spans="1:5" ht="16.5" customHeight="1" x14ac:dyDescent="0.25">
      <c r="A95" s="678" t="s">
        <v>34</v>
      </c>
      <c r="B95" s="678"/>
      <c r="C95" s="678"/>
      <c r="D95" s="678"/>
      <c r="E95" s="678"/>
    </row>
    <row r="96" spans="1:5" s="177" customFormat="1" ht="16.5" customHeight="1" thickBot="1" x14ac:dyDescent="0.3">
      <c r="A96" s="680" t="s">
        <v>103</v>
      </c>
      <c r="B96" s="680"/>
      <c r="C96" s="60"/>
      <c r="E96" s="60" t="str">
        <f>E7</f>
        <v xml:space="preserve"> Forintban!</v>
      </c>
    </row>
    <row r="97" spans="1:5" x14ac:dyDescent="0.25">
      <c r="A97" s="669" t="s">
        <v>52</v>
      </c>
      <c r="B97" s="671" t="s">
        <v>414</v>
      </c>
      <c r="C97" s="673" t="str">
        <f>+CONCATENATE(LEFT(Z_ÖSSZEFÜGGÉSEK!A6,4),". évi")</f>
        <v>2018. évi</v>
      </c>
      <c r="D97" s="674"/>
      <c r="E97" s="675"/>
    </row>
    <row r="98" spans="1:5" ht="24.75" thickBot="1" x14ac:dyDescent="0.3">
      <c r="A98" s="670"/>
      <c r="B98" s="672"/>
      <c r="C98" s="240" t="s">
        <v>412</v>
      </c>
      <c r="D98" s="239" t="s">
        <v>413</v>
      </c>
      <c r="E98" s="352" t="str">
        <f>CONCATENATE(E9)</f>
        <v>2018. XII. 31.
teljesítés</v>
      </c>
    </row>
    <row r="99" spans="1:5" s="166" customFormat="1" ht="12" customHeight="1" thickBot="1" x14ac:dyDescent="0.25">
      <c r="A99" s="25" t="s">
        <v>383</v>
      </c>
      <c r="B99" s="26" t="s">
        <v>384</v>
      </c>
      <c r="C99" s="26" t="s">
        <v>385</v>
      </c>
      <c r="D99" s="26" t="s">
        <v>387</v>
      </c>
      <c r="E99" s="251" t="s">
        <v>386</v>
      </c>
    </row>
    <row r="100" spans="1:5" ht="12" customHeight="1" thickBot="1" x14ac:dyDescent="0.3">
      <c r="A100" s="20" t="s">
        <v>6</v>
      </c>
      <c r="B100" s="24" t="s">
        <v>336</v>
      </c>
      <c r="C100" s="154">
        <f>C101+C102+C103+C104+C105+C118</f>
        <v>0</v>
      </c>
      <c r="D100" s="154">
        <f>D101+D102+D103+D104+D105+D118</f>
        <v>0</v>
      </c>
      <c r="E100" s="226">
        <f>E101+E102+E103+E104+E105+E118</f>
        <v>0</v>
      </c>
    </row>
    <row r="101" spans="1:5" ht="12" customHeight="1" x14ac:dyDescent="0.25">
      <c r="A101" s="15" t="s">
        <v>64</v>
      </c>
      <c r="B101" s="8" t="s">
        <v>35</v>
      </c>
      <c r="C101" s="233"/>
      <c r="D101" s="233"/>
      <c r="E101" s="227"/>
    </row>
    <row r="102" spans="1:5" ht="12" customHeight="1" x14ac:dyDescent="0.25">
      <c r="A102" s="12" t="s">
        <v>65</v>
      </c>
      <c r="B102" s="6" t="s">
        <v>124</v>
      </c>
      <c r="C102" s="156"/>
      <c r="D102" s="156"/>
      <c r="E102" s="93"/>
    </row>
    <row r="103" spans="1:5" ht="12" customHeight="1" x14ac:dyDescent="0.25">
      <c r="A103" s="12" t="s">
        <v>66</v>
      </c>
      <c r="B103" s="6" t="s">
        <v>92</v>
      </c>
      <c r="C103" s="158"/>
      <c r="D103" s="158"/>
      <c r="E103" s="95"/>
    </row>
    <row r="104" spans="1:5" ht="12" customHeight="1" x14ac:dyDescent="0.25">
      <c r="A104" s="12" t="s">
        <v>67</v>
      </c>
      <c r="B104" s="9" t="s">
        <v>125</v>
      </c>
      <c r="C104" s="158"/>
      <c r="D104" s="158"/>
      <c r="E104" s="95"/>
    </row>
    <row r="105" spans="1:5" ht="12" customHeight="1" x14ac:dyDescent="0.25">
      <c r="A105" s="12" t="s">
        <v>76</v>
      </c>
      <c r="B105" s="17" t="s">
        <v>126</v>
      </c>
      <c r="C105" s="158"/>
      <c r="D105" s="158"/>
      <c r="E105" s="95"/>
    </row>
    <row r="106" spans="1:5" ht="12" customHeight="1" x14ac:dyDescent="0.25">
      <c r="A106" s="12" t="s">
        <v>68</v>
      </c>
      <c r="B106" s="6" t="s">
        <v>341</v>
      </c>
      <c r="C106" s="158"/>
      <c r="D106" s="158"/>
      <c r="E106" s="95"/>
    </row>
    <row r="107" spans="1:5" ht="12" customHeight="1" x14ac:dyDescent="0.25">
      <c r="A107" s="12" t="s">
        <v>69</v>
      </c>
      <c r="B107" s="64" t="s">
        <v>340</v>
      </c>
      <c r="C107" s="158"/>
      <c r="D107" s="158"/>
      <c r="E107" s="95"/>
    </row>
    <row r="108" spans="1:5" ht="12" customHeight="1" x14ac:dyDescent="0.25">
      <c r="A108" s="12" t="s">
        <v>77</v>
      </c>
      <c r="B108" s="64" t="s">
        <v>339</v>
      </c>
      <c r="C108" s="158"/>
      <c r="D108" s="158"/>
      <c r="E108" s="95"/>
    </row>
    <row r="109" spans="1:5" ht="12" customHeight="1" x14ac:dyDescent="0.25">
      <c r="A109" s="12" t="s">
        <v>78</v>
      </c>
      <c r="B109" s="62" t="s">
        <v>257</v>
      </c>
      <c r="C109" s="158"/>
      <c r="D109" s="158"/>
      <c r="E109" s="95"/>
    </row>
    <row r="110" spans="1:5" ht="12" customHeight="1" x14ac:dyDescent="0.25">
      <c r="A110" s="12" t="s">
        <v>79</v>
      </c>
      <c r="B110" s="63" t="s">
        <v>258</v>
      </c>
      <c r="C110" s="158"/>
      <c r="D110" s="158"/>
      <c r="E110" s="95"/>
    </row>
    <row r="111" spans="1:5" ht="12" customHeight="1" x14ac:dyDescent="0.25">
      <c r="A111" s="12" t="s">
        <v>80</v>
      </c>
      <c r="B111" s="63" t="s">
        <v>259</v>
      </c>
      <c r="C111" s="158"/>
      <c r="D111" s="158"/>
      <c r="E111" s="95"/>
    </row>
    <row r="112" spans="1:5" ht="12" customHeight="1" x14ac:dyDescent="0.25">
      <c r="A112" s="12" t="s">
        <v>82</v>
      </c>
      <c r="B112" s="62" t="s">
        <v>260</v>
      </c>
      <c r="C112" s="158"/>
      <c r="D112" s="158"/>
      <c r="E112" s="95"/>
    </row>
    <row r="113" spans="1:5" ht="12" customHeight="1" x14ac:dyDescent="0.25">
      <c r="A113" s="12" t="s">
        <v>127</v>
      </c>
      <c r="B113" s="62" t="s">
        <v>261</v>
      </c>
      <c r="C113" s="158"/>
      <c r="D113" s="158"/>
      <c r="E113" s="95"/>
    </row>
    <row r="114" spans="1:5" ht="12" customHeight="1" x14ac:dyDescent="0.25">
      <c r="A114" s="12" t="s">
        <v>255</v>
      </c>
      <c r="B114" s="63" t="s">
        <v>262</v>
      </c>
      <c r="C114" s="158"/>
      <c r="D114" s="158"/>
      <c r="E114" s="95"/>
    </row>
    <row r="115" spans="1:5" ht="12" customHeight="1" x14ac:dyDescent="0.25">
      <c r="A115" s="11" t="s">
        <v>256</v>
      </c>
      <c r="B115" s="64" t="s">
        <v>263</v>
      </c>
      <c r="C115" s="158"/>
      <c r="D115" s="158"/>
      <c r="E115" s="95"/>
    </row>
    <row r="116" spans="1:5" ht="12" customHeight="1" x14ac:dyDescent="0.25">
      <c r="A116" s="12" t="s">
        <v>337</v>
      </c>
      <c r="B116" s="64" t="s">
        <v>264</v>
      </c>
      <c r="C116" s="158"/>
      <c r="D116" s="158"/>
      <c r="E116" s="95"/>
    </row>
    <row r="117" spans="1:5" ht="12" customHeight="1" x14ac:dyDescent="0.25">
      <c r="A117" s="14" t="s">
        <v>338</v>
      </c>
      <c r="B117" s="64" t="s">
        <v>265</v>
      </c>
      <c r="C117" s="158"/>
      <c r="D117" s="158"/>
      <c r="E117" s="95"/>
    </row>
    <row r="118" spans="1:5" ht="12" customHeight="1" x14ac:dyDescent="0.25">
      <c r="A118" s="12" t="s">
        <v>342</v>
      </c>
      <c r="B118" s="9" t="s">
        <v>36</v>
      </c>
      <c r="C118" s="156"/>
      <c r="D118" s="156"/>
      <c r="E118" s="93"/>
    </row>
    <row r="119" spans="1:5" ht="12" customHeight="1" x14ac:dyDescent="0.25">
      <c r="A119" s="12" t="s">
        <v>343</v>
      </c>
      <c r="B119" s="6" t="s">
        <v>345</v>
      </c>
      <c r="C119" s="156"/>
      <c r="D119" s="156"/>
      <c r="E119" s="93"/>
    </row>
    <row r="120" spans="1:5" ht="12" customHeight="1" thickBot="1" x14ac:dyDescent="0.3">
      <c r="A120" s="16" t="s">
        <v>344</v>
      </c>
      <c r="B120" s="222" t="s">
        <v>346</v>
      </c>
      <c r="C120" s="234"/>
      <c r="D120" s="234"/>
      <c r="E120" s="228"/>
    </row>
    <row r="121" spans="1:5" ht="12" customHeight="1" thickBot="1" x14ac:dyDescent="0.3">
      <c r="A121" s="220" t="s">
        <v>7</v>
      </c>
      <c r="B121" s="221" t="s">
        <v>266</v>
      </c>
      <c r="C121" s="235">
        <f>+C122+C124+C126</f>
        <v>74732740</v>
      </c>
      <c r="D121" s="155">
        <f>+D122+D124+D126</f>
        <v>79802988</v>
      </c>
      <c r="E121" s="229">
        <f>+E122+E124+E126</f>
        <v>70730457</v>
      </c>
    </row>
    <row r="122" spans="1:5" ht="12" customHeight="1" x14ac:dyDescent="0.25">
      <c r="A122" s="13" t="s">
        <v>70</v>
      </c>
      <c r="B122" s="6" t="s">
        <v>141</v>
      </c>
      <c r="C122" s="157">
        <v>66713097</v>
      </c>
      <c r="D122" s="244">
        <f>327900+11759782</f>
        <v>12087682</v>
      </c>
      <c r="E122" s="94">
        <f>327900+9576213</f>
        <v>9904113</v>
      </c>
    </row>
    <row r="123" spans="1:5" ht="12" customHeight="1" x14ac:dyDescent="0.25">
      <c r="A123" s="13" t="s">
        <v>71</v>
      </c>
      <c r="B123" s="10" t="s">
        <v>270</v>
      </c>
      <c r="C123" s="157"/>
      <c r="D123" s="244"/>
      <c r="E123" s="94"/>
    </row>
    <row r="124" spans="1:5" ht="12" customHeight="1" x14ac:dyDescent="0.25">
      <c r="A124" s="13" t="s">
        <v>72</v>
      </c>
      <c r="B124" s="10" t="s">
        <v>128</v>
      </c>
      <c r="C124" s="156">
        <v>7019643</v>
      </c>
      <c r="D124" s="245">
        <v>66715306</v>
      </c>
      <c r="E124" s="93">
        <v>60826344</v>
      </c>
    </row>
    <row r="125" spans="1:5" ht="12" customHeight="1" x14ac:dyDescent="0.25">
      <c r="A125" s="13" t="s">
        <v>73</v>
      </c>
      <c r="B125" s="10" t="s">
        <v>271</v>
      </c>
      <c r="C125" s="156"/>
      <c r="D125" s="245"/>
      <c r="E125" s="93"/>
    </row>
    <row r="126" spans="1:5" ht="12" customHeight="1" x14ac:dyDescent="0.25">
      <c r="A126" s="13" t="s">
        <v>74</v>
      </c>
      <c r="B126" s="101" t="s">
        <v>143</v>
      </c>
      <c r="C126" s="156">
        <v>1000000</v>
      </c>
      <c r="D126" s="245">
        <v>1000000</v>
      </c>
      <c r="E126" s="93">
        <v>0</v>
      </c>
    </row>
    <row r="127" spans="1:5" ht="12" customHeight="1" x14ac:dyDescent="0.25">
      <c r="A127" s="13" t="s">
        <v>81</v>
      </c>
      <c r="B127" s="100" t="s">
        <v>330</v>
      </c>
      <c r="C127" s="156"/>
      <c r="D127" s="245"/>
      <c r="E127" s="93"/>
    </row>
    <row r="128" spans="1:5" ht="12" customHeight="1" x14ac:dyDescent="0.25">
      <c r="A128" s="13" t="s">
        <v>83</v>
      </c>
      <c r="B128" s="164" t="s">
        <v>276</v>
      </c>
      <c r="C128" s="156"/>
      <c r="D128" s="245"/>
      <c r="E128" s="93"/>
    </row>
    <row r="129" spans="1:5" x14ac:dyDescent="0.25">
      <c r="A129" s="13" t="s">
        <v>129</v>
      </c>
      <c r="B129" s="63" t="s">
        <v>259</v>
      </c>
      <c r="C129" s="156"/>
      <c r="D129" s="245"/>
      <c r="E129" s="93"/>
    </row>
    <row r="130" spans="1:5" ht="12" customHeight="1" x14ac:dyDescent="0.25">
      <c r="A130" s="13" t="s">
        <v>130</v>
      </c>
      <c r="B130" s="63" t="s">
        <v>275</v>
      </c>
      <c r="C130" s="156"/>
      <c r="D130" s="245"/>
      <c r="E130" s="93"/>
    </row>
    <row r="131" spans="1:5" ht="12" customHeight="1" x14ac:dyDescent="0.25">
      <c r="A131" s="13" t="s">
        <v>131</v>
      </c>
      <c r="B131" s="63" t="s">
        <v>274</v>
      </c>
      <c r="C131" s="156"/>
      <c r="D131" s="245"/>
      <c r="E131" s="93"/>
    </row>
    <row r="132" spans="1:5" ht="12" customHeight="1" x14ac:dyDescent="0.25">
      <c r="A132" s="13" t="s">
        <v>267</v>
      </c>
      <c r="B132" s="63" t="s">
        <v>262</v>
      </c>
      <c r="C132" s="156"/>
      <c r="D132" s="245"/>
      <c r="E132" s="93"/>
    </row>
    <row r="133" spans="1:5" ht="12" customHeight="1" x14ac:dyDescent="0.25">
      <c r="A133" s="13" t="s">
        <v>268</v>
      </c>
      <c r="B133" s="63" t="s">
        <v>273</v>
      </c>
      <c r="C133" s="156"/>
      <c r="D133" s="245"/>
      <c r="E133" s="93"/>
    </row>
    <row r="134" spans="1:5" ht="16.5" thickBot="1" x14ac:dyDescent="0.3">
      <c r="A134" s="11" t="s">
        <v>269</v>
      </c>
      <c r="B134" s="63" t="s">
        <v>272</v>
      </c>
      <c r="C134" s="158"/>
      <c r="D134" s="246"/>
      <c r="E134" s="95"/>
    </row>
    <row r="135" spans="1:5" ht="12" customHeight="1" thickBot="1" x14ac:dyDescent="0.3">
      <c r="A135" s="18" t="s">
        <v>8</v>
      </c>
      <c r="B135" s="58" t="s">
        <v>347</v>
      </c>
      <c r="C135" s="155">
        <f>+C100+C121</f>
        <v>74732740</v>
      </c>
      <c r="D135" s="243">
        <f>+D100+D121</f>
        <v>79802988</v>
      </c>
      <c r="E135" s="92">
        <f>+E100+E121</f>
        <v>70730457</v>
      </c>
    </row>
    <row r="136" spans="1:5" ht="12" customHeight="1" thickBot="1" x14ac:dyDescent="0.3">
      <c r="A136" s="18" t="s">
        <v>9</v>
      </c>
      <c r="B136" s="58" t="s">
        <v>415</v>
      </c>
      <c r="C136" s="155">
        <f>+C137+C138+C139</f>
        <v>0</v>
      </c>
      <c r="D136" s="243">
        <f>+D137+D138+D139</f>
        <v>0</v>
      </c>
      <c r="E136" s="92">
        <f>+E137+E138+E139</f>
        <v>0</v>
      </c>
    </row>
    <row r="137" spans="1:5" ht="12" customHeight="1" x14ac:dyDescent="0.25">
      <c r="A137" s="13" t="s">
        <v>175</v>
      </c>
      <c r="B137" s="10" t="s">
        <v>355</v>
      </c>
      <c r="C137" s="156"/>
      <c r="D137" s="245"/>
      <c r="E137" s="93"/>
    </row>
    <row r="138" spans="1:5" ht="12" customHeight="1" x14ac:dyDescent="0.25">
      <c r="A138" s="13" t="s">
        <v>176</v>
      </c>
      <c r="B138" s="10" t="s">
        <v>356</v>
      </c>
      <c r="C138" s="156"/>
      <c r="D138" s="245"/>
      <c r="E138" s="93"/>
    </row>
    <row r="139" spans="1:5" ht="12" customHeight="1" thickBot="1" x14ac:dyDescent="0.3">
      <c r="A139" s="11" t="s">
        <v>177</v>
      </c>
      <c r="B139" s="10" t="s">
        <v>357</v>
      </c>
      <c r="C139" s="156"/>
      <c r="D139" s="245"/>
      <c r="E139" s="93"/>
    </row>
    <row r="140" spans="1:5" ht="12" customHeight="1" thickBot="1" x14ac:dyDescent="0.3">
      <c r="A140" s="18" t="s">
        <v>10</v>
      </c>
      <c r="B140" s="58" t="s">
        <v>349</v>
      </c>
      <c r="C140" s="155">
        <f>SUM(C141:C146)</f>
        <v>0</v>
      </c>
      <c r="D140" s="243">
        <f>SUM(D141:D146)</f>
        <v>0</v>
      </c>
      <c r="E140" s="92">
        <f>SUM(E141:E146)</f>
        <v>0</v>
      </c>
    </row>
    <row r="141" spans="1:5" ht="12" customHeight="1" x14ac:dyDescent="0.25">
      <c r="A141" s="13" t="s">
        <v>57</v>
      </c>
      <c r="B141" s="7" t="s">
        <v>358</v>
      </c>
      <c r="C141" s="156"/>
      <c r="D141" s="245"/>
      <c r="E141" s="93"/>
    </row>
    <row r="142" spans="1:5" ht="12" customHeight="1" x14ac:dyDescent="0.25">
      <c r="A142" s="13" t="s">
        <v>58</v>
      </c>
      <c r="B142" s="7" t="s">
        <v>350</v>
      </c>
      <c r="C142" s="156"/>
      <c r="D142" s="245"/>
      <c r="E142" s="93"/>
    </row>
    <row r="143" spans="1:5" ht="12" customHeight="1" x14ac:dyDescent="0.25">
      <c r="A143" s="13" t="s">
        <v>59</v>
      </c>
      <c r="B143" s="7" t="s">
        <v>351</v>
      </c>
      <c r="C143" s="156"/>
      <c r="D143" s="245"/>
      <c r="E143" s="93"/>
    </row>
    <row r="144" spans="1:5" ht="12" customHeight="1" x14ac:dyDescent="0.25">
      <c r="A144" s="13" t="s">
        <v>116</v>
      </c>
      <c r="B144" s="7" t="s">
        <v>352</v>
      </c>
      <c r="C144" s="156"/>
      <c r="D144" s="245"/>
      <c r="E144" s="93"/>
    </row>
    <row r="145" spans="1:9" ht="12" customHeight="1" x14ac:dyDescent="0.25">
      <c r="A145" s="13" t="s">
        <v>117</v>
      </c>
      <c r="B145" s="7" t="s">
        <v>353</v>
      </c>
      <c r="C145" s="156"/>
      <c r="D145" s="245"/>
      <c r="E145" s="93"/>
    </row>
    <row r="146" spans="1:9" ht="12" customHeight="1" thickBot="1" x14ac:dyDescent="0.3">
      <c r="A146" s="16" t="s">
        <v>118</v>
      </c>
      <c r="B146" s="362" t="s">
        <v>354</v>
      </c>
      <c r="C146" s="234"/>
      <c r="D146" s="307"/>
      <c r="E146" s="228"/>
    </row>
    <row r="147" spans="1:9" ht="12" customHeight="1" thickBot="1" x14ac:dyDescent="0.3">
      <c r="A147" s="18" t="s">
        <v>11</v>
      </c>
      <c r="B147" s="58" t="s">
        <v>362</v>
      </c>
      <c r="C147" s="161">
        <f>+C148+C149+C150+C151</f>
        <v>0</v>
      </c>
      <c r="D147" s="247">
        <f>+D148+D149+D150+D151</f>
        <v>0</v>
      </c>
      <c r="E147" s="197">
        <f>+E148+E149+E150+E151</f>
        <v>0</v>
      </c>
    </row>
    <row r="148" spans="1:9" ht="12" customHeight="1" x14ac:dyDescent="0.25">
      <c r="A148" s="13" t="s">
        <v>60</v>
      </c>
      <c r="B148" s="7" t="s">
        <v>277</v>
      </c>
      <c r="C148" s="156"/>
      <c r="D148" s="245"/>
      <c r="E148" s="93"/>
    </row>
    <row r="149" spans="1:9" ht="12" customHeight="1" x14ac:dyDescent="0.25">
      <c r="A149" s="13" t="s">
        <v>61</v>
      </c>
      <c r="B149" s="7" t="s">
        <v>278</v>
      </c>
      <c r="C149" s="156"/>
      <c r="D149" s="245"/>
      <c r="E149" s="93"/>
    </row>
    <row r="150" spans="1:9" ht="12" customHeight="1" x14ac:dyDescent="0.25">
      <c r="A150" s="13" t="s">
        <v>194</v>
      </c>
      <c r="B150" s="7" t="s">
        <v>363</v>
      </c>
      <c r="C150" s="156"/>
      <c r="D150" s="245"/>
      <c r="E150" s="93"/>
    </row>
    <row r="151" spans="1:9" ht="12" customHeight="1" thickBot="1" x14ac:dyDescent="0.3">
      <c r="A151" s="11" t="s">
        <v>195</v>
      </c>
      <c r="B151" s="5" t="s">
        <v>294</v>
      </c>
      <c r="C151" s="156"/>
      <c r="D151" s="245"/>
      <c r="E151" s="93"/>
    </row>
    <row r="152" spans="1:9" ht="12" customHeight="1" thickBot="1" x14ac:dyDescent="0.3">
      <c r="A152" s="18" t="s">
        <v>12</v>
      </c>
      <c r="B152" s="58" t="s">
        <v>364</v>
      </c>
      <c r="C152" s="236">
        <f>SUM(C153:C157)</f>
        <v>0</v>
      </c>
      <c r="D152" s="248">
        <f>SUM(D153:D157)</f>
        <v>0</v>
      </c>
      <c r="E152" s="230">
        <f>SUM(E153:E157)</f>
        <v>0</v>
      </c>
    </row>
    <row r="153" spans="1:9" ht="12" customHeight="1" x14ac:dyDescent="0.25">
      <c r="A153" s="13" t="s">
        <v>62</v>
      </c>
      <c r="B153" s="7" t="s">
        <v>359</v>
      </c>
      <c r="C153" s="156"/>
      <c r="D153" s="245"/>
      <c r="E153" s="93"/>
    </row>
    <row r="154" spans="1:9" ht="12" customHeight="1" x14ac:dyDescent="0.25">
      <c r="A154" s="13" t="s">
        <v>63</v>
      </c>
      <c r="B154" s="7" t="s">
        <v>366</v>
      </c>
      <c r="C154" s="156"/>
      <c r="D154" s="245"/>
      <c r="E154" s="93"/>
    </row>
    <row r="155" spans="1:9" ht="12" customHeight="1" x14ac:dyDescent="0.25">
      <c r="A155" s="13" t="s">
        <v>206</v>
      </c>
      <c r="B155" s="7" t="s">
        <v>361</v>
      </c>
      <c r="C155" s="156"/>
      <c r="D155" s="245"/>
      <c r="E155" s="93"/>
    </row>
    <row r="156" spans="1:9" ht="12" customHeight="1" x14ac:dyDescent="0.25">
      <c r="A156" s="13" t="s">
        <v>207</v>
      </c>
      <c r="B156" s="7" t="s">
        <v>367</v>
      </c>
      <c r="C156" s="156"/>
      <c r="D156" s="245"/>
      <c r="E156" s="93"/>
    </row>
    <row r="157" spans="1:9" ht="12" customHeight="1" thickBot="1" x14ac:dyDescent="0.3">
      <c r="A157" s="13" t="s">
        <v>365</v>
      </c>
      <c r="B157" s="7" t="s">
        <v>368</v>
      </c>
      <c r="C157" s="156"/>
      <c r="D157" s="245"/>
      <c r="E157" s="93"/>
    </row>
    <row r="158" spans="1:9" ht="12" customHeight="1" thickBot="1" x14ac:dyDescent="0.3">
      <c r="A158" s="18" t="s">
        <v>13</v>
      </c>
      <c r="B158" s="58" t="s">
        <v>369</v>
      </c>
      <c r="C158" s="237"/>
      <c r="D158" s="249"/>
      <c r="E158" s="231"/>
    </row>
    <row r="159" spans="1:9" ht="12" customHeight="1" thickBot="1" x14ac:dyDescent="0.3">
      <c r="A159" s="18" t="s">
        <v>14</v>
      </c>
      <c r="B159" s="58" t="s">
        <v>370</v>
      </c>
      <c r="C159" s="237"/>
      <c r="D159" s="249"/>
      <c r="E159" s="231"/>
    </row>
    <row r="160" spans="1:9" ht="15.2" customHeight="1" thickBot="1" x14ac:dyDescent="0.3">
      <c r="A160" s="18" t="s">
        <v>15</v>
      </c>
      <c r="B160" s="58" t="s">
        <v>372</v>
      </c>
      <c r="C160" s="238">
        <f>+C136+C140+C147+C152+C158+C159</f>
        <v>0</v>
      </c>
      <c r="D160" s="250">
        <f>+D136+D140+D147+D152+D158+D159</f>
        <v>0</v>
      </c>
      <c r="E160" s="232">
        <f>+E136+E140+E147+E152+E158+E159</f>
        <v>0</v>
      </c>
      <c r="F160" s="178"/>
      <c r="G160" s="179"/>
      <c r="H160" s="179"/>
      <c r="I160" s="179"/>
    </row>
    <row r="161" spans="1:5" s="167" customFormat="1" ht="12.95" customHeight="1" thickBot="1" x14ac:dyDescent="0.25">
      <c r="A161" s="102" t="s">
        <v>16</v>
      </c>
      <c r="B161" s="142" t="s">
        <v>371</v>
      </c>
      <c r="C161" s="238">
        <f>+C135+C160</f>
        <v>74732740</v>
      </c>
      <c r="D161" s="250">
        <f>+D135+D160</f>
        <v>79802988</v>
      </c>
      <c r="E161" s="232">
        <f>+E135+E160</f>
        <v>70730457</v>
      </c>
    </row>
    <row r="162" spans="1:5" x14ac:dyDescent="0.25">
      <c r="C162" s="609"/>
      <c r="D162" s="609"/>
    </row>
    <row r="163" spans="1:5" x14ac:dyDescent="0.25">
      <c r="A163" s="676" t="s">
        <v>279</v>
      </c>
      <c r="B163" s="676"/>
      <c r="C163" s="676"/>
      <c r="D163" s="676"/>
      <c r="E163" s="676"/>
    </row>
    <row r="164" spans="1:5" ht="15.2" customHeight="1" thickBot="1" x14ac:dyDescent="0.3">
      <c r="A164" s="668" t="s">
        <v>104</v>
      </c>
      <c r="B164" s="668"/>
      <c r="C164" s="104"/>
      <c r="E164" s="104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373</v>
      </c>
      <c r="C165" s="242">
        <f>+C68-C135</f>
        <v>-74732740</v>
      </c>
      <c r="D165" s="155">
        <f>+D68-D135</f>
        <v>-79802988</v>
      </c>
      <c r="E165" s="92">
        <f>+E68-E135</f>
        <v>-70730457</v>
      </c>
    </row>
    <row r="166" spans="1:5" ht="32.450000000000003" customHeight="1" thickBot="1" x14ac:dyDescent="0.3">
      <c r="A166" s="18" t="s">
        <v>7</v>
      </c>
      <c r="B166" s="23" t="s">
        <v>379</v>
      </c>
      <c r="C166" s="155">
        <f>+C92-C160</f>
        <v>69318628</v>
      </c>
      <c r="D166" s="155">
        <f>+D92-D160</f>
        <v>69930996</v>
      </c>
      <c r="E166" s="92">
        <f>+E92-E160</f>
        <v>69930996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abSelected="1" topLeftCell="F25" zoomScale="120" zoomScaleNormal="120" zoomScaleSheetLayoutView="130" workbookViewId="0">
      <selection activeCell="J1" sqref="J1:J33"/>
    </sheetView>
  </sheetViews>
  <sheetFormatPr defaultRowHeight="12.75" x14ac:dyDescent="0.2"/>
  <cols>
    <col min="1" max="1" width="6.83203125" style="33" customWidth="1"/>
    <col min="2" max="2" width="48" style="68" customWidth="1"/>
    <col min="3" max="5" width="15.5" style="33" customWidth="1"/>
    <col min="6" max="6" width="55.16406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9.75" customHeight="1" x14ac:dyDescent="0.2">
      <c r="A1" s="387"/>
      <c r="B1" s="393" t="s">
        <v>108</v>
      </c>
      <c r="C1" s="394"/>
      <c r="D1" s="394"/>
      <c r="E1" s="394"/>
      <c r="F1" s="394"/>
      <c r="G1" s="394"/>
      <c r="H1" s="394"/>
      <c r="I1" s="394"/>
      <c r="J1" s="684" t="str">
        <f>CONCATENATE("2.1. melléklet ",Z_ALAPADATOK!A7," ",Z_ALAPADATOK!B7," ",Z_ALAPADATOK!C7," ",Z_ALAPADATOK!D7," ",Z_ALAPADATOK!E7," ",Z_ALAPADATOK!F7," ",Z_ALAPADATOK!G7," ",Z_ALAPADATOK!H7)</f>
        <v>2.1. melléklet a 6 / 2019. ( IV.25 ) önkormányzati rendelethez</v>
      </c>
    </row>
    <row r="2" spans="1:10" ht="14.25" thickBot="1" x14ac:dyDescent="0.25">
      <c r="A2" s="387"/>
      <c r="B2" s="386"/>
      <c r="C2" s="387"/>
      <c r="D2" s="387"/>
      <c r="E2" s="387"/>
      <c r="F2" s="387"/>
      <c r="G2" s="395"/>
      <c r="H2" s="395"/>
      <c r="I2" s="395" t="e">
        <f>CONCATENATE(#REF!)</f>
        <v>#REF!</v>
      </c>
      <c r="J2" s="684"/>
    </row>
    <row r="3" spans="1:10" ht="18" customHeight="1" thickBot="1" x14ac:dyDescent="0.25">
      <c r="A3" s="681" t="s">
        <v>52</v>
      </c>
      <c r="B3" s="396" t="s">
        <v>40</v>
      </c>
      <c r="C3" s="397"/>
      <c r="D3" s="398"/>
      <c r="E3" s="398"/>
      <c r="F3" s="396" t="s">
        <v>41</v>
      </c>
      <c r="G3" s="399"/>
      <c r="H3" s="400"/>
      <c r="I3" s="401"/>
      <c r="J3" s="684"/>
    </row>
    <row r="4" spans="1:10" s="111" customFormat="1" ht="35.25" customHeight="1" thickBot="1" x14ac:dyDescent="0.25">
      <c r="A4" s="682"/>
      <c r="B4" s="389" t="s">
        <v>45</v>
      </c>
      <c r="C4" s="355" t="str">
        <f>+CONCATENATE('Z_1.1.sz.mell.'!C8," eredeti előirányzat")</f>
        <v>2018. évi eredeti előirányzat</v>
      </c>
      <c r="D4" s="353" t="str">
        <f>+CONCATENATE('Z_1.1.sz.mell.'!C8," módosított előirányzat")</f>
        <v>2018. évi módosított előirányzat</v>
      </c>
      <c r="E4" s="353" t="e">
        <f>CONCATENATE(#REF!)</f>
        <v>#REF!</v>
      </c>
      <c r="F4" s="389" t="s">
        <v>45</v>
      </c>
      <c r="G4" s="355" t="str">
        <f>+C4</f>
        <v>2018. évi eredeti előirányzat</v>
      </c>
      <c r="H4" s="355" t="str">
        <f>+D4</f>
        <v>2018. évi módosított előirányzat</v>
      </c>
      <c r="I4" s="354" t="e">
        <f>+E4</f>
        <v>#REF!</v>
      </c>
      <c r="J4" s="684"/>
    </row>
    <row r="5" spans="1:10" s="112" customFormat="1" ht="12" customHeight="1" thickBot="1" x14ac:dyDescent="0.25">
      <c r="A5" s="402" t="s">
        <v>383</v>
      </c>
      <c r="B5" s="403" t="s">
        <v>384</v>
      </c>
      <c r="C5" s="404" t="s">
        <v>385</v>
      </c>
      <c r="D5" s="407" t="s">
        <v>387</v>
      </c>
      <c r="E5" s="407" t="s">
        <v>386</v>
      </c>
      <c r="F5" s="403" t="s">
        <v>416</v>
      </c>
      <c r="G5" s="404" t="s">
        <v>389</v>
      </c>
      <c r="H5" s="404" t="s">
        <v>390</v>
      </c>
      <c r="I5" s="408" t="s">
        <v>417</v>
      </c>
      <c r="J5" s="684"/>
    </row>
    <row r="6" spans="1:10" ht="12.95" customHeight="1" thickBot="1" x14ac:dyDescent="0.25">
      <c r="A6" s="113" t="s">
        <v>6</v>
      </c>
      <c r="B6" s="114" t="s">
        <v>280</v>
      </c>
      <c r="C6" s="211">
        <f>'Z_1.1.sz.mell.'!C11</f>
        <v>111876645</v>
      </c>
      <c r="D6" s="211">
        <f>'Z_1.1.sz.mell.'!D11</f>
        <v>114402555</v>
      </c>
      <c r="E6" s="212">
        <f>'Z_1.1.sz.mell.'!E11</f>
        <v>114402555</v>
      </c>
      <c r="F6" s="114" t="s">
        <v>46</v>
      </c>
      <c r="G6" s="105">
        <f>'Z_1.1.sz.mell.'!C101</f>
        <v>27363165</v>
      </c>
      <c r="H6" s="105">
        <f>'Z_1.1.sz.mell.'!D101</f>
        <v>74069891</v>
      </c>
      <c r="I6" s="253">
        <f>'Z_1.1.sz.mell.'!E101</f>
        <v>72736266</v>
      </c>
      <c r="J6" s="684"/>
    </row>
    <row r="7" spans="1:10" ht="12.95" customHeight="1" x14ac:dyDescent="0.2">
      <c r="A7" s="115" t="s">
        <v>7</v>
      </c>
      <c r="B7" s="116" t="s">
        <v>281</v>
      </c>
      <c r="C7" s="106">
        <f>'Z_1.1.sz.mell.'!C18</f>
        <v>12514251</v>
      </c>
      <c r="D7" s="106">
        <f>'Z_1.1.sz.mell.'!D18</f>
        <v>25764285</v>
      </c>
      <c r="E7" s="106">
        <f>'Z_1.1.sz.mell.'!E18</f>
        <v>22924473</v>
      </c>
      <c r="F7" s="116" t="s">
        <v>124</v>
      </c>
      <c r="G7" s="106">
        <f>'Z_1.1.sz.mell.'!C102</f>
        <v>13266468</v>
      </c>
      <c r="H7" s="106">
        <f>'Z_1.1.sz.mell.'!D102</f>
        <v>14178242</v>
      </c>
      <c r="I7" s="254">
        <f>'Z_1.1.sz.mell.'!E102</f>
        <v>13753852</v>
      </c>
      <c r="J7" s="684"/>
    </row>
    <row r="8" spans="1:10" ht="12.95" customHeight="1" x14ac:dyDescent="0.2">
      <c r="A8" s="115" t="s">
        <v>8</v>
      </c>
      <c r="B8" s="116" t="s">
        <v>299</v>
      </c>
      <c r="C8" s="106"/>
      <c r="D8" s="106"/>
      <c r="E8" s="106"/>
      <c r="F8" s="116" t="s">
        <v>146</v>
      </c>
      <c r="G8" s="106">
        <f>'Z_1.1.sz.mell.'!C103</f>
        <v>59720661</v>
      </c>
      <c r="H8" s="106">
        <f>'Z_1.1.sz.mell.'!D103</f>
        <v>65527344</v>
      </c>
      <c r="I8" s="254">
        <f>'Z_1.1.sz.mell.'!E103</f>
        <v>54518890</v>
      </c>
      <c r="J8" s="684"/>
    </row>
    <row r="9" spans="1:10" ht="12.95" customHeight="1" x14ac:dyDescent="0.2">
      <c r="A9" s="115" t="s">
        <v>9</v>
      </c>
      <c r="B9" s="116" t="s">
        <v>115</v>
      </c>
      <c r="C9" s="106">
        <f>'Z_1.1.sz.mell.'!C32</f>
        <v>20700000</v>
      </c>
      <c r="D9" s="106">
        <f>'Z_1.1.sz.mell.'!D32</f>
        <v>20700000</v>
      </c>
      <c r="E9" s="106">
        <f>'Z_1.1.sz.mell.'!E32</f>
        <v>23262724</v>
      </c>
      <c r="F9" s="116" t="s">
        <v>125</v>
      </c>
      <c r="G9" s="106">
        <f>'Z_1.1.sz.mell.'!C104</f>
        <v>2700000</v>
      </c>
      <c r="H9" s="106">
        <f>'Z_1.1.sz.mell.'!D104</f>
        <v>5091000</v>
      </c>
      <c r="I9" s="254">
        <f>'Z_1.1.sz.mell.'!E104</f>
        <v>2537250</v>
      </c>
      <c r="J9" s="684"/>
    </row>
    <row r="10" spans="1:10" ht="12.95" customHeight="1" x14ac:dyDescent="0.2">
      <c r="A10" s="115" t="s">
        <v>10</v>
      </c>
      <c r="B10" s="117" t="s">
        <v>323</v>
      </c>
      <c r="C10" s="106">
        <f>'Z_1.1.sz.mell.'!C40</f>
        <v>7333429</v>
      </c>
      <c r="D10" s="106">
        <f>'Z_1.1.sz.mell.'!D40</f>
        <v>9933429</v>
      </c>
      <c r="E10" s="106">
        <f>'Z_1.1.sz.mell.'!E40</f>
        <v>10791305</v>
      </c>
      <c r="F10" s="116" t="s">
        <v>126</v>
      </c>
      <c r="G10" s="106">
        <f>'Z_1.1.sz.mell.'!C105</f>
        <v>10657631</v>
      </c>
      <c r="H10" s="106">
        <f>'Z_1.1.sz.mell.'!D105</f>
        <v>14384579</v>
      </c>
      <c r="I10" s="254">
        <f>'Z_1.1.sz.mell.'!E105</f>
        <v>4603018</v>
      </c>
      <c r="J10" s="684"/>
    </row>
    <row r="11" spans="1:10" ht="12.95" customHeight="1" x14ac:dyDescent="0.2">
      <c r="A11" s="115" t="s">
        <v>11</v>
      </c>
      <c r="B11" s="116" t="s">
        <v>282</v>
      </c>
      <c r="C11" s="107"/>
      <c r="D11" s="107">
        <f>'Z_1.1.sz.mell.'!D58</f>
        <v>4046021</v>
      </c>
      <c r="E11" s="107">
        <f>'Z_1.1.sz.mell.'!E58</f>
        <v>4673557</v>
      </c>
      <c r="F11" s="116" t="s">
        <v>36</v>
      </c>
      <c r="G11" s="106"/>
      <c r="H11" s="106"/>
      <c r="I11" s="254"/>
      <c r="J11" s="684"/>
    </row>
    <row r="12" spans="1:10" ht="12.95" customHeight="1" x14ac:dyDescent="0.2">
      <c r="A12" s="115" t="s">
        <v>12</v>
      </c>
      <c r="B12" s="116" t="s">
        <v>380</v>
      </c>
      <c r="C12" s="106"/>
      <c r="D12" s="106"/>
      <c r="E12" s="106"/>
      <c r="F12" s="30"/>
      <c r="G12" s="106"/>
      <c r="H12" s="106"/>
      <c r="I12" s="254"/>
      <c r="J12" s="684"/>
    </row>
    <row r="13" spans="1:10" ht="12.95" customHeight="1" x14ac:dyDescent="0.2">
      <c r="A13" s="115" t="s">
        <v>13</v>
      </c>
      <c r="B13" s="30" t="s">
        <v>822</v>
      </c>
      <c r="C13" s="106"/>
      <c r="D13" s="106"/>
      <c r="E13" s="106"/>
      <c r="F13" s="30"/>
      <c r="G13" s="106"/>
      <c r="H13" s="106"/>
      <c r="I13" s="254"/>
      <c r="J13" s="684"/>
    </row>
    <row r="14" spans="1:10" ht="12.95" customHeight="1" x14ac:dyDescent="0.2">
      <c r="A14" s="115" t="s">
        <v>14</v>
      </c>
      <c r="B14" s="180"/>
      <c r="C14" s="107"/>
      <c r="D14" s="107"/>
      <c r="E14" s="107"/>
      <c r="F14" s="30"/>
      <c r="G14" s="106"/>
      <c r="H14" s="106"/>
      <c r="I14" s="254"/>
      <c r="J14" s="684"/>
    </row>
    <row r="15" spans="1:10" ht="12.95" customHeight="1" x14ac:dyDescent="0.2">
      <c r="A15" s="115" t="s">
        <v>15</v>
      </c>
      <c r="B15" s="30"/>
      <c r="C15" s="106"/>
      <c r="D15" s="106"/>
      <c r="E15" s="106"/>
      <c r="F15" s="30"/>
      <c r="G15" s="106"/>
      <c r="H15" s="106"/>
      <c r="I15" s="254"/>
      <c r="J15" s="684"/>
    </row>
    <row r="16" spans="1:10" ht="12.95" customHeight="1" x14ac:dyDescent="0.2">
      <c r="A16" s="115" t="s">
        <v>16</v>
      </c>
      <c r="B16" s="30"/>
      <c r="C16" s="106"/>
      <c r="D16" s="106"/>
      <c r="E16" s="106"/>
      <c r="F16" s="30"/>
      <c r="G16" s="106"/>
      <c r="H16" s="106"/>
      <c r="I16" s="254"/>
      <c r="J16" s="684"/>
    </row>
    <row r="17" spans="1:10" ht="12.95" customHeight="1" thickBot="1" x14ac:dyDescent="0.25">
      <c r="A17" s="115" t="s">
        <v>17</v>
      </c>
      <c r="B17" s="35"/>
      <c r="C17" s="108"/>
      <c r="D17" s="108"/>
      <c r="E17" s="108"/>
      <c r="F17" s="30"/>
      <c r="G17" s="108"/>
      <c r="H17" s="108"/>
      <c r="I17" s="255"/>
      <c r="J17" s="684"/>
    </row>
    <row r="18" spans="1:10" ht="21.75" thickBot="1" x14ac:dyDescent="0.25">
      <c r="A18" s="118" t="s">
        <v>18</v>
      </c>
      <c r="B18" s="59" t="s">
        <v>381</v>
      </c>
      <c r="C18" s="109">
        <f>C6+C7+C9+C10+C11+C13+C14+C15+C16+C17</f>
        <v>152424325</v>
      </c>
      <c r="D18" s="109">
        <f>D6+D7+D9+D10+D11+D13+D14+D15+D16+D17</f>
        <v>174846290</v>
      </c>
      <c r="E18" s="109">
        <f>E6+E7+E9+E10+E11+E13+E14+E15+E16+E17</f>
        <v>176054614</v>
      </c>
      <c r="F18" s="59" t="s">
        <v>285</v>
      </c>
      <c r="G18" s="109">
        <f>SUM(G6:G17)</f>
        <v>113707925</v>
      </c>
      <c r="H18" s="109">
        <f>SUM(H6:H17)</f>
        <v>173251056</v>
      </c>
      <c r="I18" s="136">
        <f>SUM(I6:I17)</f>
        <v>148149276</v>
      </c>
      <c r="J18" s="684"/>
    </row>
    <row r="19" spans="1:10" ht="12.95" customHeight="1" x14ac:dyDescent="0.2">
      <c r="A19" s="119" t="s">
        <v>19</v>
      </c>
      <c r="B19" s="120" t="s">
        <v>814</v>
      </c>
      <c r="C19" s="224">
        <f>+C20+C21+C22+C23</f>
        <v>70302024</v>
      </c>
      <c r="D19" s="224">
        <f>+D20+D21+D22+D23</f>
        <v>70914392</v>
      </c>
      <c r="E19" s="224">
        <f>+E20+E21+E22+E23</f>
        <v>70914392</v>
      </c>
      <c r="F19" s="121" t="s">
        <v>132</v>
      </c>
      <c r="G19" s="110"/>
      <c r="H19" s="110"/>
      <c r="I19" s="256"/>
      <c r="J19" s="684"/>
    </row>
    <row r="20" spans="1:10" ht="12.95" customHeight="1" x14ac:dyDescent="0.2">
      <c r="A20" s="122" t="s">
        <v>20</v>
      </c>
      <c r="B20" s="121" t="s">
        <v>139</v>
      </c>
      <c r="C20" s="48">
        <f>'Z_1.1.sz.mell.'!C78</f>
        <v>70302024</v>
      </c>
      <c r="D20" s="48">
        <f>'Z_1.1.sz.mell.'!D78</f>
        <v>70914392</v>
      </c>
      <c r="E20" s="48">
        <f>'Z_1.1.sz.mell.'!E78</f>
        <v>70914392</v>
      </c>
      <c r="F20" s="121" t="s">
        <v>284</v>
      </c>
      <c r="G20" s="48"/>
      <c r="H20" s="48"/>
      <c r="I20" s="257"/>
      <c r="J20" s="684"/>
    </row>
    <row r="21" spans="1:10" ht="12.95" customHeight="1" x14ac:dyDescent="0.2">
      <c r="A21" s="122" t="s">
        <v>21</v>
      </c>
      <c r="B21" s="121" t="s">
        <v>140</v>
      </c>
      <c r="C21" s="48"/>
      <c r="D21" s="48"/>
      <c r="E21" s="48"/>
      <c r="F21" s="121" t="s">
        <v>106</v>
      </c>
      <c r="G21" s="48"/>
      <c r="H21" s="48"/>
      <c r="I21" s="257"/>
      <c r="J21" s="684"/>
    </row>
    <row r="22" spans="1:10" ht="12.95" customHeight="1" x14ac:dyDescent="0.2">
      <c r="A22" s="122" t="s">
        <v>22</v>
      </c>
      <c r="B22" s="121" t="s">
        <v>144</v>
      </c>
      <c r="C22" s="48"/>
      <c r="D22" s="48"/>
      <c r="E22" s="48"/>
      <c r="F22" s="121" t="s">
        <v>107</v>
      </c>
      <c r="G22" s="48"/>
      <c r="H22" s="48"/>
      <c r="I22" s="257"/>
      <c r="J22" s="684"/>
    </row>
    <row r="23" spans="1:10" ht="12.95" customHeight="1" x14ac:dyDescent="0.2">
      <c r="A23" s="122" t="s">
        <v>23</v>
      </c>
      <c r="B23" s="121" t="s">
        <v>145</v>
      </c>
      <c r="C23" s="48"/>
      <c r="D23" s="48"/>
      <c r="E23" s="48"/>
      <c r="F23" s="120" t="s">
        <v>147</v>
      </c>
      <c r="G23" s="48"/>
      <c r="H23" s="48"/>
      <c r="I23" s="257"/>
      <c r="J23" s="684"/>
    </row>
    <row r="24" spans="1:10" ht="12.95" customHeight="1" x14ac:dyDescent="0.2">
      <c r="A24" s="115" t="s">
        <v>24</v>
      </c>
      <c r="B24" s="121" t="s">
        <v>283</v>
      </c>
      <c r="C24" s="48"/>
      <c r="D24" s="48"/>
      <c r="E24" s="48"/>
      <c r="F24" s="121" t="s">
        <v>133</v>
      </c>
      <c r="G24" s="48"/>
      <c r="H24" s="48"/>
      <c r="I24" s="257"/>
      <c r="J24" s="684"/>
    </row>
    <row r="25" spans="1:10" ht="12.95" customHeight="1" x14ac:dyDescent="0.2">
      <c r="A25" s="115" t="s">
        <v>25</v>
      </c>
      <c r="B25" s="121" t="s">
        <v>813</v>
      </c>
      <c r="C25" s="123">
        <f>C26+C27+C28</f>
        <v>0</v>
      </c>
      <c r="D25" s="123">
        <f>D26+D27+D28</f>
        <v>0</v>
      </c>
      <c r="E25" s="123">
        <f>E26+E27+E28</f>
        <v>0</v>
      </c>
      <c r="F25" s="114" t="s">
        <v>363</v>
      </c>
      <c r="G25" s="48"/>
      <c r="H25" s="48"/>
      <c r="I25" s="257"/>
      <c r="J25" s="684"/>
    </row>
    <row r="26" spans="1:10" ht="12.95" customHeight="1" x14ac:dyDescent="0.2">
      <c r="A26" s="151" t="s">
        <v>26</v>
      </c>
      <c r="B26" s="120" t="s">
        <v>155</v>
      </c>
      <c r="C26" s="110"/>
      <c r="D26" s="110"/>
      <c r="E26" s="110"/>
      <c r="F26" s="116" t="s">
        <v>369</v>
      </c>
      <c r="G26" s="110"/>
      <c r="H26" s="110"/>
      <c r="I26" s="256"/>
      <c r="J26" s="684"/>
    </row>
    <row r="27" spans="1:10" ht="12.95" customHeight="1" x14ac:dyDescent="0.2">
      <c r="A27" s="115" t="s">
        <v>27</v>
      </c>
      <c r="B27" s="121" t="s">
        <v>374</v>
      </c>
      <c r="C27" s="48"/>
      <c r="D27" s="48"/>
      <c r="E27" s="48"/>
      <c r="F27" s="116" t="s">
        <v>370</v>
      </c>
      <c r="G27" s="48"/>
      <c r="H27" s="48"/>
      <c r="I27" s="257"/>
      <c r="J27" s="684"/>
    </row>
    <row r="28" spans="1:10" ht="12.95" customHeight="1" thickBot="1" x14ac:dyDescent="0.25">
      <c r="A28" s="151" t="s">
        <v>28</v>
      </c>
      <c r="B28" s="120" t="s">
        <v>241</v>
      </c>
      <c r="C28" s="110"/>
      <c r="D28" s="110"/>
      <c r="E28" s="110"/>
      <c r="F28" s="182"/>
      <c r="G28" s="110"/>
      <c r="H28" s="110"/>
      <c r="I28" s="256"/>
      <c r="J28" s="684"/>
    </row>
    <row r="29" spans="1:10" ht="24" customHeight="1" thickBot="1" x14ac:dyDescent="0.25">
      <c r="A29" s="118" t="s">
        <v>29</v>
      </c>
      <c r="B29" s="59" t="s">
        <v>816</v>
      </c>
      <c r="C29" s="109">
        <f>+C19+C25</f>
        <v>70302024</v>
      </c>
      <c r="D29" s="109">
        <f>+D19+D25</f>
        <v>70914392</v>
      </c>
      <c r="E29" s="252">
        <f>+E19+E25</f>
        <v>70914392</v>
      </c>
      <c r="F29" s="59" t="s">
        <v>815</v>
      </c>
      <c r="G29" s="109">
        <f>SUM(G19:G28)</f>
        <v>0</v>
      </c>
      <c r="H29" s="109">
        <f>SUM(H19:H28)</f>
        <v>0</v>
      </c>
      <c r="I29" s="136">
        <f>SUM(I19:I28)</f>
        <v>0</v>
      </c>
      <c r="J29" s="684"/>
    </row>
    <row r="30" spans="1:10" ht="13.5" thickBot="1" x14ac:dyDescent="0.25">
      <c r="A30" s="118" t="s">
        <v>30</v>
      </c>
      <c r="B30" s="124" t="s">
        <v>382</v>
      </c>
      <c r="C30" s="317">
        <f>+C18+C29</f>
        <v>222726349</v>
      </c>
      <c r="D30" s="317">
        <f>+D18+D29</f>
        <v>245760682</v>
      </c>
      <c r="E30" s="318">
        <f>+E18+E29</f>
        <v>246969006</v>
      </c>
      <c r="F30" s="124"/>
      <c r="G30" s="317">
        <f>+G18+G29</f>
        <v>113707925</v>
      </c>
      <c r="H30" s="317">
        <f>+H18+H29</f>
        <v>173251056</v>
      </c>
      <c r="I30" s="318">
        <f>+I18+I29</f>
        <v>148149276</v>
      </c>
      <c r="J30" s="684"/>
    </row>
    <row r="31" spans="1:10" ht="13.5" thickBot="1" x14ac:dyDescent="0.25">
      <c r="A31" s="118" t="s">
        <v>31</v>
      </c>
      <c r="B31" s="124" t="s">
        <v>110</v>
      </c>
      <c r="C31" s="317" t="str">
        <f>IF(C18-G18&lt;0,G18-C18,"-")</f>
        <v>-</v>
      </c>
      <c r="D31" s="317" t="str">
        <f>IF(D18-H18&lt;0,H18-D18,"-")</f>
        <v>-</v>
      </c>
      <c r="E31" s="318" t="str">
        <f>IF(E18-I18&lt;0,I18-E18,"-")</f>
        <v>-</v>
      </c>
      <c r="F31" s="124" t="s">
        <v>111</v>
      </c>
      <c r="G31" s="317">
        <f>IF(C18-G18&gt;0,C18-G18,"-")</f>
        <v>38716400</v>
      </c>
      <c r="H31" s="317">
        <f>IF(D18-H18&gt;0,D18-H18,"-")</f>
        <v>1595234</v>
      </c>
      <c r="I31" s="318">
        <f>IF(E18-I18&gt;0,E18-I18,"-")</f>
        <v>27905338</v>
      </c>
      <c r="J31" s="684"/>
    </row>
    <row r="32" spans="1:10" ht="13.5" thickBot="1" x14ac:dyDescent="0.25">
      <c r="A32" s="118" t="s">
        <v>32</v>
      </c>
      <c r="B32" s="124" t="s">
        <v>491</v>
      </c>
      <c r="C32" s="317" t="str">
        <f>IF(C30-G30&lt;0,G30-C30,"-")</f>
        <v>-</v>
      </c>
      <c r="D32" s="317" t="str">
        <f>IF(D30-H30&lt;0,H30-D30,"-")</f>
        <v>-</v>
      </c>
      <c r="E32" s="317" t="str">
        <f>IF(E30-I30&lt;0,I30-E30,"-")</f>
        <v>-</v>
      </c>
      <c r="F32" s="124" t="s">
        <v>492</v>
      </c>
      <c r="G32" s="317">
        <f>IF(C30-G30&gt;0,C30-G30,"-")</f>
        <v>109018424</v>
      </c>
      <c r="H32" s="317">
        <f>IF(D30-H30&gt;0,D30-H30,"-")</f>
        <v>72509626</v>
      </c>
      <c r="I32" s="317">
        <f>IF(E30-I30&gt;0,E30-I30,"-")</f>
        <v>98819730</v>
      </c>
      <c r="J32" s="684"/>
    </row>
    <row r="33" spans="2:10" ht="18.75" x14ac:dyDescent="0.2">
      <c r="B33" s="683"/>
      <c r="C33" s="683"/>
      <c r="D33" s="683"/>
      <c r="E33" s="683"/>
      <c r="F33" s="683"/>
      <c r="J33" s="684"/>
    </row>
  </sheetData>
  <sheetProtection sheet="1"/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5" orientation="landscape" verticalDpi="300" r:id="rId1"/>
  <headerFooter alignWithMargins="0">
    <oddHeader xml:space="preserve">&amp;R&amp;"Times New Roman CE,Félkövér dőlt"&amp;11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C8" zoomScale="120" zoomScaleNormal="120" zoomScaleSheetLayoutView="115" workbookViewId="0">
      <selection activeCell="L20" sqref="L20"/>
    </sheetView>
  </sheetViews>
  <sheetFormatPr defaultRowHeight="12.75" x14ac:dyDescent="0.2"/>
  <cols>
    <col min="1" max="1" width="6.83203125" style="33" customWidth="1"/>
    <col min="2" max="2" width="49.83203125" style="68" customWidth="1"/>
    <col min="3" max="5" width="15.5" style="33" customWidth="1"/>
    <col min="6" max="6" width="49.832031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1.5" x14ac:dyDescent="0.2">
      <c r="A1" s="387"/>
      <c r="B1" s="393" t="s">
        <v>109</v>
      </c>
      <c r="C1" s="394"/>
      <c r="D1" s="394"/>
      <c r="E1" s="394"/>
      <c r="F1" s="394"/>
      <c r="G1" s="394"/>
      <c r="H1" s="394"/>
      <c r="I1" s="394"/>
      <c r="J1" s="684" t="str">
        <f>CONCATENATE("2.2. melléklet ",Z_ALAPADATOK!A7," ",Z_ALAPADATOK!B7," ",Z_ALAPADATOK!C7," ",Z_ALAPADATOK!D7," ",Z_ALAPADATOK!E7," ",Z_ALAPADATOK!F7," ",Z_ALAPADATOK!G7," ",Z_ALAPADATOK!H7)</f>
        <v>2.2. melléklet a 6 / 2019. ( IV.25 ) önkormányzati rendelethez</v>
      </c>
    </row>
    <row r="2" spans="1:10" ht="14.25" thickBot="1" x14ac:dyDescent="0.25">
      <c r="A2" s="387"/>
      <c r="B2" s="386"/>
      <c r="C2" s="387"/>
      <c r="D2" s="387"/>
      <c r="E2" s="387"/>
      <c r="F2" s="387"/>
      <c r="G2" s="395"/>
      <c r="H2" s="395"/>
      <c r="I2" s="395" t="e">
        <f>'Z_2.1.sz.mell'!I2</f>
        <v>#REF!</v>
      </c>
      <c r="J2" s="684"/>
    </row>
    <row r="3" spans="1:10" ht="13.5" customHeight="1" thickBot="1" x14ac:dyDescent="0.25">
      <c r="A3" s="681" t="s">
        <v>52</v>
      </c>
      <c r="B3" s="396" t="s">
        <v>40</v>
      </c>
      <c r="C3" s="397"/>
      <c r="D3" s="398"/>
      <c r="E3" s="398"/>
      <c r="F3" s="396" t="s">
        <v>41</v>
      </c>
      <c r="G3" s="399"/>
      <c r="H3" s="400"/>
      <c r="I3" s="401"/>
      <c r="J3" s="684"/>
    </row>
    <row r="4" spans="1:10" s="111" customFormat="1" ht="36.75" thickBot="1" x14ac:dyDescent="0.25">
      <c r="A4" s="682"/>
      <c r="B4" s="389" t="s">
        <v>45</v>
      </c>
      <c r="C4" s="355" t="str">
        <f>+CONCATENATE('Z_1.1.sz.mell.'!C8," eredeti előirányzat")</f>
        <v>2018. évi eredeti előirányzat</v>
      </c>
      <c r="D4" s="353" t="str">
        <f>+CONCATENATE('Z_1.1.sz.mell.'!C8," módosított előirányzat")</f>
        <v>2018. évi módosított előirányzat</v>
      </c>
      <c r="E4" s="353" t="e">
        <f>CONCATENATE('Z_2.1.sz.mell'!E4)</f>
        <v>#REF!</v>
      </c>
      <c r="F4" s="389" t="s">
        <v>45</v>
      </c>
      <c r="G4" s="355" t="str">
        <f>+C4</f>
        <v>2018. évi eredeti előirányzat</v>
      </c>
      <c r="H4" s="355" t="str">
        <f>+D4</f>
        <v>2018. évi módosított előirányzat</v>
      </c>
      <c r="I4" s="354" t="e">
        <f>+E4</f>
        <v>#REF!</v>
      </c>
      <c r="J4" s="684"/>
    </row>
    <row r="5" spans="1:10" s="111" customFormat="1" ht="13.5" thickBot="1" x14ac:dyDescent="0.25">
      <c r="A5" s="402" t="s">
        <v>383</v>
      </c>
      <c r="B5" s="403" t="s">
        <v>384</v>
      </c>
      <c r="C5" s="404" t="s">
        <v>385</v>
      </c>
      <c r="D5" s="404" t="s">
        <v>387</v>
      </c>
      <c r="E5" s="404" t="s">
        <v>386</v>
      </c>
      <c r="F5" s="403" t="s">
        <v>388</v>
      </c>
      <c r="G5" s="404" t="s">
        <v>389</v>
      </c>
      <c r="H5" s="405" t="s">
        <v>390</v>
      </c>
      <c r="I5" s="406" t="s">
        <v>417</v>
      </c>
      <c r="J5" s="684"/>
    </row>
    <row r="6" spans="1:10" ht="12.95" customHeight="1" x14ac:dyDescent="0.2">
      <c r="A6" s="113" t="s">
        <v>6</v>
      </c>
      <c r="B6" s="114" t="s">
        <v>286</v>
      </c>
      <c r="C6" s="105">
        <f>'Z_1.1.sz.mell.'!C25</f>
        <v>9041731</v>
      </c>
      <c r="D6" s="105">
        <f>'Z_1.1.sz.mell.'!D25</f>
        <v>11497731</v>
      </c>
      <c r="E6" s="105">
        <f>'Z_1.1.sz.mell.'!E25</f>
        <v>11497731</v>
      </c>
      <c r="F6" s="114" t="s">
        <v>141</v>
      </c>
      <c r="G6" s="105">
        <f>'Z_1.1.sz.mell.'!C122</f>
        <v>66713097</v>
      </c>
      <c r="H6" s="262">
        <f>'Z_1.1.sz.mell.'!D122</f>
        <v>12087682</v>
      </c>
      <c r="I6" s="134">
        <f>'Z_1.1.sz.mell.'!E122</f>
        <v>9904113</v>
      </c>
      <c r="J6" s="684"/>
    </row>
    <row r="7" spans="1:10" x14ac:dyDescent="0.2">
      <c r="A7" s="115" t="s">
        <v>7</v>
      </c>
      <c r="B7" s="116" t="s">
        <v>287</v>
      </c>
      <c r="C7" s="106"/>
      <c r="D7" s="106"/>
      <c r="E7" s="106"/>
      <c r="F7" s="116" t="s">
        <v>292</v>
      </c>
      <c r="G7" s="106"/>
      <c r="H7" s="106"/>
      <c r="I7" s="254"/>
      <c r="J7" s="684"/>
    </row>
    <row r="8" spans="1:10" ht="12.95" customHeight="1" x14ac:dyDescent="0.2">
      <c r="A8" s="115" t="s">
        <v>8</v>
      </c>
      <c r="B8" s="116" t="s">
        <v>1</v>
      </c>
      <c r="C8" s="106"/>
      <c r="D8" s="106"/>
      <c r="E8" s="106"/>
      <c r="F8" s="116" t="s">
        <v>128</v>
      </c>
      <c r="G8" s="106">
        <f>'Z_1.1.sz.mell.'!C124</f>
        <v>7019643</v>
      </c>
      <c r="H8" s="106">
        <f>'Z_1.1.sz.mell.'!D124</f>
        <v>66715306</v>
      </c>
      <c r="I8" s="254">
        <f>'Z_1.1.sz.mell.'!E124</f>
        <v>60826344</v>
      </c>
      <c r="J8" s="684"/>
    </row>
    <row r="9" spans="1:10" ht="12.95" customHeight="1" x14ac:dyDescent="0.2">
      <c r="A9" s="115" t="s">
        <v>9</v>
      </c>
      <c r="B9" s="116" t="s">
        <v>288</v>
      </c>
      <c r="C9" s="106"/>
      <c r="D9" s="106"/>
      <c r="E9" s="106"/>
      <c r="F9" s="116" t="s">
        <v>293</v>
      </c>
      <c r="G9" s="106"/>
      <c r="H9" s="106"/>
      <c r="I9" s="254"/>
      <c r="J9" s="684"/>
    </row>
    <row r="10" spans="1:10" ht="12.75" customHeight="1" x14ac:dyDescent="0.2">
      <c r="A10" s="115" t="s">
        <v>10</v>
      </c>
      <c r="B10" s="116" t="s">
        <v>289</v>
      </c>
      <c r="C10" s="106"/>
      <c r="D10" s="106"/>
      <c r="E10" s="106"/>
      <c r="F10" s="116" t="s">
        <v>143</v>
      </c>
      <c r="G10" s="106">
        <f>'Z_1.1.sz.mell.'!C126</f>
        <v>1000000</v>
      </c>
      <c r="H10" s="106">
        <f>'Z_1.1.sz.mell.'!D126</f>
        <v>1000000</v>
      </c>
      <c r="I10" s="254"/>
      <c r="J10" s="684"/>
    </row>
    <row r="11" spans="1:10" ht="12.95" customHeight="1" x14ac:dyDescent="0.2">
      <c r="A11" s="115" t="s">
        <v>11</v>
      </c>
      <c r="B11" s="116" t="s">
        <v>290</v>
      </c>
      <c r="C11" s="107"/>
      <c r="D11" s="107"/>
      <c r="E11" s="107"/>
      <c r="F11" s="183"/>
      <c r="G11" s="106"/>
      <c r="H11" s="106"/>
      <c r="I11" s="254"/>
      <c r="J11" s="684"/>
    </row>
    <row r="12" spans="1:10" ht="12.95" customHeight="1" x14ac:dyDescent="0.2">
      <c r="A12" s="115" t="s">
        <v>12</v>
      </c>
      <c r="B12" s="30"/>
      <c r="C12" s="106"/>
      <c r="D12" s="106"/>
      <c r="E12" s="106"/>
      <c r="F12" s="183"/>
      <c r="G12" s="106"/>
      <c r="H12" s="106"/>
      <c r="I12" s="254"/>
      <c r="J12" s="684"/>
    </row>
    <row r="13" spans="1:10" ht="12.95" customHeight="1" x14ac:dyDescent="0.2">
      <c r="A13" s="115" t="s">
        <v>13</v>
      </c>
      <c r="B13" s="30"/>
      <c r="C13" s="106"/>
      <c r="D13" s="106"/>
      <c r="E13" s="106"/>
      <c r="F13" s="184"/>
      <c r="G13" s="106"/>
      <c r="H13" s="106"/>
      <c r="I13" s="254"/>
      <c r="J13" s="684"/>
    </row>
    <row r="14" spans="1:10" ht="12.95" customHeight="1" x14ac:dyDescent="0.2">
      <c r="A14" s="115" t="s">
        <v>14</v>
      </c>
      <c r="B14" s="181"/>
      <c r="C14" s="107"/>
      <c r="D14" s="107"/>
      <c r="E14" s="107"/>
      <c r="F14" s="183"/>
      <c r="G14" s="106"/>
      <c r="H14" s="106"/>
      <c r="I14" s="254"/>
      <c r="J14" s="684"/>
    </row>
    <row r="15" spans="1:10" x14ac:dyDescent="0.2">
      <c r="A15" s="115" t="s">
        <v>15</v>
      </c>
      <c r="B15" s="30"/>
      <c r="C15" s="107"/>
      <c r="D15" s="107"/>
      <c r="E15" s="107"/>
      <c r="F15" s="183"/>
      <c r="G15" s="106"/>
      <c r="H15" s="106"/>
      <c r="I15" s="254"/>
      <c r="J15" s="684"/>
    </row>
    <row r="16" spans="1:10" ht="12.95" customHeight="1" thickBot="1" x14ac:dyDescent="0.25">
      <c r="A16" s="151" t="s">
        <v>16</v>
      </c>
      <c r="B16" s="182"/>
      <c r="C16" s="153"/>
      <c r="D16" s="153"/>
      <c r="E16" s="153"/>
      <c r="F16" s="152" t="s">
        <v>36</v>
      </c>
      <c r="G16" s="260"/>
      <c r="H16" s="260"/>
      <c r="I16" s="258"/>
      <c r="J16" s="684"/>
    </row>
    <row r="17" spans="1:10" ht="15.95" customHeight="1" thickBot="1" x14ac:dyDescent="0.25">
      <c r="A17" s="118" t="s">
        <v>17</v>
      </c>
      <c r="B17" s="59" t="s">
        <v>300</v>
      </c>
      <c r="C17" s="109">
        <f>+C6+C8+C9+C11+C12+C13+C14+C15+C16</f>
        <v>9041731</v>
      </c>
      <c r="D17" s="109">
        <f>+D6+D8+D9+D11+D12+D13+D14+D15+D16</f>
        <v>11497731</v>
      </c>
      <c r="E17" s="109">
        <f>+E6+E8+E9+E11+E12+E13+E14+E15+E16</f>
        <v>11497731</v>
      </c>
      <c r="F17" s="59" t="s">
        <v>301</v>
      </c>
      <c r="G17" s="109">
        <f>+G6+G8+G10+G11+G12+G13+G14+G15+G16</f>
        <v>74732740</v>
      </c>
      <c r="H17" s="109">
        <f>+H6+H8+H10+H11+H12+H13+H14+H15+H16</f>
        <v>79802988</v>
      </c>
      <c r="I17" s="136">
        <f>+I6+I8+I10+I11+I12+I13+I14+I15+I16</f>
        <v>70730457</v>
      </c>
      <c r="J17" s="684"/>
    </row>
    <row r="18" spans="1:10" ht="12.95" customHeight="1" x14ac:dyDescent="0.2">
      <c r="A18" s="113" t="s">
        <v>18</v>
      </c>
      <c r="B18" s="126" t="s">
        <v>159</v>
      </c>
      <c r="C18" s="133">
        <f>+C19+C20+C21+C22+C23</f>
        <v>0</v>
      </c>
      <c r="D18" s="133">
        <f>+D19+D20+D21+D22+D23</f>
        <v>0</v>
      </c>
      <c r="E18" s="133">
        <f>+E19+E20+E21+E22+E23</f>
        <v>0</v>
      </c>
      <c r="F18" s="121" t="s">
        <v>132</v>
      </c>
      <c r="G18" s="261"/>
      <c r="H18" s="261"/>
      <c r="I18" s="259"/>
      <c r="J18" s="684"/>
    </row>
    <row r="19" spans="1:10" ht="12.95" customHeight="1" x14ac:dyDescent="0.2">
      <c r="A19" s="115" t="s">
        <v>19</v>
      </c>
      <c r="B19" s="127" t="s">
        <v>148</v>
      </c>
      <c r="C19" s="48"/>
      <c r="D19" s="48"/>
      <c r="E19" s="48"/>
      <c r="F19" s="121" t="s">
        <v>135</v>
      </c>
      <c r="G19" s="48"/>
      <c r="H19" s="48"/>
      <c r="I19" s="257"/>
      <c r="J19" s="684"/>
    </row>
    <row r="20" spans="1:10" ht="12.95" customHeight="1" x14ac:dyDescent="0.2">
      <c r="A20" s="113" t="s">
        <v>20</v>
      </c>
      <c r="B20" s="127" t="s">
        <v>149</v>
      </c>
      <c r="C20" s="48"/>
      <c r="D20" s="48"/>
      <c r="E20" s="48"/>
      <c r="F20" s="121" t="s">
        <v>106</v>
      </c>
      <c r="G20" s="48"/>
      <c r="H20" s="48"/>
      <c r="I20" s="257"/>
      <c r="J20" s="684"/>
    </row>
    <row r="21" spans="1:10" ht="12.95" customHeight="1" x14ac:dyDescent="0.2">
      <c r="A21" s="115" t="s">
        <v>21</v>
      </c>
      <c r="B21" s="127" t="s">
        <v>150</v>
      </c>
      <c r="C21" s="48"/>
      <c r="D21" s="48"/>
      <c r="E21" s="48"/>
      <c r="F21" s="121" t="s">
        <v>107</v>
      </c>
      <c r="G21" s="48"/>
      <c r="H21" s="48"/>
      <c r="I21" s="257"/>
      <c r="J21" s="684"/>
    </row>
    <row r="22" spans="1:10" ht="12.95" customHeight="1" x14ac:dyDescent="0.2">
      <c r="A22" s="113" t="s">
        <v>22</v>
      </c>
      <c r="B22" s="127" t="s">
        <v>151</v>
      </c>
      <c r="C22" s="48"/>
      <c r="D22" s="48"/>
      <c r="E22" s="48"/>
      <c r="F22" s="120" t="s">
        <v>147</v>
      </c>
      <c r="G22" s="48"/>
      <c r="H22" s="48"/>
      <c r="I22" s="257"/>
      <c r="J22" s="684"/>
    </row>
    <row r="23" spans="1:10" ht="12.95" customHeight="1" x14ac:dyDescent="0.2">
      <c r="A23" s="115" t="s">
        <v>23</v>
      </c>
      <c r="B23" s="128" t="s">
        <v>152</v>
      </c>
      <c r="C23" s="48"/>
      <c r="D23" s="48"/>
      <c r="E23" s="48"/>
      <c r="F23" s="121" t="s">
        <v>136</v>
      </c>
      <c r="G23" s="48"/>
      <c r="H23" s="48"/>
      <c r="I23" s="257"/>
      <c r="J23" s="684"/>
    </row>
    <row r="24" spans="1:10" ht="12.95" customHeight="1" x14ac:dyDescent="0.2">
      <c r="A24" s="113" t="s">
        <v>24</v>
      </c>
      <c r="B24" s="129" t="s">
        <v>153</v>
      </c>
      <c r="C24" s="123">
        <f>+C25+C26+C27+C28+C29</f>
        <v>0</v>
      </c>
      <c r="D24" s="123">
        <f>+D25+D26+D27+D28+D29</f>
        <v>0</v>
      </c>
      <c r="E24" s="123">
        <f>+E25+E26+E27+E28+E29</f>
        <v>0</v>
      </c>
      <c r="F24" s="130" t="s">
        <v>134</v>
      </c>
      <c r="G24" s="48"/>
      <c r="H24" s="48"/>
      <c r="I24" s="257"/>
      <c r="J24" s="684"/>
    </row>
    <row r="25" spans="1:10" ht="12.95" customHeight="1" x14ac:dyDescent="0.2">
      <c r="A25" s="115" t="s">
        <v>25</v>
      </c>
      <c r="B25" s="128" t="s">
        <v>154</v>
      </c>
      <c r="C25" s="48"/>
      <c r="D25" s="48"/>
      <c r="E25" s="48"/>
      <c r="F25" s="130" t="s">
        <v>294</v>
      </c>
      <c r="G25" s="48">
        <f>'Z_1.1.sz.mell.'!C149</f>
        <v>4455369</v>
      </c>
      <c r="H25" s="48">
        <f>'Z_1.1.sz.mell.'!D149</f>
        <v>4455369</v>
      </c>
      <c r="I25" s="257">
        <f>'Z_1.1.sz.mell.'!E149</f>
        <v>4455369</v>
      </c>
      <c r="J25" s="684"/>
    </row>
    <row r="26" spans="1:10" ht="12.95" customHeight="1" x14ac:dyDescent="0.2">
      <c r="A26" s="113" t="s">
        <v>26</v>
      </c>
      <c r="B26" s="128" t="s">
        <v>155</v>
      </c>
      <c r="C26" s="48"/>
      <c r="D26" s="48"/>
      <c r="E26" s="48"/>
      <c r="F26" s="125"/>
      <c r="G26" s="48"/>
      <c r="H26" s="48"/>
      <c r="I26" s="257"/>
      <c r="J26" s="684"/>
    </row>
    <row r="27" spans="1:10" ht="12.95" customHeight="1" x14ac:dyDescent="0.2">
      <c r="A27" s="115" t="s">
        <v>27</v>
      </c>
      <c r="B27" s="127" t="s">
        <v>156</v>
      </c>
      <c r="C27" s="48"/>
      <c r="D27" s="48"/>
      <c r="E27" s="48"/>
      <c r="F27" s="57"/>
      <c r="G27" s="48"/>
      <c r="H27" s="48"/>
      <c r="I27" s="257"/>
      <c r="J27" s="684"/>
    </row>
    <row r="28" spans="1:10" ht="12.95" customHeight="1" x14ac:dyDescent="0.2">
      <c r="A28" s="113" t="s">
        <v>28</v>
      </c>
      <c r="B28" s="131" t="s">
        <v>157</v>
      </c>
      <c r="C28" s="48"/>
      <c r="D28" s="48"/>
      <c r="E28" s="48"/>
      <c r="F28" s="30"/>
      <c r="G28" s="48"/>
      <c r="H28" s="48"/>
      <c r="I28" s="257"/>
      <c r="J28" s="684"/>
    </row>
    <row r="29" spans="1:10" ht="12.95" customHeight="1" thickBot="1" x14ac:dyDescent="0.25">
      <c r="A29" s="115" t="s">
        <v>29</v>
      </c>
      <c r="B29" s="132" t="s">
        <v>158</v>
      </c>
      <c r="C29" s="48"/>
      <c r="D29" s="48"/>
      <c r="E29" s="48"/>
      <c r="F29" s="57"/>
      <c r="G29" s="48"/>
      <c r="H29" s="48"/>
      <c r="I29" s="257"/>
      <c r="J29" s="684"/>
    </row>
    <row r="30" spans="1:10" ht="21.75" customHeight="1" thickBot="1" x14ac:dyDescent="0.25">
      <c r="A30" s="118" t="s">
        <v>30</v>
      </c>
      <c r="B30" s="59" t="s">
        <v>291</v>
      </c>
      <c r="C30" s="109">
        <f>+C18+C24</f>
        <v>0</v>
      </c>
      <c r="D30" s="109">
        <f>+D18+D24</f>
        <v>0</v>
      </c>
      <c r="E30" s="109">
        <f>+E18+E24</f>
        <v>0</v>
      </c>
      <c r="F30" s="59" t="s">
        <v>295</v>
      </c>
      <c r="G30" s="109">
        <f>SUM(G18:G29)</f>
        <v>4455369</v>
      </c>
      <c r="H30" s="109">
        <f>SUM(H18:H29)</f>
        <v>4455369</v>
      </c>
      <c r="I30" s="136">
        <f>SUM(I18:I29)</f>
        <v>4455369</v>
      </c>
      <c r="J30" s="684"/>
    </row>
    <row r="31" spans="1:10" ht="13.5" thickBot="1" x14ac:dyDescent="0.25">
      <c r="A31" s="118" t="s">
        <v>31</v>
      </c>
      <c r="B31" s="124" t="s">
        <v>296</v>
      </c>
      <c r="C31" s="317">
        <f>+C17+C30</f>
        <v>9041731</v>
      </c>
      <c r="D31" s="317">
        <f>+D17+D30</f>
        <v>11497731</v>
      </c>
      <c r="E31" s="318">
        <f>+E17+E30</f>
        <v>11497731</v>
      </c>
      <c r="F31" s="124" t="s">
        <v>297</v>
      </c>
      <c r="G31" s="317">
        <f>+G17+G30</f>
        <v>79188109</v>
      </c>
      <c r="H31" s="317">
        <f>+H17+H30</f>
        <v>84258357</v>
      </c>
      <c r="I31" s="318">
        <f>+I17+I30</f>
        <v>75185826</v>
      </c>
      <c r="J31" s="684"/>
    </row>
    <row r="32" spans="1:10" ht="13.5" thickBot="1" x14ac:dyDescent="0.25">
      <c r="A32" s="118" t="s">
        <v>32</v>
      </c>
      <c r="B32" s="124" t="s">
        <v>110</v>
      </c>
      <c r="C32" s="317">
        <f>IF(C17-G17&lt;0,G17-C17,"-")</f>
        <v>65691009</v>
      </c>
      <c r="D32" s="317">
        <f>IF(D17-H17&lt;0,H17-D17,"-")</f>
        <v>68305257</v>
      </c>
      <c r="E32" s="318">
        <f>IF(E17-I17&lt;0,I17-E17,"-")</f>
        <v>59232726</v>
      </c>
      <c r="F32" s="124" t="s">
        <v>111</v>
      </c>
      <c r="G32" s="317" t="str">
        <f>IF(C17-G17&gt;0,C17-G17,"-")</f>
        <v>-</v>
      </c>
      <c r="H32" s="317" t="str">
        <f>IF(D17-H17&gt;0,D17-H17,"-")</f>
        <v>-</v>
      </c>
      <c r="I32" s="318" t="str">
        <f>IF(E17-I17&gt;0,E17-I17,"-")</f>
        <v>-</v>
      </c>
      <c r="J32" s="684"/>
    </row>
    <row r="33" spans="1:10" ht="13.5" thickBot="1" x14ac:dyDescent="0.25">
      <c r="A33" s="118" t="s">
        <v>33</v>
      </c>
      <c r="B33" s="124" t="s">
        <v>491</v>
      </c>
      <c r="C33" s="317">
        <f>IF(C31-G31&lt;0,G31-C31,"-")</f>
        <v>70146378</v>
      </c>
      <c r="D33" s="317">
        <f>IF(D31-H31&lt;0,H31-D31,"-")</f>
        <v>72760626</v>
      </c>
      <c r="E33" s="317">
        <f>IF(E31-I31&lt;0,I31-E31,"-")</f>
        <v>63688095</v>
      </c>
      <c r="F33" s="124" t="s">
        <v>492</v>
      </c>
      <c r="G33" s="317" t="str">
        <f>IF(C31-G31&gt;0,C31-G31,"-")</f>
        <v>-</v>
      </c>
      <c r="H33" s="317" t="str">
        <f>IF(D31-H31&gt;0,D31-H31,"-")</f>
        <v>-</v>
      </c>
      <c r="I33" s="317" t="str">
        <f>IF(E31-I31&gt;0,E31-I31,"-")</f>
        <v>-</v>
      </c>
      <c r="J33" s="684"/>
    </row>
  </sheetData>
  <sheetProtection sheet="1"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topLeftCell="A24" zoomScale="120" zoomScaleNormal="120" workbookViewId="0">
      <selection activeCell="J25" sqref="J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63" t="s">
        <v>519</v>
      </c>
      <c r="B1" s="75"/>
      <c r="C1" s="75"/>
      <c r="D1" s="75"/>
      <c r="E1" s="264" t="s">
        <v>105</v>
      </c>
    </row>
    <row r="2" spans="1:5" x14ac:dyDescent="0.2">
      <c r="A2" s="75"/>
      <c r="B2" s="75"/>
      <c r="C2" s="75"/>
      <c r="D2" s="75"/>
      <c r="E2" s="75"/>
    </row>
    <row r="3" spans="1:5" x14ac:dyDescent="0.2">
      <c r="A3" s="265"/>
      <c r="B3" s="266"/>
      <c r="C3" s="265"/>
      <c r="D3" s="267"/>
      <c r="E3" s="266"/>
    </row>
    <row r="4" spans="1:5" ht="15.75" x14ac:dyDescent="0.25">
      <c r="A4" s="77" t="str">
        <f>+Z_ÖSSZEFÜGGÉSEK!A6</f>
        <v>2018. évi eredeti előirányzat BEVÉTELEK</v>
      </c>
      <c r="B4" s="268"/>
      <c r="C4" s="269"/>
      <c r="D4" s="267"/>
      <c r="E4" s="266"/>
    </row>
    <row r="5" spans="1:5" x14ac:dyDescent="0.2">
      <c r="A5" s="265"/>
      <c r="B5" s="266"/>
      <c r="C5" s="265"/>
      <c r="D5" s="267"/>
      <c r="E5" s="266"/>
    </row>
    <row r="6" spans="1:5" x14ac:dyDescent="0.2">
      <c r="A6" s="265" t="s">
        <v>458</v>
      </c>
      <c r="B6" s="266">
        <f>+'Z_1.1.sz.mell.'!C68</f>
        <v>161466056</v>
      </c>
      <c r="C6" s="265" t="s">
        <v>419</v>
      </c>
      <c r="D6" s="267">
        <f>+'Z_2.1.sz.mell'!C18+'Z_2.2.sz.mell'!C17</f>
        <v>161466056</v>
      </c>
      <c r="E6" s="266">
        <f>+B6-D6</f>
        <v>0</v>
      </c>
    </row>
    <row r="7" spans="1:5" x14ac:dyDescent="0.2">
      <c r="A7" s="265" t="s">
        <v>474</v>
      </c>
      <c r="B7" s="266">
        <f>+'Z_1.1.sz.mell.'!C92</f>
        <v>70302024</v>
      </c>
      <c r="C7" s="265" t="s">
        <v>425</v>
      </c>
      <c r="D7" s="267">
        <f>+'Z_2.1.sz.mell'!C29+'Z_2.2.sz.mell'!C30</f>
        <v>70302024</v>
      </c>
      <c r="E7" s="266">
        <f>+B7-D7</f>
        <v>0</v>
      </c>
    </row>
    <row r="8" spans="1:5" x14ac:dyDescent="0.2">
      <c r="A8" s="265" t="s">
        <v>475</v>
      </c>
      <c r="B8" s="266">
        <f>+'Z_1.1.sz.mell.'!C93</f>
        <v>231768080</v>
      </c>
      <c r="C8" s="265" t="s">
        <v>426</v>
      </c>
      <c r="D8" s="267">
        <f>+'Z_2.1.sz.mell'!C30+'Z_2.2.sz.mell'!C31</f>
        <v>231768080</v>
      </c>
      <c r="E8" s="266">
        <f>+B8-D8</f>
        <v>0</v>
      </c>
    </row>
    <row r="9" spans="1:5" x14ac:dyDescent="0.2">
      <c r="A9" s="265"/>
      <c r="B9" s="266"/>
      <c r="C9" s="265"/>
      <c r="D9" s="267"/>
      <c r="E9" s="266"/>
    </row>
    <row r="10" spans="1:5" ht="15.75" x14ac:dyDescent="0.25">
      <c r="A10" s="77" t="str">
        <f>+Z_ÖSSZEFÜGGÉSEK!A13</f>
        <v>2018. évi módosított előirányzat BEVÉTELEK</v>
      </c>
      <c r="B10" s="268"/>
      <c r="C10" s="269"/>
      <c r="D10" s="267"/>
      <c r="E10" s="266"/>
    </row>
    <row r="11" spans="1:5" x14ac:dyDescent="0.2">
      <c r="A11" s="265"/>
      <c r="B11" s="266"/>
      <c r="C11" s="265"/>
      <c r="D11" s="267"/>
      <c r="E11" s="266"/>
    </row>
    <row r="12" spans="1:5" x14ac:dyDescent="0.2">
      <c r="A12" s="265" t="s">
        <v>459</v>
      </c>
      <c r="B12" s="266">
        <f>+'Z_1.1.sz.mell.'!D68</f>
        <v>186344021</v>
      </c>
      <c r="C12" s="265" t="s">
        <v>420</v>
      </c>
      <c r="D12" s="267">
        <f>+'Z_2.1.sz.mell'!D18+'Z_2.2.sz.mell'!D17</f>
        <v>186344021</v>
      </c>
      <c r="E12" s="266">
        <f>+B12-D12</f>
        <v>0</v>
      </c>
    </row>
    <row r="13" spans="1:5" x14ac:dyDescent="0.2">
      <c r="A13" s="265" t="s">
        <v>460</v>
      </c>
      <c r="B13" s="266">
        <f>+'Z_1.1.sz.mell.'!D92</f>
        <v>70914392</v>
      </c>
      <c r="C13" s="265" t="s">
        <v>427</v>
      </c>
      <c r="D13" s="267">
        <f>+'Z_2.1.sz.mell'!D29+'Z_2.2.sz.mell'!D30</f>
        <v>70914392</v>
      </c>
      <c r="E13" s="266">
        <f>+B13-D13</f>
        <v>0</v>
      </c>
    </row>
    <row r="14" spans="1:5" x14ac:dyDescent="0.2">
      <c r="A14" s="265" t="s">
        <v>461</v>
      </c>
      <c r="B14" s="266">
        <f>+'Z_1.1.sz.mell.'!D93</f>
        <v>257258413</v>
      </c>
      <c r="C14" s="265" t="s">
        <v>428</v>
      </c>
      <c r="D14" s="267">
        <f>+'Z_2.1.sz.mell'!D30+'Z_2.2.sz.mell'!D31</f>
        <v>257258413</v>
      </c>
      <c r="E14" s="266">
        <f>+B14-D14</f>
        <v>0</v>
      </c>
    </row>
    <row r="15" spans="1:5" x14ac:dyDescent="0.2">
      <c r="A15" s="265"/>
      <c r="B15" s="266"/>
      <c r="C15" s="265"/>
      <c r="D15" s="267"/>
      <c r="E15" s="266"/>
    </row>
    <row r="16" spans="1:5" ht="14.25" x14ac:dyDescent="0.2">
      <c r="A16" s="270" t="str">
        <f>+Z_ÖSSZEFÜGGÉSEK!A19</f>
        <v>2018.évi teljesített BEVÉTELEK</v>
      </c>
      <c r="B16" s="76"/>
      <c r="C16" s="269"/>
      <c r="D16" s="267"/>
      <c r="E16" s="266"/>
    </row>
    <row r="17" spans="1:5" x14ac:dyDescent="0.2">
      <c r="A17" s="265"/>
      <c r="B17" s="266"/>
      <c r="C17" s="265"/>
      <c r="D17" s="267"/>
      <c r="E17" s="266"/>
    </row>
    <row r="18" spans="1:5" x14ac:dyDescent="0.2">
      <c r="A18" s="265" t="s">
        <v>462</v>
      </c>
      <c r="B18" s="266">
        <f>+'Z_1.1.sz.mell.'!E68</f>
        <v>187552345</v>
      </c>
      <c r="C18" s="265" t="s">
        <v>421</v>
      </c>
      <c r="D18" s="267">
        <f>+'Z_2.1.sz.mell'!E18+'Z_2.2.sz.mell'!E17</f>
        <v>187552345</v>
      </c>
      <c r="E18" s="266">
        <f>+B18-D18</f>
        <v>0</v>
      </c>
    </row>
    <row r="19" spans="1:5" x14ac:dyDescent="0.2">
      <c r="A19" s="265" t="s">
        <v>463</v>
      </c>
      <c r="B19" s="266">
        <f>+'Z_1.1.sz.mell.'!E92</f>
        <v>70914392</v>
      </c>
      <c r="C19" s="265" t="s">
        <v>429</v>
      </c>
      <c r="D19" s="267">
        <f>+'Z_2.1.sz.mell'!E29+'Z_2.2.sz.mell'!E30</f>
        <v>70914392</v>
      </c>
      <c r="E19" s="266">
        <f>+B19-D19</f>
        <v>0</v>
      </c>
    </row>
    <row r="20" spans="1:5" x14ac:dyDescent="0.2">
      <c r="A20" s="265" t="s">
        <v>464</v>
      </c>
      <c r="B20" s="266">
        <f>+'Z_1.1.sz.mell.'!E93</f>
        <v>258466737</v>
      </c>
      <c r="C20" s="265" t="s">
        <v>430</v>
      </c>
      <c r="D20" s="267">
        <f>+'Z_2.1.sz.mell'!E30+'Z_2.2.sz.mell'!E31</f>
        <v>258466737</v>
      </c>
      <c r="E20" s="266">
        <f>+B20-D20</f>
        <v>0</v>
      </c>
    </row>
    <row r="21" spans="1:5" x14ac:dyDescent="0.2">
      <c r="A21" s="265"/>
      <c r="B21" s="266"/>
      <c r="C21" s="265"/>
      <c r="D21" s="267"/>
      <c r="E21" s="266"/>
    </row>
    <row r="22" spans="1:5" ht="15.75" x14ac:dyDescent="0.25">
      <c r="A22" s="77" t="str">
        <f>+Z_ÖSSZEFÜGGÉSEK!A25</f>
        <v>2018. évi eredeti előirányzat KIADÁSOK</v>
      </c>
      <c r="B22" s="268"/>
      <c r="C22" s="269"/>
      <c r="D22" s="267"/>
      <c r="E22" s="266"/>
    </row>
    <row r="23" spans="1:5" x14ac:dyDescent="0.2">
      <c r="A23" s="265"/>
      <c r="B23" s="266"/>
      <c r="C23" s="265"/>
      <c r="D23" s="267"/>
      <c r="E23" s="266"/>
    </row>
    <row r="24" spans="1:5" x14ac:dyDescent="0.2">
      <c r="A24" s="265" t="s">
        <v>476</v>
      </c>
      <c r="B24" s="266">
        <f>+'Z_1.1.sz.mell.'!C135</f>
        <v>188440665</v>
      </c>
      <c r="C24" s="265" t="s">
        <v>422</v>
      </c>
      <c r="D24" s="267">
        <f>+'Z_2.1.sz.mell'!G18+'Z_2.2.sz.mell'!G17</f>
        <v>188440665</v>
      </c>
      <c r="E24" s="266">
        <f>+B24-D24</f>
        <v>0</v>
      </c>
    </row>
    <row r="25" spans="1:5" x14ac:dyDescent="0.2">
      <c r="A25" s="265" t="s">
        <v>466</v>
      </c>
      <c r="B25" s="266">
        <f>+'Z_1.1.sz.mell.'!C160</f>
        <v>4455369</v>
      </c>
      <c r="C25" s="265" t="s">
        <v>431</v>
      </c>
      <c r="D25" s="267">
        <f>+'Z_2.1.sz.mell'!G29+'Z_2.2.sz.mell'!G30</f>
        <v>4455369</v>
      </c>
      <c r="E25" s="266">
        <f>+B25-D25</f>
        <v>0</v>
      </c>
    </row>
    <row r="26" spans="1:5" x14ac:dyDescent="0.2">
      <c r="A26" s="265" t="s">
        <v>467</v>
      </c>
      <c r="B26" s="266">
        <f>+'Z_1.1.sz.mell.'!C161</f>
        <v>192896034</v>
      </c>
      <c r="C26" s="265" t="s">
        <v>432</v>
      </c>
      <c r="D26" s="267">
        <f>+'Z_2.1.sz.mell'!G30+'Z_2.2.sz.mell'!G31</f>
        <v>192896034</v>
      </c>
      <c r="E26" s="266">
        <f>+B26-D26</f>
        <v>0</v>
      </c>
    </row>
    <row r="27" spans="1:5" x14ac:dyDescent="0.2">
      <c r="A27" s="265"/>
      <c r="B27" s="266"/>
      <c r="C27" s="265"/>
      <c r="D27" s="267"/>
      <c r="E27" s="266"/>
    </row>
    <row r="28" spans="1:5" ht="15.75" x14ac:dyDescent="0.25">
      <c r="A28" s="77" t="str">
        <f>+Z_ÖSSZEFÜGGÉSEK!A31</f>
        <v>2018. évi módosított előirányzat KIADÁSOK</v>
      </c>
      <c r="B28" s="268"/>
      <c r="C28" s="269"/>
      <c r="D28" s="267"/>
      <c r="E28" s="266"/>
    </row>
    <row r="29" spans="1:5" x14ac:dyDescent="0.2">
      <c r="A29" s="265"/>
      <c r="B29" s="266"/>
      <c r="C29" s="265"/>
      <c r="D29" s="267"/>
      <c r="E29" s="266"/>
    </row>
    <row r="30" spans="1:5" x14ac:dyDescent="0.2">
      <c r="A30" s="265" t="s">
        <v>468</v>
      </c>
      <c r="B30" s="266">
        <f>+'Z_1.1.sz.mell.'!D135</f>
        <v>253054044</v>
      </c>
      <c r="C30" s="265" t="s">
        <v>423</v>
      </c>
      <c r="D30" s="267">
        <f>+'Z_2.1.sz.mell'!H18+'Z_2.2.sz.mell'!H17</f>
        <v>253054044</v>
      </c>
      <c r="E30" s="266">
        <f>+B30-D30</f>
        <v>0</v>
      </c>
    </row>
    <row r="31" spans="1:5" x14ac:dyDescent="0.2">
      <c r="A31" s="265" t="s">
        <v>469</v>
      </c>
      <c r="B31" s="266">
        <f>+'Z_1.1.sz.mell.'!D160</f>
        <v>4455369</v>
      </c>
      <c r="C31" s="265" t="s">
        <v>433</v>
      </c>
      <c r="D31" s="267">
        <f>+'Z_2.1.sz.mell'!H29+'Z_2.2.sz.mell'!H30</f>
        <v>4455369</v>
      </c>
      <c r="E31" s="266">
        <f>+B31-D31</f>
        <v>0</v>
      </c>
    </row>
    <row r="32" spans="1:5" x14ac:dyDescent="0.2">
      <c r="A32" s="265" t="s">
        <v>470</v>
      </c>
      <c r="B32" s="266">
        <f>+'Z_1.1.sz.mell.'!D161</f>
        <v>257509413</v>
      </c>
      <c r="C32" s="265" t="s">
        <v>434</v>
      </c>
      <c r="D32" s="267">
        <f>+'Z_2.1.sz.mell'!H30+'Z_2.2.sz.mell'!H31</f>
        <v>257509413</v>
      </c>
      <c r="E32" s="266">
        <f>+B32-D32</f>
        <v>0</v>
      </c>
    </row>
    <row r="33" spans="1:5" x14ac:dyDescent="0.2">
      <c r="A33" s="265"/>
      <c r="B33" s="266"/>
      <c r="C33" s="265"/>
      <c r="D33" s="267"/>
      <c r="E33" s="266"/>
    </row>
    <row r="34" spans="1:5" ht="15.75" x14ac:dyDescent="0.25">
      <c r="A34" s="271" t="str">
        <f>+Z_ÖSSZEFÜGGÉSEK!A37</f>
        <v>2018.évi teljesített KIADÁSOK</v>
      </c>
      <c r="B34" s="268"/>
      <c r="C34" s="269"/>
      <c r="D34" s="267"/>
      <c r="E34" s="266"/>
    </row>
    <row r="35" spans="1:5" x14ac:dyDescent="0.2">
      <c r="A35" s="265"/>
      <c r="B35" s="266"/>
      <c r="C35" s="265"/>
      <c r="D35" s="267"/>
      <c r="E35" s="266"/>
    </row>
    <row r="36" spans="1:5" x14ac:dyDescent="0.2">
      <c r="A36" s="265" t="s">
        <v>471</v>
      </c>
      <c r="B36" s="266">
        <f>+'Z_1.1.sz.mell.'!E135</f>
        <v>218879733</v>
      </c>
      <c r="C36" s="265" t="s">
        <v>424</v>
      </c>
      <c r="D36" s="267">
        <f>+'Z_2.1.sz.mell'!I18+'Z_2.2.sz.mell'!I17</f>
        <v>218879733</v>
      </c>
      <c r="E36" s="266">
        <f>+B36-D36</f>
        <v>0</v>
      </c>
    </row>
    <row r="37" spans="1:5" x14ac:dyDescent="0.2">
      <c r="A37" s="265" t="s">
        <v>472</v>
      </c>
      <c r="B37" s="266">
        <f>+'Z_1.1.sz.mell.'!E160</f>
        <v>4455369</v>
      </c>
      <c r="C37" s="265" t="s">
        <v>435</v>
      </c>
      <c r="D37" s="267">
        <f>+'Z_2.1.sz.mell'!I29+'Z_2.2.sz.mell'!I30</f>
        <v>4455369</v>
      </c>
      <c r="E37" s="266">
        <f>+B37-D37</f>
        <v>0</v>
      </c>
    </row>
    <row r="38" spans="1:5" x14ac:dyDescent="0.2">
      <c r="A38" s="265" t="s">
        <v>477</v>
      </c>
      <c r="B38" s="266">
        <f>+'Z_1.1.sz.mell.'!E161</f>
        <v>223335102</v>
      </c>
      <c r="C38" s="265" t="s">
        <v>436</v>
      </c>
      <c r="D38" s="267">
        <f>+'Z_2.1.sz.mell'!I30+'Z_2.2.sz.mell'!I31</f>
        <v>223335102</v>
      </c>
      <c r="E38" s="266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13</vt:i4>
      </vt:variant>
    </vt:vector>
  </HeadingPairs>
  <TitlesOfParts>
    <vt:vector size="41" baseType="lpstr">
      <vt:lpstr>Z_TARTALOMJEGYZÉK</vt:lpstr>
      <vt:lpstr>Z_ALAPADATOK</vt:lpstr>
      <vt:lpstr>Z_ÖSSZEFÜGGÉSEK</vt:lpstr>
      <vt:lpstr>Z_1.1.sz.mell.</vt:lpstr>
      <vt:lpstr>Z_1.2.sz.mell.</vt:lpstr>
      <vt:lpstr>Z_1.3.sz.mell.</vt:lpstr>
      <vt:lpstr>Z_2.1.sz.mell</vt:lpstr>
      <vt:lpstr>Z_2.2.sz.mell</vt:lpstr>
      <vt:lpstr>Z_ELLENŐRZÉS</vt:lpstr>
      <vt:lpstr>Z_3.sz.mell.</vt:lpstr>
      <vt:lpstr>Z_4.sz.mell.</vt:lpstr>
      <vt:lpstr>Z_5.sz.mell.</vt:lpstr>
      <vt:lpstr>Z_6.1.sz.mell</vt:lpstr>
      <vt:lpstr>Z_6.1.1.sz.mell</vt:lpstr>
      <vt:lpstr>Z_6.1.2.sz.mell</vt:lpstr>
      <vt:lpstr>Z_6.2.sz.mell</vt:lpstr>
      <vt:lpstr>Z_6.2.1.sz.mell</vt:lpstr>
      <vt:lpstr>Z_6.2.2.sz.mell</vt:lpstr>
      <vt:lpstr>Z_7.sz.mell</vt:lpstr>
      <vt:lpstr>Z_8.sz.mell</vt:lpstr>
      <vt:lpstr>Z_1.tájékoztató_t.</vt:lpstr>
      <vt:lpstr>Z_6.tájékoztató_t.</vt:lpstr>
      <vt:lpstr>Z_7.2.tájékoztató_t.</vt:lpstr>
      <vt:lpstr>Z_7.1.tájékoztató_t.</vt:lpstr>
      <vt:lpstr>Z_7.3.tájékoztató_t.</vt:lpstr>
      <vt:lpstr>Z_8.tájékoztató_t.</vt:lpstr>
      <vt:lpstr>Z_9.tájékoztató_t.</vt:lpstr>
      <vt:lpstr>Munka1</vt:lpstr>
      <vt:lpstr>Z_7.3.tájékoztató_t.!_ftn1</vt:lpstr>
      <vt:lpstr>Z_7.3.tájékoztató_t.!_ftnref1</vt:lpstr>
      <vt:lpstr>Z_6.1.1.sz.mell!Nyomtatási_cím</vt:lpstr>
      <vt:lpstr>Z_6.1.2.sz.mell!Nyomtatási_cím</vt:lpstr>
      <vt:lpstr>Z_6.1.sz.mell!Nyomtatási_cím</vt:lpstr>
      <vt:lpstr>Z_6.2.1.sz.mell!Nyomtatási_cím</vt:lpstr>
      <vt:lpstr>Z_6.2.2.sz.mell!Nyomtatási_cím</vt:lpstr>
      <vt:lpstr>Z_6.2.sz.mell!Nyomtatási_cím</vt:lpstr>
      <vt:lpstr>Z_7.1.tájékoztató_t.!Nyomtatási_cím</vt:lpstr>
      <vt:lpstr>Z_1.1.sz.mell.!Nyomtatási_terület</vt:lpstr>
      <vt:lpstr>Z_1.2.sz.mell.!Nyomtatási_terület</vt:lpstr>
      <vt:lpstr>Z_1.3.sz.mell.!Nyomtatási_terület</vt:lpstr>
      <vt:lpstr>Z_1.tájékoztató_t.!Nyomtatási_terület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Hegedüsné dr. Kocsis Zsófia Rebeka</dc:creator>
  <cp:lastModifiedBy>Windows-felhasználó</cp:lastModifiedBy>
  <cp:lastPrinted>2019-04-17T13:42:47Z</cp:lastPrinted>
  <dcterms:created xsi:type="dcterms:W3CDTF">1999-10-30T10:30:45Z</dcterms:created>
  <dcterms:modified xsi:type="dcterms:W3CDTF">2019-05-10T08:38:54Z</dcterms:modified>
</cp:coreProperties>
</file>